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Objects="none" defaultThemeVersion="124226"/>
  <bookViews>
    <workbookView xWindow="0" yWindow="96" windowWidth="15456" windowHeight="9360"/>
  </bookViews>
  <sheets>
    <sheet name="2011 Country Summary" sheetId="12" r:id="rId1"/>
    <sheet name="2011 Sulfide" sheetId="10" r:id="rId2"/>
    <sheet name="2011 Laterite" sheetId="11" r:id="rId3"/>
  </sheets>
  <definedNames>
    <definedName name="_xlnm._FilterDatabase" localSheetId="1" hidden="1">'2011 Sulfide'!$Y$1:$Y$484</definedName>
  </definedNames>
  <calcPr calcId="145621"/>
</workbook>
</file>

<file path=xl/calcChain.xml><?xml version="1.0" encoding="utf-8"?>
<calcChain xmlns="http://schemas.openxmlformats.org/spreadsheetml/2006/main">
  <c r="W2" i="12" l="1"/>
  <c r="W51" i="12"/>
  <c r="W50" i="12"/>
  <c r="W49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H153" i="11" l="1"/>
  <c r="H232" i="11"/>
  <c r="F231" i="11"/>
  <c r="R321" i="10"/>
  <c r="Q321" i="10"/>
  <c r="O321" i="10"/>
  <c r="N321" i="10"/>
  <c r="I231" i="11"/>
  <c r="I229" i="11"/>
  <c r="D7" i="11"/>
  <c r="F7" i="11"/>
  <c r="I7" i="11"/>
  <c r="I8" i="11"/>
  <c r="D9" i="11"/>
  <c r="F9" i="11"/>
  <c r="I9" i="11"/>
  <c r="D10" i="11"/>
  <c r="F10" i="11"/>
  <c r="I10" i="11"/>
  <c r="I11" i="11"/>
  <c r="I12" i="11"/>
  <c r="D13" i="11"/>
  <c r="F13" i="11"/>
  <c r="I13" i="11"/>
  <c r="I14" i="11"/>
  <c r="I15" i="11"/>
  <c r="D16" i="11"/>
  <c r="F16" i="11"/>
  <c r="I16" i="11"/>
  <c r="I17" i="11"/>
  <c r="D21" i="11"/>
  <c r="F21" i="11"/>
  <c r="I21" i="11"/>
  <c r="I22" i="11"/>
  <c r="D23" i="11"/>
  <c r="F23" i="11"/>
  <c r="I23" i="11"/>
  <c r="D24" i="11"/>
  <c r="F24" i="11"/>
  <c r="I24" i="11"/>
  <c r="D25" i="11"/>
  <c r="F25" i="11"/>
  <c r="I25" i="11"/>
  <c r="I26" i="11"/>
  <c r="I27" i="11"/>
  <c r="I28" i="11"/>
  <c r="I29" i="11"/>
  <c r="I30" i="11"/>
  <c r="I31" i="11"/>
  <c r="I32" i="11"/>
  <c r="I33" i="11"/>
  <c r="I34" i="11"/>
  <c r="D35" i="11"/>
  <c r="F35" i="11"/>
  <c r="I35" i="11"/>
  <c r="D37" i="11"/>
  <c r="F37" i="11"/>
  <c r="I37" i="11"/>
  <c r="D38" i="11"/>
  <c r="F38" i="11"/>
  <c r="I38" i="11"/>
  <c r="I39" i="11"/>
  <c r="I40" i="11"/>
  <c r="I41" i="11"/>
  <c r="I42" i="11"/>
  <c r="I43" i="11"/>
  <c r="I44" i="11"/>
  <c r="I46" i="11"/>
  <c r="I47" i="11"/>
  <c r="D48" i="11"/>
  <c r="F48" i="11"/>
  <c r="I48" i="11"/>
  <c r="D49" i="11"/>
  <c r="F49" i="11"/>
  <c r="I49" i="11"/>
  <c r="I50" i="11"/>
  <c r="D51" i="11"/>
  <c r="F51" i="11"/>
  <c r="I51" i="11"/>
  <c r="I52" i="11"/>
  <c r="I53" i="11"/>
  <c r="D54" i="11"/>
  <c r="F54" i="11"/>
  <c r="I54" i="11"/>
  <c r="I55" i="11"/>
  <c r="I56" i="11"/>
  <c r="D57" i="11"/>
  <c r="F57" i="11"/>
  <c r="I57" i="11"/>
  <c r="I58" i="11"/>
  <c r="D59" i="11"/>
  <c r="F59" i="11"/>
  <c r="I59" i="11"/>
  <c r="D60" i="11"/>
  <c r="F60" i="11"/>
  <c r="I60" i="11"/>
  <c r="I61" i="11"/>
  <c r="D62" i="11"/>
  <c r="I62" i="11"/>
  <c r="I63" i="11"/>
  <c r="I64" i="11"/>
  <c r="I65" i="11"/>
  <c r="I66" i="11"/>
  <c r="I67" i="11"/>
  <c r="I68" i="11"/>
  <c r="I69" i="11"/>
  <c r="I70" i="11"/>
  <c r="I71" i="11"/>
  <c r="I72" i="11"/>
  <c r="I75" i="11"/>
  <c r="I5" i="11"/>
  <c r="I82" i="11"/>
  <c r="I83" i="11"/>
  <c r="I85" i="11"/>
  <c r="I78" i="11"/>
  <c r="I114" i="11"/>
  <c r="I122" i="11"/>
  <c r="D123" i="11"/>
  <c r="I123" i="11"/>
  <c r="D125" i="11"/>
  <c r="I125" i="11"/>
  <c r="I132" i="11"/>
  <c r="I133" i="11"/>
  <c r="D135" i="11"/>
  <c r="F135" i="11"/>
  <c r="I135" i="11"/>
  <c r="I138" i="11"/>
  <c r="D140" i="11"/>
  <c r="F140" i="11"/>
  <c r="I140" i="11"/>
  <c r="D141" i="11"/>
  <c r="F141" i="11"/>
  <c r="I141" i="11"/>
  <c r="I143" i="11"/>
  <c r="I144" i="11"/>
  <c r="I146" i="11"/>
  <c r="I120" i="11"/>
  <c r="I154" i="11"/>
  <c r="D155" i="11"/>
  <c r="I155" i="11"/>
  <c r="D164" i="11"/>
  <c r="F164" i="11"/>
  <c r="I164" i="11"/>
  <c r="I149" i="11"/>
  <c r="I173" i="11"/>
  <c r="I174" i="11"/>
  <c r="I175" i="11"/>
  <c r="I176" i="11"/>
  <c r="I177" i="11"/>
  <c r="I178" i="11"/>
  <c r="I179" i="11"/>
  <c r="I171" i="11"/>
  <c r="D187" i="11"/>
  <c r="F187" i="11"/>
  <c r="I187" i="11"/>
  <c r="I188" i="11"/>
  <c r="D189" i="11"/>
  <c r="I189" i="11"/>
  <c r="I185" i="11"/>
  <c r="D199" i="11"/>
  <c r="F199" i="11"/>
  <c r="I199" i="11"/>
  <c r="I200" i="11"/>
  <c r="I201" i="11"/>
  <c r="I197" i="11"/>
  <c r="I204" i="11"/>
  <c r="I210" i="11"/>
  <c r="D224" i="11"/>
  <c r="F224" i="11"/>
  <c r="I224" i="11"/>
  <c r="D225" i="11"/>
  <c r="F225" i="11"/>
  <c r="I225" i="11"/>
  <c r="I222" i="11"/>
  <c r="D262" i="11"/>
  <c r="I262" i="11"/>
  <c r="D263" i="11"/>
  <c r="I263" i="11"/>
  <c r="D264" i="11"/>
  <c r="F264" i="11"/>
  <c r="I264" i="11"/>
  <c r="I268" i="11"/>
  <c r="I275" i="11"/>
  <c r="I257" i="11"/>
  <c r="D282" i="11"/>
  <c r="I282" i="11"/>
  <c r="I280" i="11"/>
  <c r="I288" i="11"/>
  <c r="I286" i="11"/>
  <c r="I292" i="11"/>
  <c r="I306" i="11"/>
  <c r="F314" i="11"/>
  <c r="I314" i="11"/>
  <c r="I312" i="11"/>
  <c r="D320" i="11"/>
  <c r="F320" i="11"/>
  <c r="I320" i="11"/>
  <c r="I321" i="11"/>
  <c r="I318" i="11"/>
  <c r="I325" i="11"/>
  <c r="D333" i="11"/>
  <c r="I333" i="11"/>
  <c r="I331" i="11"/>
  <c r="I344" i="11"/>
  <c r="I345" i="11"/>
  <c r="I342" i="11"/>
  <c r="I350" i="11"/>
  <c r="I348" i="11"/>
  <c r="D359" i="11"/>
  <c r="F359" i="11"/>
  <c r="I359" i="11"/>
  <c r="D360" i="11"/>
  <c r="F360" i="11"/>
  <c r="I360" i="11"/>
  <c r="I357" i="11"/>
  <c r="I365" i="11"/>
  <c r="I367" i="11"/>
  <c r="I368" i="11"/>
  <c r="I363" i="11"/>
  <c r="I374" i="11"/>
  <c r="I375" i="11"/>
  <c r="I376" i="11"/>
  <c r="I372" i="11"/>
  <c r="I381" i="11"/>
  <c r="I379" i="11"/>
  <c r="I386" i="11"/>
  <c r="I393" i="11"/>
  <c r="I394" i="11"/>
  <c r="D395" i="11"/>
  <c r="F395" i="11"/>
  <c r="I395" i="11"/>
  <c r="I391" i="11"/>
  <c r="I400" i="11"/>
  <c r="I401" i="11"/>
  <c r="I398" i="11"/>
  <c r="I406" i="11"/>
  <c r="D407" i="11"/>
  <c r="I407" i="11"/>
  <c r="D408" i="11"/>
  <c r="F408" i="11"/>
  <c r="I408" i="11"/>
  <c r="D409" i="11"/>
  <c r="F409" i="11"/>
  <c r="I409" i="11"/>
  <c r="I410" i="11"/>
  <c r="I404" i="11"/>
  <c r="I416" i="11"/>
  <c r="I417" i="11"/>
  <c r="I413" i="11"/>
  <c r="I432" i="11"/>
  <c r="I437" i="11"/>
  <c r="I445" i="11"/>
  <c r="I443" i="11"/>
  <c r="I2" i="11"/>
  <c r="H231" i="11"/>
  <c r="D233" i="11"/>
  <c r="E233" i="11"/>
  <c r="H233" i="11"/>
  <c r="D234" i="11"/>
  <c r="E234" i="11"/>
  <c r="H234" i="11"/>
  <c r="D235" i="11"/>
  <c r="E235" i="11"/>
  <c r="H235" i="11"/>
  <c r="D236" i="11"/>
  <c r="E236" i="11"/>
  <c r="H236" i="11"/>
  <c r="D237" i="11"/>
  <c r="E237" i="11"/>
  <c r="H237" i="11"/>
  <c r="D238" i="11"/>
  <c r="E238" i="11"/>
  <c r="H238" i="11"/>
  <c r="D239" i="11"/>
  <c r="E239" i="11"/>
  <c r="H239" i="11"/>
  <c r="D240" i="11"/>
  <c r="E240" i="11"/>
  <c r="H240" i="11"/>
  <c r="D241" i="11"/>
  <c r="E241" i="11"/>
  <c r="H241" i="11"/>
  <c r="D242" i="11"/>
  <c r="E242" i="11"/>
  <c r="H242" i="11"/>
  <c r="D243" i="11"/>
  <c r="E243" i="11"/>
  <c r="H243" i="11"/>
  <c r="D244" i="11"/>
  <c r="E244" i="11"/>
  <c r="H244" i="11"/>
  <c r="D245" i="11"/>
  <c r="E245" i="11"/>
  <c r="H245" i="11"/>
  <c r="D246" i="11"/>
  <c r="E246" i="11"/>
  <c r="H246" i="11"/>
  <c r="D247" i="11"/>
  <c r="E247" i="11"/>
  <c r="H247" i="11"/>
  <c r="D248" i="11"/>
  <c r="E248" i="11"/>
  <c r="H248" i="11"/>
  <c r="D249" i="11"/>
  <c r="E249" i="11"/>
  <c r="H249" i="11"/>
  <c r="D250" i="11"/>
  <c r="E250" i="11"/>
  <c r="H250" i="11"/>
  <c r="D251" i="11"/>
  <c r="E251" i="11"/>
  <c r="H251" i="11"/>
  <c r="D252" i="11"/>
  <c r="E252" i="11"/>
  <c r="H252" i="11"/>
  <c r="D253" i="11"/>
  <c r="E253" i="11"/>
  <c r="H253" i="11"/>
  <c r="H229" i="11"/>
  <c r="E7" i="11"/>
  <c r="H7" i="11"/>
  <c r="H8" i="11"/>
  <c r="E9" i="11"/>
  <c r="H9" i="11"/>
  <c r="E10" i="11"/>
  <c r="H10" i="11"/>
  <c r="H11" i="11"/>
  <c r="H12" i="11"/>
  <c r="E13" i="11"/>
  <c r="H13" i="11"/>
  <c r="H14" i="11"/>
  <c r="H15" i="11"/>
  <c r="E16" i="11"/>
  <c r="H16" i="11"/>
  <c r="H17" i="11"/>
  <c r="H18" i="11"/>
  <c r="H19" i="11"/>
  <c r="D20" i="11"/>
  <c r="E20" i="11"/>
  <c r="H20" i="11"/>
  <c r="E21" i="11"/>
  <c r="H21" i="11"/>
  <c r="H22" i="11"/>
  <c r="E23" i="11"/>
  <c r="H23" i="11"/>
  <c r="E24" i="11"/>
  <c r="H24" i="11"/>
  <c r="E25" i="11"/>
  <c r="H25" i="11"/>
  <c r="H26" i="11"/>
  <c r="H27" i="11"/>
  <c r="H28" i="11"/>
  <c r="H29" i="11"/>
  <c r="H30" i="11"/>
  <c r="H31" i="11"/>
  <c r="H32" i="11"/>
  <c r="H33" i="11"/>
  <c r="H34" i="11"/>
  <c r="E35" i="11"/>
  <c r="H35" i="11"/>
  <c r="D36" i="11"/>
  <c r="E36" i="11"/>
  <c r="H36" i="11"/>
  <c r="E37" i="11"/>
  <c r="H37" i="11"/>
  <c r="E38" i="11"/>
  <c r="H38" i="11"/>
  <c r="H39" i="11"/>
  <c r="H40" i="11"/>
  <c r="H41" i="11"/>
  <c r="H42" i="11"/>
  <c r="H43" i="11"/>
  <c r="H44" i="11"/>
  <c r="H45" i="11"/>
  <c r="H46" i="11"/>
  <c r="H47" i="11"/>
  <c r="E48" i="11"/>
  <c r="H48" i="11"/>
  <c r="E49" i="11"/>
  <c r="H49" i="11"/>
  <c r="H50" i="11"/>
  <c r="E51" i="11"/>
  <c r="H51" i="11"/>
  <c r="H52" i="11"/>
  <c r="H53" i="11"/>
  <c r="E54" i="11"/>
  <c r="H54" i="11"/>
  <c r="H55" i="11"/>
  <c r="H56" i="11"/>
  <c r="E57" i="11"/>
  <c r="H57" i="11"/>
  <c r="H58" i="11"/>
  <c r="E59" i="11"/>
  <c r="H59" i="11"/>
  <c r="E60" i="11"/>
  <c r="H60" i="11"/>
  <c r="H61" i="11"/>
  <c r="E62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D74" i="11"/>
  <c r="E74" i="11"/>
  <c r="H74" i="11"/>
  <c r="H75" i="11"/>
  <c r="H5" i="11"/>
  <c r="H80" i="11"/>
  <c r="H81" i="11"/>
  <c r="H82" i="11"/>
  <c r="H83" i="11"/>
  <c r="H84" i="11"/>
  <c r="H85" i="11"/>
  <c r="H78" i="11"/>
  <c r="H114" i="11"/>
  <c r="H122" i="11"/>
  <c r="E123" i="11"/>
  <c r="H123" i="11"/>
  <c r="H124" i="11"/>
  <c r="E125" i="11"/>
  <c r="H125" i="11"/>
  <c r="D126" i="11"/>
  <c r="E126" i="11"/>
  <c r="H126" i="11"/>
  <c r="H127" i="11"/>
  <c r="H128" i="11"/>
  <c r="H129" i="11"/>
  <c r="D130" i="11"/>
  <c r="E130" i="11"/>
  <c r="H130" i="11"/>
  <c r="H131" i="11"/>
  <c r="H132" i="11"/>
  <c r="H133" i="11"/>
  <c r="H134" i="11"/>
  <c r="E135" i="11"/>
  <c r="H135" i="11"/>
  <c r="H136" i="11"/>
  <c r="H137" i="11"/>
  <c r="H138" i="11"/>
  <c r="H139" i="11"/>
  <c r="E140" i="11"/>
  <c r="H140" i="11"/>
  <c r="E141" i="11"/>
  <c r="H141" i="11"/>
  <c r="H142" i="11"/>
  <c r="H143" i="11"/>
  <c r="H144" i="11"/>
  <c r="H145" i="11"/>
  <c r="H146" i="11"/>
  <c r="H120" i="11"/>
  <c r="H151" i="11"/>
  <c r="H149" i="11" s="1"/>
  <c r="H152" i="11"/>
  <c r="H154" i="11"/>
  <c r="E155" i="11"/>
  <c r="H155" i="11"/>
  <c r="D156" i="11"/>
  <c r="E156" i="11"/>
  <c r="H156" i="11"/>
  <c r="D157" i="11"/>
  <c r="E157" i="11"/>
  <c r="H157" i="11"/>
  <c r="D158" i="11"/>
  <c r="E158" i="11"/>
  <c r="H158" i="11"/>
  <c r="D159" i="11"/>
  <c r="E159" i="11"/>
  <c r="H159" i="11"/>
  <c r="D160" i="11"/>
  <c r="E160" i="11"/>
  <c r="H160" i="11"/>
  <c r="D161" i="11"/>
  <c r="E161" i="11"/>
  <c r="H161" i="11"/>
  <c r="D162" i="11"/>
  <c r="E162" i="11"/>
  <c r="H162" i="11"/>
  <c r="D163" i="11"/>
  <c r="E163" i="11"/>
  <c r="H163" i="11"/>
  <c r="E164" i="11"/>
  <c r="H164" i="11"/>
  <c r="H165" i="11"/>
  <c r="H166" i="11"/>
  <c r="H167" i="11"/>
  <c r="H173" i="11"/>
  <c r="H174" i="11"/>
  <c r="H175" i="11"/>
  <c r="H176" i="11"/>
  <c r="H177" i="11"/>
  <c r="H178" i="11"/>
  <c r="H179" i="11"/>
  <c r="H180" i="11"/>
  <c r="H181" i="11"/>
  <c r="H182" i="11"/>
  <c r="H171" i="11"/>
  <c r="E187" i="11"/>
  <c r="H187" i="11"/>
  <c r="H188" i="11"/>
  <c r="E189" i="11"/>
  <c r="H189" i="11"/>
  <c r="H185" i="11"/>
  <c r="H199" i="11"/>
  <c r="H200" i="11"/>
  <c r="H201" i="11"/>
  <c r="H197" i="11"/>
  <c r="H206" i="11"/>
  <c r="H207" i="11"/>
  <c r="H204" i="11"/>
  <c r="D212" i="11"/>
  <c r="E212" i="11"/>
  <c r="H212" i="11"/>
  <c r="H210" i="11"/>
  <c r="E224" i="11"/>
  <c r="H224" i="11"/>
  <c r="E225" i="11"/>
  <c r="H225" i="11"/>
  <c r="H226" i="11"/>
  <c r="H222" i="11"/>
  <c r="D259" i="11"/>
  <c r="E259" i="11"/>
  <c r="H259" i="11"/>
  <c r="H260" i="11"/>
  <c r="D261" i="11"/>
  <c r="E261" i="11"/>
  <c r="H261" i="11"/>
  <c r="E262" i="11"/>
  <c r="H262" i="11"/>
  <c r="E263" i="11"/>
  <c r="H263" i="11"/>
  <c r="E264" i="11"/>
  <c r="H264" i="11"/>
  <c r="D265" i="11"/>
  <c r="E265" i="11"/>
  <c r="H265" i="11"/>
  <c r="H266" i="11"/>
  <c r="D267" i="11"/>
  <c r="E267" i="11"/>
  <c r="H267" i="11"/>
  <c r="H268" i="11"/>
  <c r="H269" i="11"/>
  <c r="H270" i="11"/>
  <c r="H271" i="11"/>
  <c r="H272" i="11"/>
  <c r="H273" i="11"/>
  <c r="H274" i="11"/>
  <c r="H275" i="11"/>
  <c r="H276" i="11"/>
  <c r="H277" i="11"/>
  <c r="H257" i="11"/>
  <c r="E282" i="11"/>
  <c r="H282" i="11"/>
  <c r="H280" i="11"/>
  <c r="H288" i="11"/>
  <c r="H286" i="11"/>
  <c r="H294" i="11"/>
  <c r="H295" i="11"/>
  <c r="H296" i="11"/>
  <c r="H292" i="11"/>
  <c r="D308" i="11"/>
  <c r="E308" i="11"/>
  <c r="H308" i="11"/>
  <c r="H309" i="11"/>
  <c r="H306" i="11"/>
  <c r="H314" i="11"/>
  <c r="H315" i="11"/>
  <c r="H312" i="11"/>
  <c r="E320" i="11"/>
  <c r="H320" i="11"/>
  <c r="H321" i="11"/>
  <c r="H318" i="11"/>
  <c r="D327" i="11"/>
  <c r="E327" i="11"/>
  <c r="H327" i="11"/>
  <c r="D328" i="11"/>
  <c r="E328" i="11"/>
  <c r="H328" i="11"/>
  <c r="H325" i="11"/>
  <c r="H333" i="11"/>
  <c r="D334" i="11"/>
  <c r="H334" i="11"/>
  <c r="H331" i="11"/>
  <c r="H344" i="11"/>
  <c r="H345" i="11"/>
  <c r="H342" i="11"/>
  <c r="H350" i="11"/>
  <c r="H348" i="11"/>
  <c r="E359" i="11"/>
  <c r="H359" i="11"/>
  <c r="E360" i="11"/>
  <c r="H360" i="11"/>
  <c r="H357" i="11"/>
  <c r="H365" i="11"/>
  <c r="H366" i="11"/>
  <c r="H367" i="11"/>
  <c r="H368" i="11"/>
  <c r="H369" i="11"/>
  <c r="H363" i="11"/>
  <c r="H374" i="11"/>
  <c r="H375" i="11"/>
  <c r="H376" i="11"/>
  <c r="H372" i="11"/>
  <c r="H381" i="11"/>
  <c r="H379" i="11"/>
  <c r="H388" i="11"/>
  <c r="H386" i="11"/>
  <c r="H393" i="11"/>
  <c r="H394" i="11"/>
  <c r="E395" i="11"/>
  <c r="H395" i="11"/>
  <c r="H391" i="11"/>
  <c r="H400" i="11"/>
  <c r="H401" i="11"/>
  <c r="H398" i="11"/>
  <c r="H406" i="11"/>
  <c r="H407" i="11"/>
  <c r="E408" i="11"/>
  <c r="H408" i="11"/>
  <c r="E409" i="11"/>
  <c r="H409" i="11"/>
  <c r="H410" i="11"/>
  <c r="H404" i="11"/>
  <c r="H415" i="11"/>
  <c r="H416" i="11"/>
  <c r="H417" i="11"/>
  <c r="H413" i="11"/>
  <c r="H434" i="11"/>
  <c r="H432" i="11"/>
  <c r="H439" i="11"/>
  <c r="H437" i="11"/>
  <c r="H445" i="11"/>
  <c r="H443" i="11"/>
  <c r="D229" i="11"/>
  <c r="D5" i="11"/>
  <c r="D78" i="11"/>
  <c r="D114" i="11"/>
  <c r="D120" i="11"/>
  <c r="D149" i="11"/>
  <c r="D171" i="11"/>
  <c r="D185" i="11"/>
  <c r="D197" i="11"/>
  <c r="D204" i="11"/>
  <c r="D210" i="11"/>
  <c r="D222" i="11"/>
  <c r="D257" i="11"/>
  <c r="D280" i="11"/>
  <c r="D286" i="11"/>
  <c r="D292" i="11"/>
  <c r="D306" i="11"/>
  <c r="D312" i="11"/>
  <c r="D318" i="11"/>
  <c r="D325" i="11"/>
  <c r="D331" i="11"/>
  <c r="D342" i="11"/>
  <c r="D348" i="11"/>
  <c r="D357" i="11"/>
  <c r="D363" i="11"/>
  <c r="D372" i="11"/>
  <c r="D379" i="11"/>
  <c r="D386" i="11"/>
  <c r="D391" i="11"/>
  <c r="D398" i="11"/>
  <c r="D404" i="11"/>
  <c r="D413" i="11"/>
  <c r="D432" i="11"/>
  <c r="D437" i="11"/>
  <c r="D443" i="11"/>
  <c r="D2" i="11"/>
  <c r="A229" i="11"/>
  <c r="A5" i="11"/>
  <c r="A78" i="11"/>
  <c r="A114" i="11"/>
  <c r="A120" i="11"/>
  <c r="A149" i="11"/>
  <c r="A171" i="11"/>
  <c r="A185" i="11"/>
  <c r="A197" i="11"/>
  <c r="A204" i="11"/>
  <c r="A210" i="11"/>
  <c r="A222" i="11"/>
  <c r="A257" i="11"/>
  <c r="A280" i="11"/>
  <c r="A286" i="11"/>
  <c r="A292" i="11"/>
  <c r="A306" i="11"/>
  <c r="A312" i="11"/>
  <c r="A318" i="11"/>
  <c r="A325" i="11"/>
  <c r="A331" i="11"/>
  <c r="A342" i="11"/>
  <c r="A348" i="11"/>
  <c r="A357" i="11"/>
  <c r="A363" i="11"/>
  <c r="A372" i="11"/>
  <c r="A379" i="11"/>
  <c r="A386" i="11"/>
  <c r="A391" i="11"/>
  <c r="A398" i="11"/>
  <c r="A404" i="11"/>
  <c r="A413" i="11"/>
  <c r="A432" i="11"/>
  <c r="A437" i="11"/>
  <c r="A443" i="11"/>
  <c r="C2" i="11"/>
  <c r="F214" i="10"/>
  <c r="O214" i="10" s="1"/>
  <c r="E214" i="10"/>
  <c r="N190" i="10"/>
  <c r="N199" i="10"/>
  <c r="N203" i="10"/>
  <c r="N205" i="10"/>
  <c r="N218" i="10"/>
  <c r="N220" i="10"/>
  <c r="N222" i="10"/>
  <c r="N225" i="10"/>
  <c r="N230" i="10"/>
  <c r="N234" i="10"/>
  <c r="N238" i="10"/>
  <c r="N240" i="10"/>
  <c r="N243" i="10"/>
  <c r="N12" i="10"/>
  <c r="N13" i="10"/>
  <c r="N18" i="10"/>
  <c r="N31" i="10"/>
  <c r="N39" i="10"/>
  <c r="N45" i="10"/>
  <c r="N46" i="10"/>
  <c r="N47" i="10"/>
  <c r="N48" i="10"/>
  <c r="N51" i="10"/>
  <c r="N52" i="10"/>
  <c r="N53" i="10"/>
  <c r="N54" i="10"/>
  <c r="N55" i="10"/>
  <c r="N57" i="10"/>
  <c r="N58" i="10"/>
  <c r="N59" i="10"/>
  <c r="N61" i="10"/>
  <c r="N66" i="10"/>
  <c r="N69" i="10"/>
  <c r="N72" i="10"/>
  <c r="N74" i="10"/>
  <c r="N78" i="10"/>
  <c r="N88" i="10"/>
  <c r="N89" i="10"/>
  <c r="N90" i="10"/>
  <c r="N91" i="10"/>
  <c r="N96" i="10"/>
  <c r="N97" i="10"/>
  <c r="N98" i="10"/>
  <c r="N100" i="10"/>
  <c r="N101" i="10"/>
  <c r="N102" i="10"/>
  <c r="N103" i="10"/>
  <c r="N104" i="10"/>
  <c r="N105" i="10"/>
  <c r="N106" i="10"/>
  <c r="N108" i="10"/>
  <c r="N112" i="10"/>
  <c r="N114" i="10"/>
  <c r="N115" i="10"/>
  <c r="N116" i="10"/>
  <c r="N117" i="10"/>
  <c r="N118" i="10"/>
  <c r="N120" i="10"/>
  <c r="N121" i="10"/>
  <c r="N122" i="10"/>
  <c r="N123" i="10"/>
  <c r="N124" i="10"/>
  <c r="N125" i="10"/>
  <c r="N126" i="10"/>
  <c r="N127" i="10"/>
  <c r="N129" i="10"/>
  <c r="N130" i="10"/>
  <c r="N131" i="10"/>
  <c r="N132" i="10"/>
  <c r="N135" i="10"/>
  <c r="N137" i="10"/>
  <c r="N149" i="10"/>
  <c r="N150" i="10"/>
  <c r="N154" i="10"/>
  <c r="N155" i="10"/>
  <c r="N156" i="10"/>
  <c r="N157" i="10"/>
  <c r="N161" i="10"/>
  <c r="N163" i="10"/>
  <c r="N167" i="10"/>
  <c r="N168" i="10"/>
  <c r="N169" i="10"/>
  <c r="N170" i="10"/>
  <c r="N171" i="10"/>
  <c r="N172" i="10"/>
  <c r="N173" i="10"/>
  <c r="N174" i="10"/>
  <c r="N175" i="10"/>
  <c r="N176" i="10"/>
  <c r="N177" i="10"/>
  <c r="N296" i="10"/>
  <c r="N300" i="10"/>
  <c r="K242" i="10"/>
  <c r="F242" i="10"/>
  <c r="E242" i="10"/>
  <c r="N242" i="10" s="1"/>
  <c r="D242" i="10"/>
  <c r="J242" i="10" s="1"/>
  <c r="Q242" i="10" s="1"/>
  <c r="D139" i="10"/>
  <c r="F138" i="10"/>
  <c r="D138" i="10"/>
  <c r="O242" i="10"/>
  <c r="O241" i="10"/>
  <c r="N241" i="10"/>
  <c r="J241" i="10"/>
  <c r="Q241" i="10" s="1"/>
  <c r="K241" i="10"/>
  <c r="R241" i="10"/>
  <c r="D240" i="10"/>
  <c r="E443" i="11"/>
  <c r="C46" i="12"/>
  <c r="B46" i="12"/>
  <c r="G46" i="12"/>
  <c r="F443" i="11"/>
  <c r="D46" i="12"/>
  <c r="D15" i="12"/>
  <c r="B15" i="12"/>
  <c r="G15" i="12"/>
  <c r="E331" i="11"/>
  <c r="C15" i="12"/>
  <c r="G38" i="12"/>
  <c r="F437" i="11"/>
  <c r="D38" i="12"/>
  <c r="B38" i="12"/>
  <c r="E437" i="11"/>
  <c r="C38" i="12"/>
  <c r="O138" i="10"/>
  <c r="G239" i="10"/>
  <c r="D239" i="10"/>
  <c r="E239" i="10"/>
  <c r="J239" i="10"/>
  <c r="F239" i="10"/>
  <c r="O239" i="10" s="1"/>
  <c r="D428" i="10"/>
  <c r="D426" i="10"/>
  <c r="I17" i="12" s="1"/>
  <c r="E428" i="10"/>
  <c r="F428" i="10"/>
  <c r="K428" i="10"/>
  <c r="R428" i="10" s="1"/>
  <c r="R426" i="10" s="1"/>
  <c r="O202" i="10"/>
  <c r="N202" i="10"/>
  <c r="P218" i="10"/>
  <c r="U2" i="12"/>
  <c r="D488" i="10"/>
  <c r="D486" i="10"/>
  <c r="I20" i="12" s="1"/>
  <c r="A486" i="10"/>
  <c r="P20" i="12" s="1"/>
  <c r="O238" i="10"/>
  <c r="O488" i="10"/>
  <c r="O486" i="10"/>
  <c r="P488" i="10"/>
  <c r="P486" i="10"/>
  <c r="G486" i="10" s="1"/>
  <c r="L20" i="12" s="1"/>
  <c r="N488" i="10"/>
  <c r="N486" i="10" s="1"/>
  <c r="F114" i="11"/>
  <c r="E114" i="11"/>
  <c r="G47" i="12"/>
  <c r="B47" i="12"/>
  <c r="E432" i="11"/>
  <c r="C47" i="12"/>
  <c r="F432" i="11"/>
  <c r="J320" i="10"/>
  <c r="G320" i="10"/>
  <c r="F320" i="10"/>
  <c r="O320" i="10" s="1"/>
  <c r="O318" i="10" s="1"/>
  <c r="F318" i="10" s="1"/>
  <c r="K11" i="12" s="1"/>
  <c r="E320" i="10"/>
  <c r="D320" i="10"/>
  <c r="H220" i="10"/>
  <c r="K220" i="10"/>
  <c r="D235" i="10"/>
  <c r="F235" i="10" s="1"/>
  <c r="O235" i="10" s="1"/>
  <c r="G235" i="10"/>
  <c r="E235" i="10"/>
  <c r="N235" i="10" s="1"/>
  <c r="D160" i="10"/>
  <c r="N160" i="10" s="1"/>
  <c r="S72" i="10"/>
  <c r="R72" i="10"/>
  <c r="Q72" i="10"/>
  <c r="O72" i="10"/>
  <c r="D70" i="10"/>
  <c r="M70" i="10" s="1"/>
  <c r="D71" i="10"/>
  <c r="E160" i="10"/>
  <c r="H70" i="10"/>
  <c r="F160" i="10"/>
  <c r="H71" i="10"/>
  <c r="S71" i="10" s="1"/>
  <c r="J70" i="10"/>
  <c r="E71" i="10"/>
  <c r="K71" i="10"/>
  <c r="D10" i="10"/>
  <c r="E10" i="10"/>
  <c r="D9" i="10"/>
  <c r="E9" i="10" s="1"/>
  <c r="N9" i="10" s="1"/>
  <c r="G8" i="12"/>
  <c r="B8" i="12"/>
  <c r="P387" i="10"/>
  <c r="P292" i="10"/>
  <c r="P82" i="10"/>
  <c r="D347" i="10"/>
  <c r="E347" i="10" s="1"/>
  <c r="G22" i="12"/>
  <c r="D294" i="10"/>
  <c r="D69" i="10"/>
  <c r="F69" i="10" s="1"/>
  <c r="O69" i="10" s="1"/>
  <c r="D68" i="10"/>
  <c r="H68" i="10"/>
  <c r="D67" i="10"/>
  <c r="N67" i="10" s="1"/>
  <c r="K69" i="10"/>
  <c r="R69" i="10"/>
  <c r="G69" i="10"/>
  <c r="E67" i="10"/>
  <c r="J67" i="10"/>
  <c r="F67" i="10"/>
  <c r="K67" i="10"/>
  <c r="R67" i="10" s="1"/>
  <c r="E69" i="10"/>
  <c r="J69" i="10"/>
  <c r="H67" i="10"/>
  <c r="D133" i="10"/>
  <c r="E133" i="10"/>
  <c r="N133" i="10" s="1"/>
  <c r="F133" i="10"/>
  <c r="L133" i="10"/>
  <c r="L137" i="10"/>
  <c r="F137" i="10"/>
  <c r="O137" i="10" s="1"/>
  <c r="E137" i="10"/>
  <c r="D137" i="10"/>
  <c r="D136" i="10"/>
  <c r="E136" i="10"/>
  <c r="N136" i="10" s="1"/>
  <c r="D76" i="10"/>
  <c r="O76" i="10" s="1"/>
  <c r="L77" i="10"/>
  <c r="D77" i="10" s="1"/>
  <c r="R76" i="10"/>
  <c r="N76" i="10"/>
  <c r="O194" i="10"/>
  <c r="N194" i="10"/>
  <c r="N477" i="10"/>
  <c r="O477" i="10"/>
  <c r="D478" i="10"/>
  <c r="E478" i="10" s="1"/>
  <c r="O476" i="10"/>
  <c r="N476" i="10"/>
  <c r="D237" i="10"/>
  <c r="P237" i="10" s="1"/>
  <c r="N237" i="10"/>
  <c r="O237" i="10"/>
  <c r="D236" i="10"/>
  <c r="G236" i="10" s="1"/>
  <c r="P236" i="10" s="1"/>
  <c r="P235" i="10"/>
  <c r="E236" i="10"/>
  <c r="F236" i="10"/>
  <c r="O236" i="10" s="1"/>
  <c r="D128" i="10"/>
  <c r="E128" i="10"/>
  <c r="N128" i="10" s="1"/>
  <c r="F128" i="10"/>
  <c r="B22" i="12"/>
  <c r="R135" i="10"/>
  <c r="Q135" i="10"/>
  <c r="O135" i="10"/>
  <c r="D483" i="10"/>
  <c r="G483" i="10" s="1"/>
  <c r="N405" i="10"/>
  <c r="K383" i="10"/>
  <c r="J383" i="10"/>
  <c r="D323" i="10"/>
  <c r="F323" i="10"/>
  <c r="O323" i="10" s="1"/>
  <c r="D383" i="10"/>
  <c r="D373" i="10" s="1"/>
  <c r="H483" i="10"/>
  <c r="J483" i="10"/>
  <c r="F483" i="10"/>
  <c r="O483" i="10" s="1"/>
  <c r="O481" i="10" s="1"/>
  <c r="F481" i="10" s="1"/>
  <c r="K51" i="12" s="1"/>
  <c r="K483" i="10"/>
  <c r="E323" i="10"/>
  <c r="D382" i="10"/>
  <c r="D381" i="10"/>
  <c r="K378" i="10"/>
  <c r="J378" i="10"/>
  <c r="H378" i="10"/>
  <c r="G378" i="10"/>
  <c r="F378" i="10"/>
  <c r="E378" i="10"/>
  <c r="N378" i="10" s="1"/>
  <c r="D378" i="10"/>
  <c r="D384" i="10"/>
  <c r="D379" i="10"/>
  <c r="P379" i="10" s="1"/>
  <c r="K380" i="10"/>
  <c r="R380" i="10" s="1"/>
  <c r="J380" i="10"/>
  <c r="H380" i="10"/>
  <c r="G380" i="10"/>
  <c r="F380" i="10"/>
  <c r="E380" i="10"/>
  <c r="D380" i="10"/>
  <c r="K377" i="10"/>
  <c r="J377" i="10"/>
  <c r="H377" i="10"/>
  <c r="G377" i="10"/>
  <c r="F377" i="10"/>
  <c r="E377" i="10"/>
  <c r="D377" i="10"/>
  <c r="D322" i="10"/>
  <c r="D272" i="10"/>
  <c r="F272" i="10" s="1"/>
  <c r="O272" i="10" s="1"/>
  <c r="O270" i="10" s="1"/>
  <c r="F270" i="10" s="1"/>
  <c r="K45" i="12" s="1"/>
  <c r="D233" i="10"/>
  <c r="E233" i="10" s="1"/>
  <c r="Q66" i="10"/>
  <c r="R66" i="10"/>
  <c r="S66" i="10"/>
  <c r="H233" i="10"/>
  <c r="D231" i="10"/>
  <c r="K231" i="10" s="1"/>
  <c r="D229" i="10"/>
  <c r="D228" i="10"/>
  <c r="N228" i="10" s="1"/>
  <c r="E228" i="10"/>
  <c r="D227" i="10"/>
  <c r="E227" i="10" s="1"/>
  <c r="D225" i="10"/>
  <c r="G225" i="10"/>
  <c r="D226" i="10"/>
  <c r="O226" i="10" s="1"/>
  <c r="D224" i="10"/>
  <c r="F224" i="10"/>
  <c r="K221" i="10"/>
  <c r="J221" i="10"/>
  <c r="D221" i="10"/>
  <c r="N221" i="10" s="1"/>
  <c r="F229" i="10"/>
  <c r="O229" i="10" s="1"/>
  <c r="P229" i="10"/>
  <c r="F226" i="10"/>
  <c r="E225" i="10"/>
  <c r="E224" i="10"/>
  <c r="F225" i="10"/>
  <c r="J226" i="10"/>
  <c r="G231" i="10"/>
  <c r="J220" i="10"/>
  <c r="Q220" i="10"/>
  <c r="D219" i="10"/>
  <c r="D217" i="10"/>
  <c r="H217" i="10"/>
  <c r="D216" i="10"/>
  <c r="D215" i="10"/>
  <c r="J215" i="10"/>
  <c r="D213" i="10"/>
  <c r="D212" i="10"/>
  <c r="G212" i="10"/>
  <c r="D211" i="10"/>
  <c r="D210" i="10"/>
  <c r="N210" i="10" s="1"/>
  <c r="D209" i="10"/>
  <c r="N209" i="10" s="1"/>
  <c r="F209" i="10"/>
  <c r="E209" i="10"/>
  <c r="D208" i="10"/>
  <c r="E208" i="10"/>
  <c r="N208" i="10" s="1"/>
  <c r="D207" i="10"/>
  <c r="E207" i="10" s="1"/>
  <c r="D206" i="10"/>
  <c r="E206" i="10"/>
  <c r="D204" i="10"/>
  <c r="F204" i="10" s="1"/>
  <c r="S205" i="10"/>
  <c r="R205" i="10"/>
  <c r="Q205" i="10"/>
  <c r="D201" i="10"/>
  <c r="D302" i="10"/>
  <c r="J302" i="10" s="1"/>
  <c r="D134" i="10"/>
  <c r="H219" i="10"/>
  <c r="S219" i="10" s="1"/>
  <c r="F201" i="10"/>
  <c r="F215" i="10"/>
  <c r="E217" i="10"/>
  <c r="N217" i="10" s="1"/>
  <c r="H207" i="10"/>
  <c r="G217" i="10"/>
  <c r="J217" i="10"/>
  <c r="I201" i="10"/>
  <c r="H206" i="10"/>
  <c r="K215" i="10"/>
  <c r="F219" i="10"/>
  <c r="J201" i="10"/>
  <c r="Q201" i="10" s="1"/>
  <c r="H204" i="10"/>
  <c r="F208" i="10"/>
  <c r="O208" i="10" s="1"/>
  <c r="E213" i="10"/>
  <c r="E215" i="10"/>
  <c r="F217" i="10"/>
  <c r="K217" i="10"/>
  <c r="R217" i="10" s="1"/>
  <c r="G219" i="10"/>
  <c r="P219" i="10" s="1"/>
  <c r="J219" i="10"/>
  <c r="K302" i="10"/>
  <c r="G201" i="10"/>
  <c r="F206" i="10"/>
  <c r="H215" i="10"/>
  <c r="I217" i="10"/>
  <c r="E219" i="10"/>
  <c r="K219" i="10"/>
  <c r="E212" i="10"/>
  <c r="N212" i="10" s="1"/>
  <c r="K212" i="10"/>
  <c r="H212" i="10"/>
  <c r="J212" i="10"/>
  <c r="E211" i="10"/>
  <c r="F212" i="10"/>
  <c r="H201" i="10"/>
  <c r="S201" i="10" s="1"/>
  <c r="J134" i="10"/>
  <c r="Q134" i="10"/>
  <c r="P134" i="10"/>
  <c r="E134" i="10"/>
  <c r="K134" i="10"/>
  <c r="R134" i="10"/>
  <c r="F134" i="10"/>
  <c r="O134" i="10" s="1"/>
  <c r="H134" i="10"/>
  <c r="S134" i="10"/>
  <c r="K365" i="10"/>
  <c r="R365" i="10" s="1"/>
  <c r="J365" i="10"/>
  <c r="Q365" i="10"/>
  <c r="H365" i="10"/>
  <c r="S365" i="10" s="1"/>
  <c r="G365" i="10"/>
  <c r="F365" i="10"/>
  <c r="E365" i="10"/>
  <c r="N365" i="10" s="1"/>
  <c r="D295" i="10"/>
  <c r="E295" i="10" s="1"/>
  <c r="N295" i="10" s="1"/>
  <c r="D375" i="10"/>
  <c r="H375" i="10" s="1"/>
  <c r="S375" i="10" s="1"/>
  <c r="S301" i="10"/>
  <c r="R301" i="10"/>
  <c r="Q301" i="10"/>
  <c r="O301" i="10"/>
  <c r="N301" i="10"/>
  <c r="D303" i="10"/>
  <c r="N303" i="10" s="1"/>
  <c r="N299" i="10"/>
  <c r="O230" i="10"/>
  <c r="D200" i="10"/>
  <c r="E200" i="10" s="1"/>
  <c r="N200" i="10" s="1"/>
  <c r="D197" i="10"/>
  <c r="J197" i="10" s="1"/>
  <c r="Q197" i="10" s="1"/>
  <c r="H214" i="10"/>
  <c r="K214" i="10"/>
  <c r="J214" i="10"/>
  <c r="D214" i="10"/>
  <c r="D196" i="10"/>
  <c r="N196" i="10" s="1"/>
  <c r="K197" i="10"/>
  <c r="R197" i="10" s="1"/>
  <c r="F200" i="10"/>
  <c r="Q196" i="10"/>
  <c r="E196" i="10"/>
  <c r="F196" i="10"/>
  <c r="O196" i="10" s="1"/>
  <c r="S196" i="10"/>
  <c r="R214" i="10"/>
  <c r="F197" i="10"/>
  <c r="G183" i="10"/>
  <c r="F183" i="10"/>
  <c r="E183" i="10"/>
  <c r="N183" i="10" s="1"/>
  <c r="N181" i="10" s="1"/>
  <c r="E181" i="10" s="1"/>
  <c r="J14" i="12" s="1"/>
  <c r="D464" i="10"/>
  <c r="E464" i="10" s="1"/>
  <c r="D140" i="10"/>
  <c r="L140" i="10"/>
  <c r="O133" i="10"/>
  <c r="O132" i="10"/>
  <c r="O131" i="10"/>
  <c r="O130" i="10"/>
  <c r="O129" i="10"/>
  <c r="O128" i="10"/>
  <c r="F464" i="10"/>
  <c r="G464" i="10"/>
  <c r="O164" i="10"/>
  <c r="N164" i="10"/>
  <c r="O162" i="10"/>
  <c r="N162" i="10"/>
  <c r="O167" i="10"/>
  <c r="O168" i="10"/>
  <c r="P168" i="10"/>
  <c r="O169" i="10"/>
  <c r="P169" i="10"/>
  <c r="O171" i="10"/>
  <c r="Q171" i="10"/>
  <c r="R171" i="10"/>
  <c r="O172" i="10"/>
  <c r="Q172" i="10"/>
  <c r="R172" i="10"/>
  <c r="O173" i="10"/>
  <c r="P173" i="10"/>
  <c r="O174" i="10"/>
  <c r="O175" i="10"/>
  <c r="P175" i="10"/>
  <c r="O176" i="10"/>
  <c r="O177" i="10"/>
  <c r="P177" i="10"/>
  <c r="D178" i="10"/>
  <c r="D166" i="10"/>
  <c r="S166" i="10" s="1"/>
  <c r="D165" i="10"/>
  <c r="K165" i="10"/>
  <c r="G165" i="10"/>
  <c r="E178" i="10"/>
  <c r="H166" i="10"/>
  <c r="H165" i="10"/>
  <c r="E166" i="10"/>
  <c r="N166" i="10" s="1"/>
  <c r="E165" i="10"/>
  <c r="J165" i="10"/>
  <c r="F165" i="10"/>
  <c r="O165" i="10" s="1"/>
  <c r="G166" i="10"/>
  <c r="K166" i="10"/>
  <c r="R166" i="10"/>
  <c r="D159" i="10"/>
  <c r="E159" i="10" s="1"/>
  <c r="F159" i="10"/>
  <c r="S98" i="10"/>
  <c r="O101" i="10"/>
  <c r="S101" i="10"/>
  <c r="O100" i="10"/>
  <c r="S100" i="10"/>
  <c r="S99" i="10"/>
  <c r="O98" i="10"/>
  <c r="O111" i="10"/>
  <c r="S110" i="10"/>
  <c r="O109" i="10"/>
  <c r="S113" i="10"/>
  <c r="R113" i="10"/>
  <c r="Q113" i="10"/>
  <c r="O113" i="10"/>
  <c r="N113" i="10"/>
  <c r="O99" i="10"/>
  <c r="O107" i="10"/>
  <c r="S111" i="10"/>
  <c r="N111" i="10"/>
  <c r="R111" i="10"/>
  <c r="O110" i="10"/>
  <c r="R119" i="10"/>
  <c r="Q119" i="10"/>
  <c r="O119" i="10"/>
  <c r="O91" i="10"/>
  <c r="O90" i="10"/>
  <c r="O89" i="10"/>
  <c r="O88" i="10"/>
  <c r="O87" i="10"/>
  <c r="N87" i="10"/>
  <c r="D148" i="10"/>
  <c r="N148" i="10" s="1"/>
  <c r="K148" i="10"/>
  <c r="R148" i="10" s="1"/>
  <c r="D151" i="10"/>
  <c r="E151" i="10" s="1"/>
  <c r="D147" i="10"/>
  <c r="D143" i="10" s="1"/>
  <c r="I16" i="12" s="1"/>
  <c r="D146" i="10"/>
  <c r="J146" i="10" s="1"/>
  <c r="O149" i="10"/>
  <c r="D158" i="10"/>
  <c r="D153" i="10"/>
  <c r="N153" i="10" s="1"/>
  <c r="F153" i="10"/>
  <c r="O153" i="10" s="1"/>
  <c r="O157" i="10"/>
  <c r="P156" i="10"/>
  <c r="O156" i="10"/>
  <c r="P155" i="10"/>
  <c r="O155" i="10"/>
  <c r="P154" i="10"/>
  <c r="O154" i="10"/>
  <c r="P152" i="10"/>
  <c r="O152" i="10"/>
  <c r="N152" i="10"/>
  <c r="K223" i="10"/>
  <c r="J223" i="10"/>
  <c r="G151" i="10"/>
  <c r="K146" i="10"/>
  <c r="R146" i="10" s="1"/>
  <c r="F148" i="10"/>
  <c r="O148" i="10" s="1"/>
  <c r="G148" i="10"/>
  <c r="P148" i="10"/>
  <c r="F146" i="10"/>
  <c r="G146" i="10"/>
  <c r="K147" i="10"/>
  <c r="J148" i="10"/>
  <c r="Q148" i="10" s="1"/>
  <c r="G153" i="10"/>
  <c r="P153" i="10"/>
  <c r="E148" i="10"/>
  <c r="Q101" i="10"/>
  <c r="R101" i="10"/>
  <c r="Q100" i="10"/>
  <c r="R100" i="10"/>
  <c r="N119" i="10"/>
  <c r="S119" i="10"/>
  <c r="Q99" i="10"/>
  <c r="R99" i="10"/>
  <c r="N99" i="10"/>
  <c r="Q98" i="10"/>
  <c r="R98" i="10"/>
  <c r="S107" i="10"/>
  <c r="R107" i="10"/>
  <c r="Q107" i="10"/>
  <c r="N107" i="10"/>
  <c r="Q111" i="10"/>
  <c r="Q110" i="10"/>
  <c r="R110" i="10"/>
  <c r="N110" i="10"/>
  <c r="S109" i="10"/>
  <c r="Q109" i="10"/>
  <c r="R109" i="10"/>
  <c r="N109" i="10"/>
  <c r="H151" i="10"/>
  <c r="F151" i="10"/>
  <c r="E153" i="10"/>
  <c r="D223" i="10"/>
  <c r="D232" i="10"/>
  <c r="G232" i="10" s="1"/>
  <c r="E232" i="10"/>
  <c r="D60" i="10"/>
  <c r="E60" i="10" s="1"/>
  <c r="N60" i="10" s="1"/>
  <c r="D55" i="10"/>
  <c r="E55" i="10" s="1"/>
  <c r="S128" i="10"/>
  <c r="R128" i="10"/>
  <c r="Q128" i="10"/>
  <c r="D145" i="10"/>
  <c r="N145" i="10" s="1"/>
  <c r="F145" i="10"/>
  <c r="O145" i="10" s="1"/>
  <c r="D85" i="10"/>
  <c r="D198" i="10"/>
  <c r="K198" i="10"/>
  <c r="D50" i="10"/>
  <c r="D48" i="10"/>
  <c r="F48" i="10"/>
  <c r="D49" i="10"/>
  <c r="E40" i="10"/>
  <c r="N40" i="10" s="1"/>
  <c r="D38" i="10"/>
  <c r="D36" i="10"/>
  <c r="E36" i="10" s="1"/>
  <c r="A481" i="10"/>
  <c r="P51" i="12"/>
  <c r="A454" i="10"/>
  <c r="A448" i="10"/>
  <c r="A442" i="10"/>
  <c r="A436" i="10"/>
  <c r="A431" i="10"/>
  <c r="A420" i="10"/>
  <c r="A414" i="10"/>
  <c r="A408" i="10"/>
  <c r="A403" i="10"/>
  <c r="A392" i="10"/>
  <c r="A398" i="10"/>
  <c r="A368" i="10"/>
  <c r="A357" i="10"/>
  <c r="A351" i="10"/>
  <c r="A338" i="10"/>
  <c r="A332" i="10"/>
  <c r="A326" i="10"/>
  <c r="A312" i="10"/>
  <c r="A306" i="10"/>
  <c r="A287" i="10"/>
  <c r="A281" i="10"/>
  <c r="A275" i="10"/>
  <c r="A270" i="10"/>
  <c r="P45" i="12" s="1"/>
  <c r="A264" i="10"/>
  <c r="A258" i="10"/>
  <c r="A252" i="10"/>
  <c r="A246" i="10"/>
  <c r="D34" i="10"/>
  <c r="D32" i="10"/>
  <c r="E32" i="10" s="1"/>
  <c r="D42" i="10"/>
  <c r="E42" i="10" s="1"/>
  <c r="D30" i="10"/>
  <c r="E30" i="10" s="1"/>
  <c r="D37" i="10"/>
  <c r="E37" i="10" s="1"/>
  <c r="P56" i="10"/>
  <c r="O56" i="10"/>
  <c r="N56" i="10"/>
  <c r="P39" i="10"/>
  <c r="O39" i="10"/>
  <c r="D29" i="10"/>
  <c r="D318" i="10"/>
  <c r="I11" i="12"/>
  <c r="L34" i="10"/>
  <c r="A318" i="10"/>
  <c r="P11" i="12" s="1"/>
  <c r="E38" i="10"/>
  <c r="F32" i="10"/>
  <c r="H145" i="10"/>
  <c r="H34" i="10"/>
  <c r="S34" i="10" s="1"/>
  <c r="K34" i="10"/>
  <c r="R34" i="10" s="1"/>
  <c r="Q320" i="10"/>
  <c r="E198" i="10"/>
  <c r="I198" i="10"/>
  <c r="K145" i="10"/>
  <c r="E34" i="10"/>
  <c r="F198" i="10"/>
  <c r="O198" i="10" s="1"/>
  <c r="J198" i="10"/>
  <c r="E145" i="10"/>
  <c r="J145" i="10"/>
  <c r="Q145" i="10" s="1"/>
  <c r="H198" i="10"/>
  <c r="S198" i="10" s="1"/>
  <c r="L198" i="10"/>
  <c r="F34" i="10"/>
  <c r="J38" i="10"/>
  <c r="Q38" i="10"/>
  <c r="G198" i="10"/>
  <c r="E48" i="10"/>
  <c r="J34" i="10"/>
  <c r="Q34" i="10"/>
  <c r="D26" i="10"/>
  <c r="E26" i="10" s="1"/>
  <c r="N26" i="10" s="1"/>
  <c r="D24" i="10"/>
  <c r="E24" i="10"/>
  <c r="D44" i="10"/>
  <c r="E44" i="10" s="1"/>
  <c r="N44" i="10" s="1"/>
  <c r="D23" i="10"/>
  <c r="P23" i="10" s="1"/>
  <c r="D22" i="10"/>
  <c r="D21" i="10"/>
  <c r="D35" i="10"/>
  <c r="D27" i="10"/>
  <c r="E27" i="10"/>
  <c r="D19" i="10"/>
  <c r="F19" i="10" s="1"/>
  <c r="O23" i="10"/>
  <c r="E19" i="10"/>
  <c r="D20" i="10"/>
  <c r="E20" i="10"/>
  <c r="D17" i="10"/>
  <c r="D18" i="10"/>
  <c r="E18" i="10"/>
  <c r="D43" i="10"/>
  <c r="D28" i="10"/>
  <c r="E28" i="10"/>
  <c r="D16" i="10"/>
  <c r="D15" i="10"/>
  <c r="E15" i="10"/>
  <c r="G28" i="10"/>
  <c r="P28" i="10" s="1"/>
  <c r="F28" i="10"/>
  <c r="D364" i="10"/>
  <c r="K364" i="10"/>
  <c r="R364" i="10" s="1"/>
  <c r="D195" i="10"/>
  <c r="D14" i="10"/>
  <c r="N14" i="10" s="1"/>
  <c r="D193" i="10"/>
  <c r="A188" i="10" s="1"/>
  <c r="F193" i="10"/>
  <c r="D13" i="10"/>
  <c r="E13" i="10" s="1"/>
  <c r="O192" i="10"/>
  <c r="N191" i="10"/>
  <c r="S190" i="10"/>
  <c r="D73" i="10"/>
  <c r="D75" i="10"/>
  <c r="F75" i="10"/>
  <c r="O75" i="10" s="1"/>
  <c r="D346" i="10"/>
  <c r="G346" i="10" s="1"/>
  <c r="P346" i="10" s="1"/>
  <c r="P344" i="10" s="1"/>
  <c r="G344" i="10" s="1"/>
  <c r="L40" i="12" s="1"/>
  <c r="D11" i="10"/>
  <c r="E11" i="10"/>
  <c r="D41" i="10"/>
  <c r="D33" i="10"/>
  <c r="E33" i="10"/>
  <c r="N33" i="10"/>
  <c r="D25" i="10"/>
  <c r="F195" i="10"/>
  <c r="E75" i="10"/>
  <c r="Q190" i="10"/>
  <c r="G364" i="10"/>
  <c r="E193" i="10"/>
  <c r="L105" i="10"/>
  <c r="F364" i="10"/>
  <c r="E14" i="10"/>
  <c r="J364" i="10"/>
  <c r="Q364" i="10" s="1"/>
  <c r="E346" i="10"/>
  <c r="E364" i="10"/>
  <c r="D84" i="10"/>
  <c r="L84" i="10"/>
  <c r="D79" i="10"/>
  <c r="D389" i="10"/>
  <c r="F389" i="10" s="1"/>
  <c r="K79" i="10"/>
  <c r="R79" i="10"/>
  <c r="E84" i="10"/>
  <c r="E389" i="10"/>
  <c r="Q70" i="10"/>
  <c r="J79" i="10"/>
  <c r="F84" i="10"/>
  <c r="D7" i="10"/>
  <c r="E7" i="10" s="1"/>
  <c r="D8" i="10"/>
  <c r="E8" i="10" s="1"/>
  <c r="G11" i="12"/>
  <c r="G24" i="12"/>
  <c r="B24" i="12"/>
  <c r="A460" i="10"/>
  <c r="P49" i="12"/>
  <c r="D460" i="10"/>
  <c r="I49" i="12" s="1"/>
  <c r="N462" i="10"/>
  <c r="O462" i="10"/>
  <c r="P462" i="10"/>
  <c r="N463" i="10"/>
  <c r="O463" i="10"/>
  <c r="P463" i="10"/>
  <c r="N457" i="10"/>
  <c r="N456" i="10"/>
  <c r="N451" i="10"/>
  <c r="N450" i="10"/>
  <c r="N445" i="10"/>
  <c r="N444" i="10"/>
  <c r="N439" i="10"/>
  <c r="N438" i="10"/>
  <c r="N434" i="10"/>
  <c r="N433" i="10"/>
  <c r="N423" i="10"/>
  <c r="N422" i="10"/>
  <c r="N417" i="10"/>
  <c r="N416" i="10"/>
  <c r="N411" i="10"/>
  <c r="N410" i="10"/>
  <c r="N400" i="10"/>
  <c r="N395" i="10"/>
  <c r="N394" i="10"/>
  <c r="N370" i="10"/>
  <c r="N359" i="10"/>
  <c r="N354" i="10"/>
  <c r="N353" i="10"/>
  <c r="N341" i="10"/>
  <c r="N340" i="10"/>
  <c r="N335" i="10"/>
  <c r="N334" i="10"/>
  <c r="N315" i="10"/>
  <c r="N314" i="10"/>
  <c r="N308" i="10"/>
  <c r="N289" i="10"/>
  <c r="N284" i="10"/>
  <c r="N283" i="10"/>
  <c r="N278" i="10"/>
  <c r="N277" i="10"/>
  <c r="N267" i="10"/>
  <c r="N266" i="10"/>
  <c r="N261" i="10"/>
  <c r="N260" i="10"/>
  <c r="N255" i="10"/>
  <c r="N254" i="10"/>
  <c r="N249" i="10"/>
  <c r="A82" i="10"/>
  <c r="P34" i="12" s="1"/>
  <c r="D82" i="10"/>
  <c r="I34" i="12" s="1"/>
  <c r="B30" i="12"/>
  <c r="G30" i="12"/>
  <c r="B39" i="12"/>
  <c r="G39" i="12"/>
  <c r="B42" i="12"/>
  <c r="G42" i="12"/>
  <c r="B36" i="12"/>
  <c r="G36" i="12"/>
  <c r="B43" i="12"/>
  <c r="G43" i="12"/>
  <c r="B17" i="12"/>
  <c r="G17" i="12"/>
  <c r="B23" i="12"/>
  <c r="G23" i="12"/>
  <c r="B28" i="12"/>
  <c r="G28" i="12"/>
  <c r="B29" i="12"/>
  <c r="G29" i="12"/>
  <c r="B50" i="12"/>
  <c r="G50" i="12"/>
  <c r="B32" i="12"/>
  <c r="G32" i="12"/>
  <c r="B31" i="12"/>
  <c r="G31" i="12"/>
  <c r="B37" i="12"/>
  <c r="G37" i="12"/>
  <c r="B35" i="12"/>
  <c r="G35" i="12"/>
  <c r="B25" i="12"/>
  <c r="G25" i="12"/>
  <c r="B41" i="12"/>
  <c r="G41" i="12"/>
  <c r="B44" i="12"/>
  <c r="G44" i="12"/>
  <c r="B11" i="12"/>
  <c r="B13" i="12"/>
  <c r="G13" i="12"/>
  <c r="B26" i="12"/>
  <c r="G26" i="12"/>
  <c r="B27" i="12"/>
  <c r="G27" i="12"/>
  <c r="B18" i="12"/>
  <c r="G18" i="12"/>
  <c r="B19" i="12"/>
  <c r="G19" i="12"/>
  <c r="B6" i="12"/>
  <c r="G6" i="12"/>
  <c r="B10" i="12"/>
  <c r="G10" i="12"/>
  <c r="H99" i="11"/>
  <c r="H98" i="11"/>
  <c r="B5" i="12"/>
  <c r="A292" i="10"/>
  <c r="P21" i="12" s="1"/>
  <c r="O478" i="10"/>
  <c r="N478" i="10"/>
  <c r="O475" i="10"/>
  <c r="N475" i="10"/>
  <c r="O474" i="10"/>
  <c r="N474" i="10"/>
  <c r="O473" i="10"/>
  <c r="N473" i="10"/>
  <c r="O472" i="10"/>
  <c r="N472" i="10"/>
  <c r="P471" i="10"/>
  <c r="P467" i="10" s="1"/>
  <c r="G467" i="10" s="1"/>
  <c r="L33" i="12" s="1"/>
  <c r="O471" i="10"/>
  <c r="N471" i="10"/>
  <c r="P470" i="10"/>
  <c r="O470" i="10"/>
  <c r="O467" i="10" s="1"/>
  <c r="F467" i="10" s="1"/>
  <c r="K33" i="12" s="1"/>
  <c r="N470" i="10"/>
  <c r="P469" i="10"/>
  <c r="O469" i="10"/>
  <c r="N469" i="10"/>
  <c r="N467" i="10" s="1"/>
  <c r="D467" i="10"/>
  <c r="I33" i="12"/>
  <c r="A467" i="10"/>
  <c r="P33" i="12"/>
  <c r="D387" i="10"/>
  <c r="I48" i="12" s="1"/>
  <c r="O384" i="10"/>
  <c r="N382" i="10"/>
  <c r="O382" i="10"/>
  <c r="O381" i="10"/>
  <c r="N381" i="10"/>
  <c r="S380" i="10"/>
  <c r="Q380" i="10"/>
  <c r="P380" i="10"/>
  <c r="O380" i="10"/>
  <c r="N380" i="10"/>
  <c r="S379" i="10"/>
  <c r="R379" i="10"/>
  <c r="Q379" i="10"/>
  <c r="O379" i="10"/>
  <c r="N379" i="10"/>
  <c r="R378" i="10"/>
  <c r="O376" i="10"/>
  <c r="N376" i="10"/>
  <c r="P365" i="10"/>
  <c r="O365" i="10"/>
  <c r="O362" i="10" s="1"/>
  <c r="F362" i="10" s="1"/>
  <c r="K22" i="12" s="1"/>
  <c r="A362" i="10"/>
  <c r="P22" i="12"/>
  <c r="P348" i="10"/>
  <c r="O348" i="10"/>
  <c r="N348" i="10"/>
  <c r="P347" i="10"/>
  <c r="O347" i="10"/>
  <c r="N347" i="10"/>
  <c r="D344" i="10"/>
  <c r="I40" i="12" s="1"/>
  <c r="O322" i="10"/>
  <c r="N322" i="10"/>
  <c r="S303" i="10"/>
  <c r="R303" i="10"/>
  <c r="Q303" i="10"/>
  <c r="O303" i="10"/>
  <c r="S297" i="10"/>
  <c r="R297" i="10"/>
  <c r="Q297" i="10"/>
  <c r="O297" i="10"/>
  <c r="N297" i="10"/>
  <c r="S298" i="10"/>
  <c r="R298" i="10"/>
  <c r="Q298" i="10"/>
  <c r="O298" i="10"/>
  <c r="N298" i="10"/>
  <c r="D270" i="10"/>
  <c r="I45" i="12"/>
  <c r="N248" i="10"/>
  <c r="O243" i="10"/>
  <c r="R231" i="10"/>
  <c r="P231" i="10"/>
  <c r="O224" i="10"/>
  <c r="P222" i="10"/>
  <c r="O222" i="10"/>
  <c r="R221" i="10"/>
  <c r="Q221" i="10"/>
  <c r="P221" i="10"/>
  <c r="O221" i="10"/>
  <c r="O220" i="10"/>
  <c r="S218" i="10"/>
  <c r="R218" i="10"/>
  <c r="Q218" i="10"/>
  <c r="O218" i="10"/>
  <c r="Q217" i="10"/>
  <c r="S212" i="10"/>
  <c r="R212" i="10"/>
  <c r="Q212" i="10"/>
  <c r="P212" i="10"/>
  <c r="O212" i="10"/>
  <c r="O209" i="10"/>
  <c r="S206" i="10"/>
  <c r="O205" i="10"/>
  <c r="P199" i="10"/>
  <c r="O199" i="10"/>
  <c r="R198" i="10"/>
  <c r="Q198" i="10"/>
  <c r="P198" i="10"/>
  <c r="O195" i="10"/>
  <c r="O191" i="10"/>
  <c r="R190" i="10"/>
  <c r="P190" i="10"/>
  <c r="O190" i="10"/>
  <c r="P185" i="10"/>
  <c r="N185" i="10"/>
  <c r="P184" i="10"/>
  <c r="P181" i="10" s="1"/>
  <c r="N184" i="10"/>
  <c r="P183" i="10"/>
  <c r="O183" i="10"/>
  <c r="O181" i="10"/>
  <c r="F181" i="10" s="1"/>
  <c r="K14" i="12" s="1"/>
  <c r="D181" i="10"/>
  <c r="I14" i="12"/>
  <c r="A181" i="10"/>
  <c r="P14" i="12" s="1"/>
  <c r="S171" i="10"/>
  <c r="O163" i="10"/>
  <c r="O161" i="10"/>
  <c r="O160" i="10"/>
  <c r="S151" i="10"/>
  <c r="P151" i="10"/>
  <c r="O151" i="10"/>
  <c r="Q146" i="10"/>
  <c r="P146" i="10"/>
  <c r="O146" i="10"/>
  <c r="S145" i="10"/>
  <c r="R145" i="10"/>
  <c r="O127" i="10"/>
  <c r="S126" i="10"/>
  <c r="R126" i="10"/>
  <c r="Q126" i="10"/>
  <c r="O126" i="10"/>
  <c r="S125" i="10"/>
  <c r="R125" i="10"/>
  <c r="Q125" i="10"/>
  <c r="O125" i="10"/>
  <c r="S123" i="10"/>
  <c r="R123" i="10"/>
  <c r="Q123" i="10"/>
  <c r="O123" i="10"/>
  <c r="S122" i="10"/>
  <c r="R122" i="10"/>
  <c r="Q122" i="10"/>
  <c r="O122" i="10"/>
  <c r="S121" i="10"/>
  <c r="R121" i="10"/>
  <c r="Q121" i="10"/>
  <c r="O121" i="10"/>
  <c r="S120" i="10"/>
  <c r="R120" i="10"/>
  <c r="Q120" i="10"/>
  <c r="O120" i="10"/>
  <c r="S118" i="10"/>
  <c r="R118" i="10"/>
  <c r="Q118" i="10"/>
  <c r="O118" i="10"/>
  <c r="S117" i="10"/>
  <c r="R117" i="10"/>
  <c r="Q117" i="10"/>
  <c r="O117" i="10"/>
  <c r="S116" i="10"/>
  <c r="R116" i="10"/>
  <c r="Q116" i="10"/>
  <c r="O116" i="10"/>
  <c r="S115" i="10"/>
  <c r="R115" i="10"/>
  <c r="Q115" i="10"/>
  <c r="O115" i="10"/>
  <c r="O114" i="10"/>
  <c r="S112" i="10"/>
  <c r="R112" i="10"/>
  <c r="Q112" i="10"/>
  <c r="O112" i="10"/>
  <c r="S108" i="10"/>
  <c r="R108" i="10"/>
  <c r="Q108" i="10"/>
  <c r="O108" i="10"/>
  <c r="S106" i="10"/>
  <c r="R106" i="10"/>
  <c r="Q106" i="10"/>
  <c r="O106" i="10"/>
  <c r="P94" i="10"/>
  <c r="O105" i="10"/>
  <c r="S104" i="10"/>
  <c r="R104" i="10"/>
  <c r="Q104" i="10"/>
  <c r="O104" i="10"/>
  <c r="S103" i="10"/>
  <c r="R103" i="10"/>
  <c r="Q103" i="10"/>
  <c r="O103" i="10"/>
  <c r="S102" i="10"/>
  <c r="R102" i="10"/>
  <c r="Q102" i="10"/>
  <c r="O102" i="10"/>
  <c r="O97" i="10"/>
  <c r="S96" i="10"/>
  <c r="R96" i="10"/>
  <c r="Q96" i="10"/>
  <c r="O96" i="10"/>
  <c r="O86" i="10"/>
  <c r="N86" i="10"/>
  <c r="O84" i="10"/>
  <c r="N84" i="10"/>
  <c r="O74" i="10"/>
  <c r="S70" i="10"/>
  <c r="S67" i="10"/>
  <c r="O67" i="10"/>
  <c r="P66" i="10"/>
  <c r="O66" i="10"/>
  <c r="O61" i="10"/>
  <c r="P58" i="10"/>
  <c r="O58" i="10"/>
  <c r="O51" i="10"/>
  <c r="O45" i="10"/>
  <c r="O34" i="10"/>
  <c r="O32" i="10"/>
  <c r="O28" i="10"/>
  <c r="O12" i="10"/>
  <c r="E257" i="11"/>
  <c r="C11" i="12"/>
  <c r="F120" i="11"/>
  <c r="D10" i="12"/>
  <c r="B12" i="12"/>
  <c r="G12" i="12"/>
  <c r="G5" i="12"/>
  <c r="F78" i="11"/>
  <c r="D8" i="12"/>
  <c r="E78" i="11"/>
  <c r="C8" i="12"/>
  <c r="E342" i="11"/>
  <c r="C32" i="12"/>
  <c r="E386" i="11"/>
  <c r="C43" i="12"/>
  <c r="F391" i="11"/>
  <c r="D36" i="12"/>
  <c r="F398" i="11"/>
  <c r="D42" i="12"/>
  <c r="F404" i="11"/>
  <c r="D39" i="12"/>
  <c r="F292" i="11"/>
  <c r="F312" i="11"/>
  <c r="D37" i="12"/>
  <c r="F197" i="11"/>
  <c r="D18" i="12"/>
  <c r="E222" i="11"/>
  <c r="C26" i="12"/>
  <c r="E379" i="11"/>
  <c r="C17" i="12"/>
  <c r="F379" i="11"/>
  <c r="D17" i="12"/>
  <c r="F229" i="11"/>
  <c r="D13" i="12"/>
  <c r="E280" i="11"/>
  <c r="C44" i="12"/>
  <c r="E44" i="12" s="1"/>
  <c r="R44" i="12" s="1"/>
  <c r="E413" i="11"/>
  <c r="C30" i="12"/>
  <c r="E120" i="11"/>
  <c r="C10" i="12"/>
  <c r="E197" i="11"/>
  <c r="C18" i="12"/>
  <c r="F280" i="11"/>
  <c r="D44" i="12"/>
  <c r="F286" i="11"/>
  <c r="D41" i="12"/>
  <c r="F306" i="11"/>
  <c r="E325" i="11"/>
  <c r="C31" i="12"/>
  <c r="F342" i="11"/>
  <c r="D32" i="12"/>
  <c r="E286" i="11"/>
  <c r="C41" i="12"/>
  <c r="E5" i="11"/>
  <c r="C5" i="12"/>
  <c r="F149" i="11"/>
  <c r="D6" i="12"/>
  <c r="E204" i="11"/>
  <c r="C27" i="12"/>
  <c r="E404" i="11"/>
  <c r="C39" i="12"/>
  <c r="F413" i="11"/>
  <c r="D30" i="12"/>
  <c r="E185" i="11"/>
  <c r="C19" i="12"/>
  <c r="F185" i="11"/>
  <c r="D19" i="12"/>
  <c r="E210" i="11"/>
  <c r="C24" i="12"/>
  <c r="F222" i="11"/>
  <c r="D26" i="12"/>
  <c r="E306" i="11"/>
  <c r="C35" i="12"/>
  <c r="E318" i="11"/>
  <c r="C22" i="12"/>
  <c r="F348" i="11"/>
  <c r="D50" i="12"/>
  <c r="E357" i="11"/>
  <c r="C29" i="12"/>
  <c r="E363" i="11"/>
  <c r="C28" i="12"/>
  <c r="F363" i="11"/>
  <c r="D28" i="12"/>
  <c r="F5" i="11"/>
  <c r="D5" i="12"/>
  <c r="E348" i="11"/>
  <c r="C50" i="12"/>
  <c r="E292" i="11"/>
  <c r="C25" i="12"/>
  <c r="E312" i="11"/>
  <c r="C37" i="12"/>
  <c r="F357" i="11"/>
  <c r="D29" i="12"/>
  <c r="E372" i="11"/>
  <c r="C23" i="12"/>
  <c r="F372" i="11"/>
  <c r="D23" i="12"/>
  <c r="E391" i="11"/>
  <c r="C36" i="12"/>
  <c r="E398" i="11"/>
  <c r="C42" i="12"/>
  <c r="F257" i="11"/>
  <c r="D11" i="12"/>
  <c r="F318" i="11"/>
  <c r="D22" i="12"/>
  <c r="F204" i="11"/>
  <c r="E229" i="11"/>
  <c r="C13" i="12"/>
  <c r="E467" i="10"/>
  <c r="J33" i="12"/>
  <c r="O48" i="10"/>
  <c r="S207" i="10"/>
  <c r="R219" i="10"/>
  <c r="O18" i="10"/>
  <c r="Q165" i="10"/>
  <c r="S165" i="10"/>
  <c r="P165" i="10"/>
  <c r="R165" i="10"/>
  <c r="O193" i="10"/>
  <c r="O200" i="10"/>
  <c r="O204" i="10"/>
  <c r="P232" i="10"/>
  <c r="O217" i="10"/>
  <c r="S217" i="10"/>
  <c r="D481" i="10"/>
  <c r="I51" i="12"/>
  <c r="P483" i="10"/>
  <c r="P481" i="10" s="1"/>
  <c r="G481" i="10" s="1"/>
  <c r="L51" i="12" s="1"/>
  <c r="R483" i="10"/>
  <c r="Q483" i="10"/>
  <c r="P201" i="10"/>
  <c r="O206" i="10"/>
  <c r="Q215" i="10"/>
  <c r="Q219" i="10"/>
  <c r="O225" i="10"/>
  <c r="P225" i="10"/>
  <c r="O377" i="10"/>
  <c r="Q377" i="10"/>
  <c r="N377" i="10"/>
  <c r="P377" i="10"/>
  <c r="R377" i="10"/>
  <c r="S377" i="10"/>
  <c r="P464" i="10"/>
  <c r="P460" i="10"/>
  <c r="G460" i="10" s="1"/>
  <c r="L49" i="12" s="1"/>
  <c r="N464" i="10"/>
  <c r="N460" i="10" s="1"/>
  <c r="E460" i="10" s="1"/>
  <c r="J49" i="12" s="1"/>
  <c r="O464" i="10"/>
  <c r="O460" i="10" s="1"/>
  <c r="F460" i="10" s="1"/>
  <c r="K49" i="12" s="1"/>
  <c r="O159" i="10"/>
  <c r="P320" i="10"/>
  <c r="P318" i="10"/>
  <c r="N320" i="10"/>
  <c r="N318" i="10" s="1"/>
  <c r="E318" i="10" s="1"/>
  <c r="J11" i="12" s="1"/>
  <c r="O197" i="10"/>
  <c r="O201" i="10"/>
  <c r="O215" i="10"/>
  <c r="S215" i="10"/>
  <c r="R215" i="10"/>
  <c r="P217" i="10"/>
  <c r="O219" i="10"/>
  <c r="D292" i="10"/>
  <c r="I21" i="12"/>
  <c r="N323" i="10"/>
  <c r="N364" i="10"/>
  <c r="N362" i="10" s="1"/>
  <c r="E362" i="10" s="1"/>
  <c r="J22" i="12" s="1"/>
  <c r="O364" i="10"/>
  <c r="D362" i="10"/>
  <c r="I22" i="12" s="1"/>
  <c r="P364" i="10"/>
  <c r="P362" i="10"/>
  <c r="G362" i="10" s="1"/>
  <c r="L22" i="12" s="1"/>
  <c r="Q378" i="10"/>
  <c r="S378" i="10"/>
  <c r="O378" i="10"/>
  <c r="P378" i="10"/>
  <c r="N384" i="10"/>
  <c r="O389" i="10"/>
  <c r="O387" i="10" s="1"/>
  <c r="F387" i="10" s="1"/>
  <c r="K48" i="12" s="1"/>
  <c r="E171" i="11"/>
  <c r="C12" i="12"/>
  <c r="F171" i="11"/>
  <c r="D12" i="12"/>
  <c r="F2" i="11"/>
  <c r="P373" i="10"/>
  <c r="S483" i="10"/>
  <c r="H2" i="11" l="1"/>
  <c r="E2" i="11" s="1"/>
  <c r="E149" i="11"/>
  <c r="C6" i="12" s="1"/>
  <c r="E6" i="12" s="1"/>
  <c r="R6" i="12" s="1"/>
  <c r="Y6" i="12" s="1"/>
  <c r="E47" i="12"/>
  <c r="R47" i="12" s="1"/>
  <c r="E31" i="12"/>
  <c r="R31" i="12" s="1"/>
  <c r="AB31" i="12" s="1"/>
  <c r="E29" i="12"/>
  <c r="R29" i="12" s="1"/>
  <c r="F19" i="12"/>
  <c r="E46" i="12"/>
  <c r="R46" i="12" s="1"/>
  <c r="F41" i="12"/>
  <c r="E50" i="12"/>
  <c r="R50" i="12" s="1"/>
  <c r="E8" i="12"/>
  <c r="E28" i="12"/>
  <c r="R28" i="12" s="1"/>
  <c r="Y28" i="12" s="1"/>
  <c r="F28" i="12"/>
  <c r="E5" i="12"/>
  <c r="E11" i="12"/>
  <c r="E17" i="12"/>
  <c r="E39" i="12"/>
  <c r="R39" i="12" s="1"/>
  <c r="E41" i="12"/>
  <c r="R41" i="12" s="1"/>
  <c r="Y41" i="12" s="1"/>
  <c r="E36" i="12"/>
  <c r="R36" i="12" s="1"/>
  <c r="Y36" i="12" s="1"/>
  <c r="E12" i="12"/>
  <c r="R12" i="12" s="1"/>
  <c r="Y12" i="12" s="1"/>
  <c r="M33" i="12"/>
  <c r="R33" i="12" s="1"/>
  <c r="E38" i="12"/>
  <c r="R38" i="12" s="1"/>
  <c r="E15" i="12"/>
  <c r="F11" i="12"/>
  <c r="F26" i="12"/>
  <c r="F50" i="12"/>
  <c r="E35" i="12"/>
  <c r="R35" i="12" s="1"/>
  <c r="Y35" i="12" s="1"/>
  <c r="E24" i="12"/>
  <c r="R24" i="12" s="1"/>
  <c r="Y24" i="12" s="1"/>
  <c r="F17" i="12"/>
  <c r="F39" i="12"/>
  <c r="F36" i="12"/>
  <c r="F5" i="12"/>
  <c r="E19" i="12"/>
  <c r="R19" i="12" s="1"/>
  <c r="F38" i="12"/>
  <c r="F18" i="12"/>
  <c r="G2" i="12"/>
  <c r="M11" i="12"/>
  <c r="E26" i="12"/>
  <c r="R26" i="12" s="1"/>
  <c r="E25" i="12"/>
  <c r="R25" i="12" s="1"/>
  <c r="AB25" i="12" s="1"/>
  <c r="F37" i="12"/>
  <c r="E32" i="12"/>
  <c r="R32" i="12" s="1"/>
  <c r="F29" i="12"/>
  <c r="F23" i="12"/>
  <c r="F42" i="12"/>
  <c r="F30" i="12"/>
  <c r="F6" i="12"/>
  <c r="E43" i="12"/>
  <c r="R43" i="12" s="1"/>
  <c r="F15" i="12"/>
  <c r="F32" i="12"/>
  <c r="E18" i="12"/>
  <c r="R18" i="12" s="1"/>
  <c r="E30" i="12"/>
  <c r="R30" i="12" s="1"/>
  <c r="Y30" i="12" s="1"/>
  <c r="N33" i="12"/>
  <c r="O33" i="12"/>
  <c r="B2" i="12"/>
  <c r="E10" i="12"/>
  <c r="R10" i="12" s="1"/>
  <c r="AB10" i="12" s="1"/>
  <c r="E27" i="12"/>
  <c r="R27" i="12" s="1"/>
  <c r="F13" i="12"/>
  <c r="E22" i="12"/>
  <c r="F8" i="12"/>
  <c r="F46" i="12"/>
  <c r="F44" i="12"/>
  <c r="F12" i="12"/>
  <c r="Y10" i="12"/>
  <c r="Y44" i="12"/>
  <c r="AB44" i="12"/>
  <c r="E42" i="12"/>
  <c r="R42" i="12" s="1"/>
  <c r="E23" i="12"/>
  <c r="R23" i="12" s="1"/>
  <c r="E37" i="12"/>
  <c r="R37" i="12" s="1"/>
  <c r="Y37" i="12" s="1"/>
  <c r="O51" i="12"/>
  <c r="E13" i="12"/>
  <c r="R13" i="12" s="1"/>
  <c r="F22" i="12"/>
  <c r="F10" i="12"/>
  <c r="N14" i="12"/>
  <c r="M14" i="12"/>
  <c r="R14" i="12" s="1"/>
  <c r="Y14" i="12" s="1"/>
  <c r="N45" i="12"/>
  <c r="N11" i="12"/>
  <c r="M22" i="12"/>
  <c r="O22" i="12"/>
  <c r="N51" i="12"/>
  <c r="O40" i="12"/>
  <c r="O49" i="12"/>
  <c r="N21" i="10"/>
  <c r="S373" i="10"/>
  <c r="O77" i="10"/>
  <c r="N77" i="10"/>
  <c r="N22" i="12"/>
  <c r="O20" i="12"/>
  <c r="Q216" i="10"/>
  <c r="I15" i="12"/>
  <c r="G373" i="10"/>
  <c r="L15" i="12" s="1"/>
  <c r="N41" i="10"/>
  <c r="E41" i="10"/>
  <c r="I29" i="10"/>
  <c r="F29" i="10"/>
  <c r="O29" i="10" s="1"/>
  <c r="E29" i="10"/>
  <c r="N29" i="10" s="1"/>
  <c r="N139" i="10"/>
  <c r="E139" i="10"/>
  <c r="D188" i="10"/>
  <c r="I9" i="12" s="1"/>
  <c r="D94" i="10"/>
  <c r="I7" i="12" s="1"/>
  <c r="G17" i="10"/>
  <c r="E17" i="10"/>
  <c r="N17" i="10" s="1"/>
  <c r="N22" i="10"/>
  <c r="G29" i="10"/>
  <c r="P29" i="10" s="1"/>
  <c r="E49" i="10"/>
  <c r="N49" i="10" s="1"/>
  <c r="G213" i="10"/>
  <c r="F213" i="10"/>
  <c r="O213" i="10" s="1"/>
  <c r="O188" i="10" s="1"/>
  <c r="N213" i="10"/>
  <c r="E68" i="10"/>
  <c r="N68" i="10" s="1"/>
  <c r="N64" i="10" s="1"/>
  <c r="E64" i="10" s="1"/>
  <c r="J8" i="12" s="1"/>
  <c r="K68" i="10"/>
  <c r="R68" i="10" s="1"/>
  <c r="G68" i="10"/>
  <c r="P68" i="10" s="1"/>
  <c r="J68" i="10"/>
  <c r="Q68" i="10" s="1"/>
  <c r="S68" i="10"/>
  <c r="A64" i="10"/>
  <c r="P8" i="12" s="1"/>
  <c r="N10" i="10"/>
  <c r="N30" i="10"/>
  <c r="A373" i="10"/>
  <c r="P15" i="12" s="1"/>
  <c r="A94" i="10"/>
  <c r="P7" i="12" s="1"/>
  <c r="A344" i="10"/>
  <c r="P40" i="12" s="1"/>
  <c r="D64" i="10"/>
  <c r="I8" i="12" s="1"/>
  <c r="F73" i="10"/>
  <c r="O73" i="10" s="1"/>
  <c r="N73" i="10"/>
  <c r="E73" i="10"/>
  <c r="N192" i="10"/>
  <c r="P192" i="10"/>
  <c r="E43" i="10"/>
  <c r="N43" i="10" s="1"/>
  <c r="F43" i="10"/>
  <c r="O43" i="10" s="1"/>
  <c r="G43" i="10"/>
  <c r="P43" i="10" s="1"/>
  <c r="E23" i="10"/>
  <c r="N24" i="10"/>
  <c r="E140" i="10"/>
  <c r="F140" i="10"/>
  <c r="O140" i="10" s="1"/>
  <c r="O94" i="10" s="1"/>
  <c r="F94" i="10" s="1"/>
  <c r="K7" i="12" s="1"/>
  <c r="E197" i="10"/>
  <c r="N214" i="10"/>
  <c r="S214" i="10"/>
  <c r="Q214" i="10"/>
  <c r="Q188" i="10" s="1"/>
  <c r="L302" i="10"/>
  <c r="N206" i="10"/>
  <c r="F68" i="10"/>
  <c r="O68" i="10" s="1"/>
  <c r="O64" i="10" s="1"/>
  <c r="F64" i="10" s="1"/>
  <c r="K8" i="12" s="1"/>
  <c r="E486" i="10"/>
  <c r="J20" i="12" s="1"/>
  <c r="M20" i="12" s="1"/>
  <c r="R20" i="12" s="1"/>
  <c r="F486" i="10"/>
  <c r="K20" i="12" s="1"/>
  <c r="N20" i="12" s="1"/>
  <c r="J428" i="10"/>
  <c r="Q428" i="10" s="1"/>
  <c r="Q426" i="10" s="1"/>
  <c r="H428" i="10"/>
  <c r="S428" i="10" s="1"/>
  <c r="S426" i="10" s="1"/>
  <c r="P428" i="10"/>
  <c r="P426" i="10" s="1"/>
  <c r="G426" i="10" s="1"/>
  <c r="L17" i="12" s="1"/>
  <c r="O17" i="12" s="1"/>
  <c r="O428" i="10"/>
  <c r="O426" i="10" s="1"/>
  <c r="F426" i="10" s="1"/>
  <c r="K17" i="12" s="1"/>
  <c r="N17" i="12" s="1"/>
  <c r="G428" i="10"/>
  <c r="A426" i="10"/>
  <c r="P17" i="12" s="1"/>
  <c r="N428" i="10"/>
  <c r="N426" i="10" s="1"/>
  <c r="E426" i="10" s="1"/>
  <c r="J17" i="12" s="1"/>
  <c r="M17" i="12" s="1"/>
  <c r="N140" i="10"/>
  <c r="N7" i="10"/>
  <c r="A5" i="10"/>
  <c r="P5" i="12" s="1"/>
  <c r="D5" i="10"/>
  <c r="I5" i="12" s="1"/>
  <c r="E50" i="10"/>
  <c r="N50" i="10" s="1"/>
  <c r="R223" i="10"/>
  <c r="Q223" i="10"/>
  <c r="G158" i="10"/>
  <c r="P158" i="10" s="1"/>
  <c r="F158" i="10"/>
  <c r="E158" i="10"/>
  <c r="N158" i="10" s="1"/>
  <c r="O158" i="10"/>
  <c r="N147" i="10"/>
  <c r="J147" i="10"/>
  <c r="Q147" i="10" s="1"/>
  <c r="E147" i="10"/>
  <c r="F147" i="10"/>
  <c r="O147" i="10" s="1"/>
  <c r="O143" i="10" s="1"/>
  <c r="F143" i="10" s="1"/>
  <c r="K16" i="12" s="1"/>
  <c r="N16" i="12" s="1"/>
  <c r="N178" i="10"/>
  <c r="H178" i="10"/>
  <c r="S178" i="10" s="1"/>
  <c r="S143" i="10" s="1"/>
  <c r="F216" i="10"/>
  <c r="H216" i="10"/>
  <c r="S216" i="10" s="1"/>
  <c r="E216" i="10"/>
  <c r="N216" i="10" s="1"/>
  <c r="J216" i="10"/>
  <c r="O383" i="10"/>
  <c r="Q383" i="10"/>
  <c r="Q373" i="10" s="1"/>
  <c r="N383" i="10"/>
  <c r="S383" i="10"/>
  <c r="O216" i="10"/>
  <c r="N193" i="10"/>
  <c r="N27" i="10"/>
  <c r="E223" i="10"/>
  <c r="N223" i="10" s="1"/>
  <c r="J178" i="10"/>
  <c r="Q178" i="10" s="1"/>
  <c r="P17" i="10"/>
  <c r="P213" i="10"/>
  <c r="R216" i="10"/>
  <c r="A143" i="10"/>
  <c r="P16" i="12" s="1"/>
  <c r="N79" i="10"/>
  <c r="H79" i="10"/>
  <c r="S79" i="10" s="1"/>
  <c r="F79" i="10"/>
  <c r="O79" i="10" s="1"/>
  <c r="Q79" i="10"/>
  <c r="M79" i="10"/>
  <c r="E79" i="10"/>
  <c r="G193" i="10"/>
  <c r="P193" i="10" s="1"/>
  <c r="K346" i="10"/>
  <c r="R346" i="10" s="1"/>
  <c r="J346" i="10"/>
  <c r="Q346" i="10" s="1"/>
  <c r="F346" i="10"/>
  <c r="O346" i="10" s="1"/>
  <c r="O344" i="10" s="1"/>
  <c r="F344" i="10" s="1"/>
  <c r="K40" i="12" s="1"/>
  <c r="N40" i="12" s="1"/>
  <c r="N346" i="10"/>
  <c r="N344" i="10" s="1"/>
  <c r="E344" i="10" s="1"/>
  <c r="J40" i="12" s="1"/>
  <c r="M40" i="12" s="1"/>
  <c r="R40" i="12" s="1"/>
  <c r="AB40" i="12" s="1"/>
  <c r="G195" i="10"/>
  <c r="P195" i="10" s="1"/>
  <c r="E195" i="10"/>
  <c r="N195" i="10" s="1"/>
  <c r="F17" i="10"/>
  <c r="O17" i="10" s="1"/>
  <c r="O5" i="10" s="1"/>
  <c r="F5" i="10" s="1"/>
  <c r="K5" i="12" s="1"/>
  <c r="N5" i="12" s="1"/>
  <c r="E16" i="10"/>
  <c r="N16" i="10" s="1"/>
  <c r="E21" i="10"/>
  <c r="N23" i="10"/>
  <c r="N32" i="10"/>
  <c r="N38" i="10"/>
  <c r="F38" i="10"/>
  <c r="O38" i="10" s="1"/>
  <c r="H38" i="10"/>
  <c r="S38" i="10" s="1"/>
  <c r="L38" i="10"/>
  <c r="K38" i="10"/>
  <c r="R38" i="10" s="1"/>
  <c r="F85" i="10"/>
  <c r="O85" i="10" s="1"/>
  <c r="E85" i="10"/>
  <c r="N85" i="10" s="1"/>
  <c r="G223" i="10"/>
  <c r="P223" i="10" s="1"/>
  <c r="R147" i="10"/>
  <c r="R143" i="10" s="1"/>
  <c r="G147" i="10"/>
  <c r="P147" i="10" s="1"/>
  <c r="P143" i="10" s="1"/>
  <c r="G143" i="10" s="1"/>
  <c r="L16" i="12" s="1"/>
  <c r="O16" i="12" s="1"/>
  <c r="K178" i="10"/>
  <c r="R178" i="10" s="1"/>
  <c r="F178" i="10"/>
  <c r="O178" i="10" s="1"/>
  <c r="N197" i="10"/>
  <c r="H197" i="10"/>
  <c r="S197" i="10" s="1"/>
  <c r="S188" i="10" s="1"/>
  <c r="E375" i="10"/>
  <c r="N375" i="10" s="1"/>
  <c r="F375" i="10"/>
  <c r="O375" i="10" s="1"/>
  <c r="O373" i="10" s="1"/>
  <c r="F373" i="10" s="1"/>
  <c r="K15" i="12" s="1"/>
  <c r="K216" i="10"/>
  <c r="E302" i="10"/>
  <c r="N302" i="10" s="1"/>
  <c r="Q302" i="10"/>
  <c r="Q292" i="10" s="1"/>
  <c r="F302" i="10"/>
  <c r="R302" i="10"/>
  <c r="R292" i="10" s="1"/>
  <c r="O302" i="10"/>
  <c r="O292" i="10" s="1"/>
  <c r="F292" i="10" s="1"/>
  <c r="K21" i="12" s="1"/>
  <c r="N21" i="12" s="1"/>
  <c r="H302" i="10"/>
  <c r="S302" i="10" s="1"/>
  <c r="S292" i="10" s="1"/>
  <c r="G272" i="10"/>
  <c r="P272" i="10" s="1"/>
  <c r="P270" i="10" s="1"/>
  <c r="G270" i="10" s="1"/>
  <c r="L45" i="12" s="1"/>
  <c r="O45" i="12" s="1"/>
  <c r="E272" i="10"/>
  <c r="N272" i="10" s="1"/>
  <c r="N270" i="10" s="1"/>
  <c r="E270" i="10" s="1"/>
  <c r="J45" i="12" s="1"/>
  <c r="M45" i="12" s="1"/>
  <c r="R45" i="12" s="1"/>
  <c r="R383" i="10"/>
  <c r="R373" i="10" s="1"/>
  <c r="N294" i="10"/>
  <c r="N292" i="10" s="1"/>
  <c r="E292" i="10" s="1"/>
  <c r="J21" i="12" s="1"/>
  <c r="M21" i="12" s="1"/>
  <c r="R21" i="12" s="1"/>
  <c r="E294" i="10"/>
  <c r="N71" i="10"/>
  <c r="N36" i="10"/>
  <c r="A387" i="10"/>
  <c r="P48" i="12" s="1"/>
  <c r="N389" i="10"/>
  <c r="N387" i="10" s="1"/>
  <c r="E387" i="10" s="1"/>
  <c r="J48" i="12" s="1"/>
  <c r="M48" i="12" s="1"/>
  <c r="R48" i="12" s="1"/>
  <c r="Y48" i="12" s="1"/>
  <c r="E25" i="10"/>
  <c r="N25" i="10" s="1"/>
  <c r="N11" i="10"/>
  <c r="N75" i="10"/>
  <c r="N15" i="10"/>
  <c r="N28" i="10"/>
  <c r="N20" i="10"/>
  <c r="E35" i="10"/>
  <c r="N35" i="10" s="1"/>
  <c r="E22" i="10"/>
  <c r="N34" i="10"/>
  <c r="N198" i="10"/>
  <c r="Q94" i="10"/>
  <c r="E146" i="10"/>
  <c r="O82" i="10"/>
  <c r="F82" i="10" s="1"/>
  <c r="K34" i="12" s="1"/>
  <c r="N34" i="12" s="1"/>
  <c r="P166" i="10"/>
  <c r="F166" i="10"/>
  <c r="O166" i="10" s="1"/>
  <c r="J166" i="10"/>
  <c r="Q166" i="10" s="1"/>
  <c r="N165" i="10"/>
  <c r="R196" i="10"/>
  <c r="R188" i="10" s="1"/>
  <c r="G200" i="10"/>
  <c r="P200" i="10" s="1"/>
  <c r="P196" i="10"/>
  <c r="L303" i="10"/>
  <c r="S204" i="10"/>
  <c r="F207" i="10"/>
  <c r="O207" i="10" s="1"/>
  <c r="N134" i="10"/>
  <c r="K201" i="10"/>
  <c r="R201" i="10" s="1"/>
  <c r="E201" i="10"/>
  <c r="N201" i="10" s="1"/>
  <c r="E204" i="10"/>
  <c r="N204" i="10" s="1"/>
  <c r="F211" i="10"/>
  <c r="O211" i="10" s="1"/>
  <c r="N211" i="10"/>
  <c r="J231" i="10"/>
  <c r="Q231" i="10" s="1"/>
  <c r="K224" i="10"/>
  <c r="R224" i="10" s="1"/>
  <c r="J224" i="10"/>
  <c r="Q224" i="10" s="1"/>
  <c r="N224" i="10"/>
  <c r="G224" i="10"/>
  <c r="P224" i="10" s="1"/>
  <c r="F233" i="10"/>
  <c r="E70" i="10"/>
  <c r="H239" i="10"/>
  <c r="Q239" i="10"/>
  <c r="K239" i="10"/>
  <c r="N239" i="10"/>
  <c r="S239" i="10"/>
  <c r="P239" i="10"/>
  <c r="R239" i="10"/>
  <c r="N8" i="10"/>
  <c r="N5" i="10" s="1"/>
  <c r="E5" i="10" s="1"/>
  <c r="J5" i="12" s="1"/>
  <c r="M5" i="12" s="1"/>
  <c r="N19" i="10"/>
  <c r="N37" i="10"/>
  <c r="N42" i="10"/>
  <c r="N232" i="10"/>
  <c r="N146" i="10"/>
  <c r="N151" i="10"/>
  <c r="N143" i="10" s="1"/>
  <c r="E143" i="10" s="1"/>
  <c r="J16" i="12" s="1"/>
  <c r="M16" i="12" s="1"/>
  <c r="R16" i="12" s="1"/>
  <c r="AB16" i="12" s="1"/>
  <c r="N159" i="10"/>
  <c r="N207" i="10"/>
  <c r="N215" i="10"/>
  <c r="N219" i="10"/>
  <c r="G226" i="10"/>
  <c r="K226" i="10"/>
  <c r="R226" i="10" s="1"/>
  <c r="Q226" i="10"/>
  <c r="P226" i="10"/>
  <c r="H226" i="10"/>
  <c r="S226" i="10" s="1"/>
  <c r="E226" i="10"/>
  <c r="N226" i="10" s="1"/>
  <c r="E231" i="10"/>
  <c r="N231" i="10" s="1"/>
  <c r="F231" i="10"/>
  <c r="O231" i="10" s="1"/>
  <c r="O233" i="10"/>
  <c r="J233" i="10"/>
  <c r="N233" i="10"/>
  <c r="K233" i="10"/>
  <c r="R233" i="10" s="1"/>
  <c r="Q233" i="10"/>
  <c r="N70" i="10"/>
  <c r="K70" i="10"/>
  <c r="R70" i="10" s="1"/>
  <c r="F70" i="10"/>
  <c r="O70" i="10" s="1"/>
  <c r="N227" i="10"/>
  <c r="E229" i="10"/>
  <c r="N229" i="10" s="1"/>
  <c r="E483" i="10"/>
  <c r="N483" i="10" s="1"/>
  <c r="N481" i="10" s="1"/>
  <c r="E481" i="10" s="1"/>
  <c r="J51" i="12" s="1"/>
  <c r="M51" i="12" s="1"/>
  <c r="R51" i="12" s="1"/>
  <c r="N236" i="10"/>
  <c r="Q76" i="10"/>
  <c r="Q69" i="10"/>
  <c r="H69" i="10"/>
  <c r="S69" i="10" s="1"/>
  <c r="Q67" i="10"/>
  <c r="P69" i="10"/>
  <c r="G67" i="10"/>
  <c r="P67" i="10" s="1"/>
  <c r="R71" i="10"/>
  <c r="J71" i="10"/>
  <c r="Q71" i="10" s="1"/>
  <c r="F71" i="10"/>
  <c r="O71" i="10" s="1"/>
  <c r="M71" i="10"/>
  <c r="G160" i="10"/>
  <c r="P160" i="10" s="1"/>
  <c r="G242" i="10"/>
  <c r="P242" i="10" s="1"/>
  <c r="R242" i="10"/>
  <c r="E138" i="10"/>
  <c r="N138" i="10" s="1"/>
  <c r="N94" i="10" s="1"/>
  <c r="E94" i="10" s="1"/>
  <c r="J7" i="12" s="1"/>
  <c r="M7" i="12" s="1"/>
  <c r="R7" i="12" s="1"/>
  <c r="Y40" i="12"/>
  <c r="M49" i="12"/>
  <c r="R49" i="12" s="1"/>
  <c r="AB49" i="12" s="1"/>
  <c r="R94" i="10"/>
  <c r="N48" i="12"/>
  <c r="S94" i="10"/>
  <c r="P9" i="12"/>
  <c r="N82" i="10"/>
  <c r="E82" i="10" s="1"/>
  <c r="J34" i="12" s="1"/>
  <c r="M34" i="12" s="1"/>
  <c r="R34" i="12" s="1"/>
  <c r="AB34" i="12" s="1"/>
  <c r="N49" i="12"/>
  <c r="Y31" i="12" l="1"/>
  <c r="R5" i="12"/>
  <c r="AB5" i="12" s="1"/>
  <c r="AB41" i="12"/>
  <c r="Y25" i="12"/>
  <c r="AB6" i="12"/>
  <c r="AB35" i="12"/>
  <c r="R22" i="12"/>
  <c r="S22" i="12" s="1"/>
  <c r="R17" i="12"/>
  <c r="AB12" i="12"/>
  <c r="R11" i="12"/>
  <c r="AB11" i="12" s="1"/>
  <c r="N15" i="12"/>
  <c r="AB24" i="12"/>
  <c r="N8" i="12"/>
  <c r="I2" i="12"/>
  <c r="B1" i="12" s="1"/>
  <c r="AB14" i="12"/>
  <c r="F2" i="12"/>
  <c r="D2" i="12" s="1"/>
  <c r="O15" i="12"/>
  <c r="P2" i="12"/>
  <c r="N7" i="12"/>
  <c r="M8" i="12"/>
  <c r="R8" i="12" s="1"/>
  <c r="AB8" i="12" s="1"/>
  <c r="Y13" i="12"/>
  <c r="AB13" i="12"/>
  <c r="Y34" i="12"/>
  <c r="Y42" i="12"/>
  <c r="AB42" i="12"/>
  <c r="E2" i="12"/>
  <c r="C2" i="12" s="1"/>
  <c r="D2" i="10"/>
  <c r="Y7" i="12"/>
  <c r="AB7" i="12"/>
  <c r="Y5" i="12"/>
  <c r="N188" i="10"/>
  <c r="E188" i="10" s="1"/>
  <c r="J9" i="12" s="1"/>
  <c r="M9" i="12" s="1"/>
  <c r="R9" i="12" s="1"/>
  <c r="Y21" i="12"/>
  <c r="AB21" i="12"/>
  <c r="O2" i="10"/>
  <c r="F2" i="10" s="1"/>
  <c r="Q143" i="10"/>
  <c r="P188" i="10"/>
  <c r="G188" i="10" s="1"/>
  <c r="L9" i="12" s="1"/>
  <c r="O9" i="12" s="1"/>
  <c r="N373" i="10"/>
  <c r="E373" i="10" s="1"/>
  <c r="J15" i="12" s="1"/>
  <c r="M15" i="12" s="1"/>
  <c r="C2" i="10"/>
  <c r="P64" i="10"/>
  <c r="Y49" i="12"/>
  <c r="P5" i="10"/>
  <c r="Y16" i="12"/>
  <c r="F188" i="10"/>
  <c r="K9" i="12" s="1"/>
  <c r="N9" i="12" s="1"/>
  <c r="S5" i="12" l="1"/>
  <c r="N2" i="12"/>
  <c r="K2" i="12" s="1"/>
  <c r="Y11" i="12"/>
  <c r="S11" i="12"/>
  <c r="Y8" i="12"/>
  <c r="S8" i="12"/>
  <c r="R15" i="12"/>
  <c r="Y15" i="12" s="1"/>
  <c r="M2" i="12"/>
  <c r="R2" i="12" s="1"/>
  <c r="AB2" i="12" s="1"/>
  <c r="N2" i="10"/>
  <c r="E2" i="10" s="1"/>
  <c r="G5" i="10"/>
  <c r="L5" i="12" s="1"/>
  <c r="O5" i="12" s="1"/>
  <c r="O2" i="12" s="1"/>
  <c r="L2" i="12" s="1"/>
  <c r="P2" i="10"/>
  <c r="G2" i="10" s="1"/>
  <c r="Y9" i="12"/>
  <c r="AB9" i="12"/>
  <c r="J2" i="12" l="1"/>
  <c r="C1" i="12" s="1"/>
</calcChain>
</file>

<file path=xl/comments1.xml><?xml version="1.0" encoding="utf-8"?>
<comments xmlns="http://schemas.openxmlformats.org/spreadsheetml/2006/main">
  <authors>
    <author>Gavin Mudd</author>
  </authors>
  <commentList>
    <comment ref="D45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The Minedex data for the Wildara-Waterloo Ni project appears to be incorrect, with the Minedex report (20 Dec. 2011) citing 672 Mt ore at 1.95% Ni for 13.1 Mt Ni – yet current searches of Minedex do not show this historical data and the current resource reported by owner Norilsk Nickel and Minedex is 1.08 Mt ore at 1.73% Ni for 18.7 kt Ni (although Minedex has 11 Mt of probable ore when it should be 11 kt ore). A more recent Minedex search (5 May 2013) now gives 37.63 Mt Ni of resources in WA.</t>
        </r>
      </text>
    </comment>
    <comment ref="E45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The Minedex data for the Wildara-Waterloo Ni project appears to be incorrect, with the Minedex report (20 Dec. 2011) citing 672 Mt ore at 1.95% Ni for 13.1 Mt Ni – yet current searches of Minedex do not show this historical data and the current resource reported by owner Norilsk Nickel and Minedex is 1.08 Mt ore at 1.73% Ni for 18.7 kt Ni (although Minedex has 11 Mt of probable ore when it should be 11 kt ore). A more recent Minedex search (5 May 2013) now gives 37.63 Mt Ni of resources in WA.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The Minedex data for the Wildara-Waterloo Ni project appears to be incorrect, with the Minedex report (20 Dec. 2011) citing 672 Mt ore at 1.95% Ni for 13.1 Mt Ni – yet current searches of Minedex do not show this historical data and the current resource reported by owner Norilsk Nickel and Minedex is 1.08 Mt ore at 1.73% Ni for 18.7 kt Ni (although Minedex has 11 Mt of probable ore when it should be 11 kt ore). A more recent Minedex search (5 May 2013) now gives 37.63 Mt Ni of resources in WA.</t>
        </r>
      </text>
    </comment>
    <comment ref="D190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E190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F190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G190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H190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I190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J190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K190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D191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E191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F191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D192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E192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F192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G192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</commentList>
</comments>
</file>

<file path=xl/comments2.xml><?xml version="1.0" encoding="utf-8"?>
<comments xmlns="http://schemas.openxmlformats.org/spreadsheetml/2006/main">
  <authors>
    <author>Gavin Mudd</author>
  </authors>
  <commentList>
    <comment ref="D151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E151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approximate estimate based on 2005 Inco reported reserves + resources minus mining from 2006 to 2011.</t>
        </r>
      </text>
    </comment>
    <comment ref="D231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based on 367 Mt ore at 1.56% Ni from Vale Inco report (2008) minus 2010-11 mining</t>
        </r>
      </text>
    </comment>
    <comment ref="E231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based on 367 Mt ore at 1.56% Ni from Vale Inco report (2008) minus 2010-11 mining</t>
        </r>
      </text>
    </comment>
    <comment ref="F231" authorId="0">
      <text>
        <r>
          <rPr>
            <b/>
            <sz val="8"/>
            <color indexed="81"/>
            <rFont val="Tahoma"/>
            <family val="2"/>
          </rPr>
          <t>Gavin Mudd:</t>
        </r>
        <r>
          <rPr>
            <sz val="8"/>
            <color indexed="81"/>
            <rFont val="Tahoma"/>
            <family val="2"/>
          </rPr>
          <t xml:space="preserve">
- based on 2011 reported grade by Vale, consistent with earlier reporting by Inco.</t>
        </r>
      </text>
    </comment>
  </commentList>
</comments>
</file>

<file path=xl/sharedStrings.xml><?xml version="1.0" encoding="utf-8"?>
<sst xmlns="http://schemas.openxmlformats.org/spreadsheetml/2006/main" count="7431" uniqueCount="1154">
  <si>
    <t>Mt ore</t>
  </si>
  <si>
    <t>g/t Au</t>
  </si>
  <si>
    <t>%Cu</t>
  </si>
  <si>
    <t>g/t Ag</t>
  </si>
  <si>
    <t>kt Cu</t>
  </si>
  <si>
    <t>Company</t>
  </si>
  <si>
    <t>Other</t>
  </si>
  <si>
    <t>BHP Billiton</t>
  </si>
  <si>
    <t>Leinster</t>
  </si>
  <si>
    <t>%Co</t>
  </si>
  <si>
    <t>%Ni</t>
  </si>
  <si>
    <t>kt Ni</t>
  </si>
  <si>
    <t>kt Co</t>
  </si>
  <si>
    <t>Mt Keith</t>
  </si>
  <si>
    <t>Cliffs</t>
  </si>
  <si>
    <t>Yakabindie</t>
  </si>
  <si>
    <t>Kagara Zinc</t>
  </si>
  <si>
    <t>Lounge Lizard</t>
  </si>
  <si>
    <t>MMG</t>
  </si>
  <si>
    <t>Perilya Mines</t>
  </si>
  <si>
    <t>Panoramic Resources</t>
  </si>
  <si>
    <t>Copernicus</t>
  </si>
  <si>
    <t>Mincor Resources</t>
  </si>
  <si>
    <t>Independence Group</t>
  </si>
  <si>
    <t>Kambalda-Australian Mines</t>
  </si>
  <si>
    <t>Australian Mines</t>
  </si>
  <si>
    <t>Nepean</t>
  </si>
  <si>
    <t>Focus Minerals</t>
  </si>
  <si>
    <t>First Quantum</t>
  </si>
  <si>
    <t>Murrin Murrin</t>
  </si>
  <si>
    <t>Wingellina</t>
  </si>
  <si>
    <t>Wiluna Ni</t>
  </si>
  <si>
    <t>Canegrass</t>
  </si>
  <si>
    <t>West Musgrave (Nebo-Babel)</t>
  </si>
  <si>
    <t>Honeymoon Well</t>
  </si>
  <si>
    <t>Western Areas</t>
  </si>
  <si>
    <t>Poseidon Nickel</t>
  </si>
  <si>
    <t>Heron Resources</t>
  </si>
  <si>
    <t>Metals X</t>
  </si>
  <si>
    <t>Xstrata</t>
  </si>
  <si>
    <t>Lake Johnston</t>
  </si>
  <si>
    <t>Black Swan</t>
  </si>
  <si>
    <t>Waterloo</t>
  </si>
  <si>
    <t>Cawse</t>
  </si>
  <si>
    <t>Ore Type</t>
  </si>
  <si>
    <t>Sulfide</t>
  </si>
  <si>
    <t>Laterite</t>
  </si>
  <si>
    <t>Flying Fox</t>
  </si>
  <si>
    <t>Spotted Quoll</t>
  </si>
  <si>
    <t>Cosmic Boy</t>
  </si>
  <si>
    <t>New Morning / Daybreak</t>
  </si>
  <si>
    <t>Beautiful Sunday</t>
  </si>
  <si>
    <t>Diggers</t>
  </si>
  <si>
    <t>Mt Windarra</t>
  </si>
  <si>
    <t>South Windarra</t>
  </si>
  <si>
    <t>Windarra Oxides</t>
  </si>
  <si>
    <t>Cerberus</t>
  </si>
  <si>
    <t>Avebury</t>
  </si>
  <si>
    <t>Metallica Minerals</t>
  </si>
  <si>
    <t>Jervois Mining</t>
  </si>
  <si>
    <t>Barnes Hill</t>
  </si>
  <si>
    <t>Proto Resources</t>
  </si>
  <si>
    <t>GME Resources</t>
  </si>
  <si>
    <t>Syerston</t>
  </si>
  <si>
    <t>Deposits</t>
  </si>
  <si>
    <t>Waite Kauri North</t>
  </si>
  <si>
    <t>Nickelore</t>
  </si>
  <si>
    <t>Sherlock Bay</t>
  </si>
  <si>
    <t>Discovery, Symond</t>
  </si>
  <si>
    <t>Long, Victor South, McLeay, Moran</t>
  </si>
  <si>
    <t>Savannah</t>
  </si>
  <si>
    <t>Sally Malay</t>
  </si>
  <si>
    <t>Blair, Marriott's, Goodyear</t>
  </si>
  <si>
    <t>Ivanplats Syerston</t>
  </si>
  <si>
    <t>Magma Metals</t>
  </si>
  <si>
    <t>Munni Munni</t>
  </si>
  <si>
    <t>Panton</t>
  </si>
  <si>
    <t>Platina Resources</t>
  </si>
  <si>
    <t>Platinum Australia</t>
  </si>
  <si>
    <t>Weld Range (Cr)</t>
  </si>
  <si>
    <t>Weld Range (Ni)</t>
  </si>
  <si>
    <t>Weld Range Metals (Atomaer)</t>
  </si>
  <si>
    <t>Marshall Pool</t>
  </si>
  <si>
    <t>Silver Lake Resources</t>
  </si>
  <si>
    <t>Coglia Well-Irwin Hills</t>
  </si>
  <si>
    <t>Coglia Well, Irwin Hills, Rocky Well</t>
  </si>
  <si>
    <t>Barra Resources50%, Fission Energy50%</t>
  </si>
  <si>
    <t>Mt Thirsty</t>
  </si>
  <si>
    <t>Pardoo-Highway</t>
  </si>
  <si>
    <t>Segue Resources</t>
  </si>
  <si>
    <t>Ravensthorpe-Nindilbillup</t>
  </si>
  <si>
    <t>Consolidated Minerals</t>
  </si>
  <si>
    <t>Pyke Hill</t>
  </si>
  <si>
    <t>Australasian Resources</t>
  </si>
  <si>
    <t>Fox Resources</t>
  </si>
  <si>
    <t>Radio Hill</t>
  </si>
  <si>
    <t>Radio Hill, Sholl, Ruth Well</t>
  </si>
  <si>
    <t>Mineral Patch Hill</t>
  </si>
  <si>
    <t>Pelican</t>
  </si>
  <si>
    <t>Panoramic60%, Thundelarra40%</t>
  </si>
  <si>
    <t>Toomey Hill</t>
  </si>
  <si>
    <t>Camelback Bore</t>
  </si>
  <si>
    <t>unknown</t>
  </si>
  <si>
    <t>Larkins Find</t>
  </si>
  <si>
    <t>Binti Binti</t>
  </si>
  <si>
    <t>Gandel Metals70%, Barra Resources30%</t>
  </si>
  <si>
    <t>Breakaway Resources</t>
  </si>
  <si>
    <t>Wildara-Horn</t>
  </si>
  <si>
    <t>Kambalda (Cons. Minerals)</t>
  </si>
  <si>
    <t>Bamboo Creek</t>
  </si>
  <si>
    <t>Kitchener Mining50%, Destra25%, Haoma Mining25%</t>
  </si>
  <si>
    <t>Berkeley Resources</t>
  </si>
  <si>
    <t>Miriam</t>
  </si>
  <si>
    <t>Cookes Creek</t>
  </si>
  <si>
    <t>Hazelwood Resources</t>
  </si>
  <si>
    <t>Xstrata60%, Pioneer Resources40%</t>
  </si>
  <si>
    <t>Acra-Kurnalpi</t>
  </si>
  <si>
    <t>Keller Creek-Eskimo Knoll</t>
  </si>
  <si>
    <t>International Petroleum</t>
  </si>
  <si>
    <t>Snake Hill-Cullens</t>
  </si>
  <si>
    <t>Corkwood</t>
  </si>
  <si>
    <t>Byro East</t>
  </si>
  <si>
    <t>Athena Resources80%, Lightwave Investments20%</t>
  </si>
  <si>
    <t>Trough Well</t>
  </si>
  <si>
    <t>Southern Cross Goldfields</t>
  </si>
  <si>
    <t>Mt Jewell-GSP</t>
  </si>
  <si>
    <t>Altona Mining</t>
  </si>
  <si>
    <t>Nornico-Greenvale</t>
  </si>
  <si>
    <t>Metallica Minerals80%, Straits Resources20%</t>
  </si>
  <si>
    <t>Nornico-Bell Creek</t>
  </si>
  <si>
    <t>Nornico-The Neck</t>
  </si>
  <si>
    <t>Nornico-Minnamoolka</t>
  </si>
  <si>
    <t>Gold Fields</t>
  </si>
  <si>
    <t>Total</t>
  </si>
  <si>
    <t>Mine / Deposit</t>
  </si>
  <si>
    <t>SA</t>
  </si>
  <si>
    <t>NSW</t>
  </si>
  <si>
    <t>QLD</t>
  </si>
  <si>
    <t>WA</t>
  </si>
  <si>
    <t>NT</t>
  </si>
  <si>
    <t>TAS</t>
  </si>
  <si>
    <t>Status</t>
  </si>
  <si>
    <t>Operating</t>
  </si>
  <si>
    <t>Development</t>
  </si>
  <si>
    <t>Care &amp; Maint.</t>
  </si>
  <si>
    <t>Deposit</t>
  </si>
  <si>
    <t>Augur Resources</t>
  </si>
  <si>
    <t>Young</t>
  </si>
  <si>
    <t>Summervale-Nyngan</t>
  </si>
  <si>
    <t>Solomon Gold</t>
  </si>
  <si>
    <t>State</t>
  </si>
  <si>
    <t>Mt Fitch</t>
  </si>
  <si>
    <t>Area 55</t>
  </si>
  <si>
    <t>Brown's-Brown's East</t>
  </si>
  <si>
    <t>Rio Tinto</t>
  </si>
  <si>
    <t>Brazil</t>
  </si>
  <si>
    <t>India</t>
  </si>
  <si>
    <t>PT Antam</t>
  </si>
  <si>
    <t>Cameroon</t>
  </si>
  <si>
    <t>Claude Hills</t>
  </si>
  <si>
    <t>Russia</t>
  </si>
  <si>
    <t>Maslovskoye</t>
  </si>
  <si>
    <t>g/t Pt</t>
  </si>
  <si>
    <t>g/t Pd</t>
  </si>
  <si>
    <t>t Pd</t>
  </si>
  <si>
    <t>t Au</t>
  </si>
  <si>
    <t>Botswana</t>
  </si>
  <si>
    <t>South</t>
  </si>
  <si>
    <t>Africa</t>
  </si>
  <si>
    <t>Nkomati</t>
  </si>
  <si>
    <t>Finland</t>
  </si>
  <si>
    <t>Kevitsa</t>
  </si>
  <si>
    <t>Hitura</t>
  </si>
  <si>
    <t>China</t>
  </si>
  <si>
    <t>Jinchuan</t>
  </si>
  <si>
    <t>Canada</t>
  </si>
  <si>
    <t>Philippines</t>
  </si>
  <si>
    <t>Berong</t>
  </si>
  <si>
    <t>Indonesia</t>
  </si>
  <si>
    <t>Sorowako</t>
  </si>
  <si>
    <t>Vale Inco</t>
  </si>
  <si>
    <t>Ufaleynikel</t>
  </si>
  <si>
    <t>Cuba</t>
  </si>
  <si>
    <t>Guatemala</t>
  </si>
  <si>
    <t>Vietnam</t>
  </si>
  <si>
    <t>Ban Phuc</t>
  </si>
  <si>
    <t>Asian Mineral Resources</t>
  </si>
  <si>
    <t>PNG</t>
  </si>
  <si>
    <t>Ramu</t>
  </si>
  <si>
    <t>MCC-85%, Highlands Pacific-8%</t>
  </si>
  <si>
    <t>Taganito</t>
  </si>
  <si>
    <t>Columbia</t>
  </si>
  <si>
    <t>Cerro Matoso</t>
  </si>
  <si>
    <t>Zimbabwe</t>
  </si>
  <si>
    <t>Bindura-Trojan</t>
  </si>
  <si>
    <t>Bindura-Shangani</t>
  </si>
  <si>
    <t>Madagascar</t>
  </si>
  <si>
    <t>Ambatovy</t>
  </si>
  <si>
    <t>Sherritt International</t>
  </si>
  <si>
    <t>Altai</t>
  </si>
  <si>
    <t>Russian Nickel Company</t>
  </si>
  <si>
    <t>Talvivaara</t>
  </si>
  <si>
    <t>New</t>
  </si>
  <si>
    <t>Caledonia</t>
  </si>
  <si>
    <t>Eramet-SLN</t>
  </si>
  <si>
    <t>Barro Alto</t>
  </si>
  <si>
    <t>Anglo American</t>
  </si>
  <si>
    <t>Tati-Selkirk</t>
  </si>
  <si>
    <t>Tati-Phoenix</t>
  </si>
  <si>
    <t>Loma de Niquel</t>
  </si>
  <si>
    <t>Venezuela</t>
  </si>
  <si>
    <t>Kavadarci</t>
  </si>
  <si>
    <t>Greece</t>
  </si>
  <si>
    <t>Larco</t>
  </si>
  <si>
    <t>Zambia</t>
  </si>
  <si>
    <t>Munali</t>
  </si>
  <si>
    <t>Albidon</t>
  </si>
  <si>
    <t>Onça Puma</t>
  </si>
  <si>
    <t>Goro</t>
  </si>
  <si>
    <t>Koniambo</t>
  </si>
  <si>
    <t>Falcondo</t>
  </si>
  <si>
    <t>Dominican</t>
  </si>
  <si>
    <t>Republic</t>
  </si>
  <si>
    <t>Nicaro</t>
  </si>
  <si>
    <t>Punta Gorda</t>
  </si>
  <si>
    <t>Vermelho</t>
  </si>
  <si>
    <t>Turkey</t>
  </si>
  <si>
    <t>Çaldag</t>
  </si>
  <si>
    <t>Acoje</t>
  </si>
  <si>
    <t>Sudbury (Vale Inco)</t>
  </si>
  <si>
    <t>Thompson</t>
  </si>
  <si>
    <t>Voisey's Bay</t>
  </si>
  <si>
    <t>Raglan</t>
  </si>
  <si>
    <t>Sudbury (Xstrata)</t>
  </si>
  <si>
    <t>Araguaia</t>
  </si>
  <si>
    <t>Tanzania</t>
  </si>
  <si>
    <t>Kabanga</t>
  </si>
  <si>
    <t>Codemin-Niquelândia</t>
  </si>
  <si>
    <t>Jacaré</t>
  </si>
  <si>
    <t>Halmahera-Weda Bay</t>
  </si>
  <si>
    <t>Eramet</t>
  </si>
  <si>
    <t>Bucko Lake</t>
  </si>
  <si>
    <t>Crowflight Minerals</t>
  </si>
  <si>
    <t>Lac des Iles</t>
  </si>
  <si>
    <t>North American palladium</t>
  </si>
  <si>
    <t>ENK-European Nickel</t>
  </si>
  <si>
    <t>Albania</t>
  </si>
  <si>
    <t>Xstrata-Barrick</t>
  </si>
  <si>
    <t>ENK-40%, Rusina-40%, Locals-20%</t>
  </si>
  <si>
    <t>Zambales Chromite</t>
  </si>
  <si>
    <t>ENK-50%, Balkan Resources-50%</t>
  </si>
  <si>
    <t>Toledo-52%, Celestial Ni-24%, Brookes Ni-24%</t>
  </si>
  <si>
    <t>Lockerby</t>
  </si>
  <si>
    <t>First Nickel</t>
  </si>
  <si>
    <t>West Graham</t>
  </si>
  <si>
    <t>Dundonald</t>
  </si>
  <si>
    <t>Santa Rita</t>
  </si>
  <si>
    <t>Mirabela Nickel</t>
  </si>
  <si>
    <t>USA</t>
  </si>
  <si>
    <t>Eagle</t>
  </si>
  <si>
    <t>Sulawesi</t>
  </si>
  <si>
    <t>Levack-Morrison</t>
  </si>
  <si>
    <t>Podolsky</t>
  </si>
  <si>
    <t>McCreedy West</t>
  </si>
  <si>
    <t>Victoria</t>
  </si>
  <si>
    <t>Kirkwood</t>
  </si>
  <si>
    <t>Redstone</t>
  </si>
  <si>
    <t>McWatters</t>
  </si>
  <si>
    <t>Hart</t>
  </si>
  <si>
    <t>Liberty Mines</t>
  </si>
  <si>
    <t>Shakespeare</t>
  </si>
  <si>
    <t>Shining Tree</t>
  </si>
  <si>
    <t>Ursa Major Minerals</t>
  </si>
  <si>
    <t>Nokomis-Duluth</t>
  </si>
  <si>
    <t>NorthMet</t>
  </si>
  <si>
    <t>Polymet Mining</t>
  </si>
  <si>
    <t>Maturi</t>
  </si>
  <si>
    <t>Birch Lake</t>
  </si>
  <si>
    <t>Mokopane</t>
  </si>
  <si>
    <t>Sheba's Ridge</t>
  </si>
  <si>
    <t>North American Palladium</t>
  </si>
  <si>
    <t>Shebandowan West</t>
  </si>
  <si>
    <t>Jinchuan Nickel</t>
  </si>
  <si>
    <t>River Valley</t>
  </si>
  <si>
    <t>Pedra Blanca</t>
  </si>
  <si>
    <t>Anglo Am Pt / Solitario</t>
  </si>
  <si>
    <t>Eagle's Nest</t>
  </si>
  <si>
    <t>Parkin</t>
  </si>
  <si>
    <t>Broken Hammer</t>
  </si>
  <si>
    <t>Noront Resources</t>
  </si>
  <si>
    <t>Wallbridge Mining</t>
  </si>
  <si>
    <t>Jilin Jien Nickel / Goldbrook Ventures</t>
  </si>
  <si>
    <t>Spain</t>
  </si>
  <si>
    <t>Aguablanca</t>
  </si>
  <si>
    <t>Lundin Mining Corp.</t>
  </si>
  <si>
    <t>Khomanani</t>
  </si>
  <si>
    <t>Thembelani</t>
  </si>
  <si>
    <t>Khuseleka</t>
  </si>
  <si>
    <t>Siphumelele</t>
  </si>
  <si>
    <t>Tumela</t>
  </si>
  <si>
    <t>Dishaba</t>
  </si>
  <si>
    <t>Bafokeng-Rasimone</t>
  </si>
  <si>
    <t>Twickenham</t>
  </si>
  <si>
    <t>Bathopele</t>
  </si>
  <si>
    <t>Der Brochen</t>
  </si>
  <si>
    <t>Unki - MSZ</t>
  </si>
  <si>
    <t>Anglo American Platinum</t>
  </si>
  <si>
    <t>Boikgantsho</t>
  </si>
  <si>
    <t>Ga Phasha</t>
  </si>
  <si>
    <t>Moa Bay JV</t>
  </si>
  <si>
    <t>Sherritt</t>
  </si>
  <si>
    <t>Analamay</t>
  </si>
  <si>
    <t>African Rainbow-50%, Norilsk Nickel-50%</t>
  </si>
  <si>
    <t>Axiom Mining</t>
  </si>
  <si>
    <t>Solomon</t>
  </si>
  <si>
    <t>Islands</t>
  </si>
  <si>
    <t>Jump-up Dam, Boyce Creek, Aubils</t>
  </si>
  <si>
    <t>Prospect D-Barrow Creek</t>
  </si>
  <si>
    <t>Mwana Africa</t>
  </si>
  <si>
    <t>Bindura-Hunter's Road</t>
  </si>
  <si>
    <t>Australia</t>
  </si>
  <si>
    <t>African Eagle</t>
  </si>
  <si>
    <t>Dutwa</t>
  </si>
  <si>
    <t>Bumi Modern</t>
  </si>
  <si>
    <t>Seahawk Resources-50%, Private-50%</t>
  </si>
  <si>
    <t>Malawi</t>
  </si>
  <si>
    <t>Chimimbe Hill</t>
  </si>
  <si>
    <t>Lisungwe (formerly)</t>
  </si>
  <si>
    <t>Sierra</t>
  </si>
  <si>
    <t>Leone</t>
  </si>
  <si>
    <t>Gori Hills</t>
  </si>
  <si>
    <t>Prospect</t>
  </si>
  <si>
    <t>Nachingwea</t>
  </si>
  <si>
    <t>Continental Nickel</t>
  </si>
  <si>
    <t>Caledonia Mining Corp</t>
  </si>
  <si>
    <t>Nama</t>
  </si>
  <si>
    <t>Wowo Gap</t>
  </si>
  <si>
    <t>Resource Mining Corp.</t>
  </si>
  <si>
    <t>Mindoro Resources-75%, Minimax Mineral Expl.-25%</t>
  </si>
  <si>
    <t>Alpha</t>
  </si>
  <si>
    <t>Mbmi Resources</t>
  </si>
  <si>
    <t>Nickel Asia Corp</t>
  </si>
  <si>
    <t>Intex Resources</t>
  </si>
  <si>
    <t>Pujada</t>
  </si>
  <si>
    <t>Asiaticus Management Corp</t>
  </si>
  <si>
    <t>Santa Cruz</t>
  </si>
  <si>
    <t>Benguet Corp</t>
  </si>
  <si>
    <t>Denison</t>
  </si>
  <si>
    <t>Vale Inco / Lonmin</t>
  </si>
  <si>
    <t>Nkamouna</t>
  </si>
  <si>
    <t>Geovic Mining Corp</t>
  </si>
  <si>
    <t>Mada</t>
  </si>
  <si>
    <t>Laterite?</t>
  </si>
  <si>
    <t>Dragon Mining</t>
  </si>
  <si>
    <t>Sweden</t>
  </si>
  <si>
    <t>Gladstone Pacific Nickel</t>
  </si>
  <si>
    <t>Werner Lake-Big Zone</t>
  </si>
  <si>
    <t>Puget Ventures</t>
  </si>
  <si>
    <t>Norpax</t>
  </si>
  <si>
    <t>Spitzkop-Kennedy's Vale</t>
  </si>
  <si>
    <t>Mareesburg</t>
  </si>
  <si>
    <t>Eastern Platinum</t>
  </si>
  <si>
    <t>Rio Tuba</t>
  </si>
  <si>
    <t>Mimosa - South Hill</t>
  </si>
  <si>
    <t>Mimosa - North Hill</t>
  </si>
  <si>
    <t>Impala Platinum-50%, Aquarius Platinum-50%</t>
  </si>
  <si>
    <t>Tjate</t>
  </si>
  <si>
    <t>Jubilee Platinum</t>
  </si>
  <si>
    <t>Thunder Bay North-Current Lake</t>
  </si>
  <si>
    <t>Nickel Hill</t>
  </si>
  <si>
    <t>Amari Resources-50%, Zimbabwe Mining Devt Corp-50%</t>
  </si>
  <si>
    <t>Spruce Road</t>
  </si>
  <si>
    <t>Norilsk Nickel</t>
  </si>
  <si>
    <t>First Quantum Minerals</t>
  </si>
  <si>
    <t>Lesego</t>
  </si>
  <si>
    <t>Village Main Reef</t>
  </si>
  <si>
    <t>Devolli (Koko)</t>
  </si>
  <si>
    <t>Ipanema</t>
  </si>
  <si>
    <t>Jacupiranga</t>
  </si>
  <si>
    <t>Vale Inco ??</t>
  </si>
  <si>
    <t>Note: USGS (2011) - Ni-Co laterite report</t>
  </si>
  <si>
    <t>Morro de Engenho</t>
  </si>
  <si>
    <t>Companhia de Pesquisa de Recursos Minerais (CPRM)</t>
  </si>
  <si>
    <t>http://www.cprm.gov.br/opor/pdf/mengenho.pdf</t>
  </si>
  <si>
    <t>Água Branca</t>
  </si>
  <si>
    <t>ENEEL</t>
  </si>
  <si>
    <t>Montes Claros</t>
  </si>
  <si>
    <t>Tira Pressa</t>
  </si>
  <si>
    <t>Diorama</t>
  </si>
  <si>
    <t>Montita</t>
  </si>
  <si>
    <t>Votarantim Group</t>
  </si>
  <si>
    <t>Isabela Island</t>
  </si>
  <si>
    <t>Toledo-56.1%, Atlas Mining</t>
  </si>
  <si>
    <t>Casiguran</t>
  </si>
  <si>
    <t>Century Peak Metals</t>
  </si>
  <si>
    <t>Rapid City II</t>
  </si>
  <si>
    <t>Lagonoy</t>
  </si>
  <si>
    <t>Manicani</t>
  </si>
  <si>
    <t>Isabela-New Frontier</t>
  </si>
  <si>
    <t>Nonoc</t>
  </si>
  <si>
    <t>Philnico Developments</t>
  </si>
  <si>
    <t>Palawan-Coral Bay</t>
  </si>
  <si>
    <t>Coral Bay Mining Corp.</t>
  </si>
  <si>
    <t>Prony</t>
  </si>
  <si>
    <r>
      <t xml:space="preserve">Bahubulu </t>
    </r>
    <r>
      <rPr>
        <b/>
        <sz val="11"/>
        <color rgb="FF0000FF"/>
        <rFont val="Arial"/>
        <family val="2"/>
      </rPr>
      <t>(#)</t>
    </r>
  </si>
  <si>
    <r>
      <t xml:space="preserve">Tapunopaka </t>
    </r>
    <r>
      <rPr>
        <b/>
        <sz val="11"/>
        <color rgb="FF0000FF"/>
        <rFont val="Arial"/>
        <family val="2"/>
      </rPr>
      <t>(#)</t>
    </r>
  </si>
  <si>
    <r>
      <t xml:space="preserve">Lalindu-Lasolo </t>
    </r>
    <r>
      <rPr>
        <b/>
        <sz val="11"/>
        <color rgb="FF0000FF"/>
        <rFont val="Arial"/>
        <family val="2"/>
      </rPr>
      <t>(#)</t>
    </r>
  </si>
  <si>
    <r>
      <t xml:space="preserve">Mandiodo </t>
    </r>
    <r>
      <rPr>
        <b/>
        <sz val="11"/>
        <color rgb="FF0000FF"/>
        <rFont val="Arial"/>
        <family val="2"/>
      </rPr>
      <t>(#)</t>
    </r>
  </si>
  <si>
    <r>
      <t xml:space="preserve">Tanjung Buli </t>
    </r>
    <r>
      <rPr>
        <b/>
        <sz val="11"/>
        <color rgb="FF0000FF"/>
        <rFont val="Arial"/>
        <family val="2"/>
      </rPr>
      <t>(#)</t>
    </r>
  </si>
  <si>
    <r>
      <t xml:space="preserve">Sangaji </t>
    </r>
    <r>
      <rPr>
        <b/>
        <sz val="11"/>
        <color rgb="FF0000FF"/>
        <rFont val="Arial"/>
        <family val="2"/>
      </rPr>
      <t>(#)</t>
    </r>
  </si>
  <si>
    <r>
      <t xml:space="preserve">Mornopo </t>
    </r>
    <r>
      <rPr>
        <b/>
        <sz val="11"/>
        <color rgb="FF0000FF"/>
        <rFont val="Arial"/>
        <family val="2"/>
      </rPr>
      <t>(#)</t>
    </r>
  </si>
  <si>
    <t>Obi Island</t>
  </si>
  <si>
    <r>
      <t xml:space="preserve">Carnegie Minerals-50% </t>
    </r>
    <r>
      <rPr>
        <b/>
        <sz val="11"/>
        <color rgb="FFFF0000"/>
        <rFont val="Arial"/>
        <family val="2"/>
      </rPr>
      <t>(?)</t>
    </r>
    <r>
      <rPr>
        <sz val="11"/>
        <color theme="1"/>
        <rFont val="Arial"/>
        <family val="2"/>
      </rPr>
      <t>, PT Antam-50%</t>
    </r>
  </si>
  <si>
    <t>South-east Kalimantan</t>
  </si>
  <si>
    <r>
      <t xml:space="preserve">PT Kreasitama Rimba Persada </t>
    </r>
    <r>
      <rPr>
        <b/>
        <sz val="11"/>
        <color rgb="FFFF0000"/>
        <rFont val="Arial"/>
        <family val="2"/>
      </rPr>
      <t>(?)</t>
    </r>
  </si>
  <si>
    <t>Cuban Government</t>
  </si>
  <si>
    <t>Pinares de Mayari</t>
  </si>
  <si>
    <t>Cajálbana</t>
  </si>
  <si>
    <t>San Felipe</t>
  </si>
  <si>
    <t>Taco Bay</t>
  </si>
  <si>
    <t>1.11</t>
  </si>
  <si>
    <t>1.3</t>
  </si>
  <si>
    <t>1.27</t>
  </si>
  <si>
    <t>Valozoro</t>
  </si>
  <si>
    <t>Diamond Fields International</t>
  </si>
  <si>
    <t>Fenimak-Ržanovo</t>
  </si>
  <si>
    <t>FENI (now owned by French group SCMM)</t>
  </si>
  <si>
    <t>Myanmar</t>
  </si>
  <si>
    <t>Mwetaung</t>
  </si>
  <si>
    <t>Tagaung Taung</t>
  </si>
  <si>
    <t>Bhimatangar</t>
  </si>
  <si>
    <t>Kaliapani</t>
  </si>
  <si>
    <t>Kansa</t>
  </si>
  <si>
    <t>Saruabil</t>
  </si>
  <si>
    <t xml:space="preserve">Simlipal </t>
  </si>
  <si>
    <t>1.03</t>
  </si>
  <si>
    <t>0.88</t>
  </si>
  <si>
    <t>0.8</t>
  </si>
  <si>
    <t>0.92</t>
  </si>
  <si>
    <t>1.0</t>
  </si>
  <si>
    <t>Orissa Mining Co.</t>
  </si>
  <si>
    <t>state property</t>
  </si>
  <si>
    <t>Tata Iron &amp; Steel Co. (TISCO)</t>
  </si>
  <si>
    <t>Agios Ioannis</t>
  </si>
  <si>
    <t>Evia</t>
  </si>
  <si>
    <t>Kastoria</t>
  </si>
  <si>
    <t>Burundi</t>
  </si>
  <si>
    <t>Musongati</t>
  </si>
  <si>
    <t>Nyabikere</t>
  </si>
  <si>
    <t>Waga</t>
  </si>
  <si>
    <t>1.31</t>
  </si>
  <si>
    <t>1.45</t>
  </si>
  <si>
    <t>1.38</t>
  </si>
  <si>
    <t>Samancor Chrome</t>
  </si>
  <si>
    <t>Santa Fé-Iporá</t>
  </si>
  <si>
    <t>Cote</t>
  </si>
  <si>
    <t>d'Ivoire</t>
  </si>
  <si>
    <t>Tiuba-Biankouma</t>
  </si>
  <si>
    <r>
      <t xml:space="preserve">Xstrata </t>
    </r>
    <r>
      <rPr>
        <b/>
        <sz val="11"/>
        <color rgb="FFFF0000"/>
        <rFont val="Arial"/>
        <family val="2"/>
      </rPr>
      <t>(?)</t>
    </r>
  </si>
  <si>
    <t>Ethiopia</t>
  </si>
  <si>
    <t xml:space="preserve">Sidamo </t>
  </si>
  <si>
    <t>Fenix-Exmibal</t>
  </si>
  <si>
    <t>Baja Verapaz</t>
  </si>
  <si>
    <t>Anfield Nickel Corp</t>
  </si>
  <si>
    <t>Kazakhstan</t>
  </si>
  <si>
    <t>Gornostai</t>
  </si>
  <si>
    <t>Kempirsai</t>
  </si>
  <si>
    <t>0.065</t>
  </si>
  <si>
    <t>0.059</t>
  </si>
  <si>
    <t>0.054</t>
  </si>
  <si>
    <t>0.91</t>
  </si>
  <si>
    <t>1.14</t>
  </si>
  <si>
    <t xml:space="preserve">Kaznickel; Bekem Metals Inc. </t>
  </si>
  <si>
    <t>Bekem Metals Inc., KKM</t>
  </si>
  <si>
    <t>Kosovo</t>
  </si>
  <si>
    <t>Cikatova</t>
  </si>
  <si>
    <t>Glavica</t>
  </si>
  <si>
    <t>International Mineral Resources (IMR)</t>
  </si>
  <si>
    <t>Puerto</t>
  </si>
  <si>
    <t>Rico</t>
  </si>
  <si>
    <t>Guanajibo</t>
  </si>
  <si>
    <t>Las Mesas</t>
  </si>
  <si>
    <t>0.89</t>
  </si>
  <si>
    <t>0.81</t>
  </si>
  <si>
    <t>Serbia</t>
  </si>
  <si>
    <t>Mokra Gora</t>
  </si>
  <si>
    <t>Rudjinci</t>
  </si>
  <si>
    <t>Veluce</t>
  </si>
  <si>
    <t>0.05</t>
  </si>
  <si>
    <t>0.08</t>
  </si>
  <si>
    <t>0.7</t>
  </si>
  <si>
    <t>1.15</t>
  </si>
  <si>
    <t>1.23</t>
  </si>
  <si>
    <t>Buruktal</t>
  </si>
  <si>
    <t xml:space="preserve">Cheremshanskoe </t>
  </si>
  <si>
    <t>Sakharinskoe</t>
  </si>
  <si>
    <t>Serovskoe</t>
  </si>
  <si>
    <t>0.1</t>
  </si>
  <si>
    <t>0.024</t>
  </si>
  <si>
    <t>0.043</t>
  </si>
  <si>
    <t>1.6</t>
  </si>
  <si>
    <t>0.77</t>
  </si>
  <si>
    <t>Mechel Steel Group OAO (MTL)</t>
  </si>
  <si>
    <t>Quatipuru</t>
  </si>
  <si>
    <t>São João do Piauí</t>
  </si>
  <si>
    <t>Vila Oito</t>
  </si>
  <si>
    <t>1.57</t>
  </si>
  <si>
    <t>1.26</t>
  </si>
  <si>
    <t>Lara Exploration Ltd</t>
  </si>
  <si>
    <r>
      <t xml:space="preserve">Fortaleza </t>
    </r>
    <r>
      <rPr>
        <b/>
        <sz val="11"/>
        <color rgb="FFFF0000"/>
        <rFont val="Arial"/>
        <family val="2"/>
      </rPr>
      <t>(2003 res.)</t>
    </r>
  </si>
  <si>
    <t>Lynn Lake-EL</t>
  </si>
  <si>
    <t>Corazon Mining</t>
  </si>
  <si>
    <t>Mayaniquel-Sechol Group</t>
  </si>
  <si>
    <t>Note: USGS (2011) - Ni-Co laterite report; http://www.investinguatemala.org/index.php?option=com_content&amp;task=view&amp;id=46&amp;Itemid=47&amp;lang=english</t>
  </si>
  <si>
    <t>Kingbao (Jingbao) Mining Co.</t>
  </si>
  <si>
    <t>TISCO (Tata), CNMC</t>
  </si>
  <si>
    <t>Mechel (formerly Oriel Resources plc)</t>
  </si>
  <si>
    <t>Jianshanzi</t>
  </si>
  <si>
    <t>Dawashan</t>
  </si>
  <si>
    <t>Hoikka</t>
  </si>
  <si>
    <t>Note: sourced from Geol Survey Finland</t>
  </si>
  <si>
    <t>Kettukumpu</t>
  </si>
  <si>
    <t>Perttilahti</t>
  </si>
  <si>
    <t>Ruossakero</t>
  </si>
  <si>
    <t>Kuusijärvi</t>
  </si>
  <si>
    <t>Niittylampi</t>
  </si>
  <si>
    <t>Oravainen</t>
  </si>
  <si>
    <t>Ekojoki</t>
  </si>
  <si>
    <t>Sahakoski</t>
  </si>
  <si>
    <t>Keretti</t>
  </si>
  <si>
    <t>Mesaba</t>
  </si>
  <si>
    <t>Teck</t>
  </si>
  <si>
    <t>Ferro Níquel</t>
  </si>
  <si>
    <r>
      <t xml:space="preserve">Cia. Níquel Tocantins / </t>
    </r>
    <r>
      <rPr>
        <b/>
        <sz val="11"/>
        <color rgb="FFFF0000"/>
        <rFont val="Arial"/>
        <family val="2"/>
      </rPr>
      <t>Votarantim Group ??</t>
    </r>
  </si>
  <si>
    <t>http://www.cprm.gov.br/opor/pdf/mengenho.pdf; http://www.vmetais.com.br/en-US/Negocios/ExploracaoMineral/PrincipaisProjetos/Pages/MontesClaros.aspx</t>
  </si>
  <si>
    <t>Kainuu</t>
  </si>
  <si>
    <t>Magnus Minerals</t>
  </si>
  <si>
    <t>Dikoloti</t>
  </si>
  <si>
    <t>Discovery Metals, Xstrata</t>
  </si>
  <si>
    <t>Dumont</t>
  </si>
  <si>
    <t>Royal Nickel Corp</t>
  </si>
  <si>
    <t>Ferguson Lake</t>
  </si>
  <si>
    <t>Starfield Resources</t>
  </si>
  <si>
    <t>Mouat</t>
  </si>
  <si>
    <t>Nevoro</t>
  </si>
  <si>
    <t>Nye Basin</t>
  </si>
  <si>
    <t>Cunico Resources</t>
  </si>
  <si>
    <t>Norway</t>
  </si>
  <si>
    <t>Blackstone Ventures</t>
  </si>
  <si>
    <t>Ertelien</t>
  </si>
  <si>
    <t>Stormyra</t>
  </si>
  <si>
    <t>Dalen</t>
  </si>
  <si>
    <t>Ror</t>
  </si>
  <si>
    <t>Lainejaur</t>
  </si>
  <si>
    <t>Lappvattnet</t>
  </si>
  <si>
    <t>Brannorna</t>
  </si>
  <si>
    <t>Mojo</t>
  </si>
  <si>
    <t>Backviken</t>
  </si>
  <si>
    <t>Grakalen</t>
  </si>
  <si>
    <t>Juggs</t>
  </si>
  <si>
    <t>Kenbridge</t>
  </si>
  <si>
    <t>Canadian Arrow Mines</t>
  </si>
  <si>
    <t>Amur Minerals Corp</t>
  </si>
  <si>
    <t>Minago</t>
  </si>
  <si>
    <t>Victory Nickel</t>
  </si>
  <si>
    <t>Mel</t>
  </si>
  <si>
    <t>Lac Rocher</t>
  </si>
  <si>
    <t>Mustang Minerals Corp</t>
  </si>
  <si>
    <t>Makwa (Maskwa)</t>
  </si>
  <si>
    <t>Sakhara</t>
  </si>
  <si>
    <t>Turnagain</t>
  </si>
  <si>
    <t>Hard Creek Nickel Corp</t>
  </si>
  <si>
    <t>WORLD</t>
  </si>
  <si>
    <t>Number</t>
  </si>
  <si>
    <t>Macedonia</t>
  </si>
  <si>
    <t>Argentina</t>
  </si>
  <si>
    <t>Las Aguilas</t>
  </si>
  <si>
    <t>Type of Deposit 1</t>
  </si>
  <si>
    <t>Archaean Komatiite</t>
  </si>
  <si>
    <t>Hydrothermal Ni</t>
  </si>
  <si>
    <t>Layered Intrusive</t>
  </si>
  <si>
    <t>Shale-hosted Ni</t>
  </si>
  <si>
    <t>Impact-related</t>
  </si>
  <si>
    <t>Proterozoic Komatiite</t>
  </si>
  <si>
    <t>Morro Sem Bone</t>
  </si>
  <si>
    <t>Stratiform Reef</t>
  </si>
  <si>
    <t>Type of Deposit 2</t>
  </si>
  <si>
    <t>?</t>
  </si>
  <si>
    <t>Komatiitic Basalt, rather than true komatiite</t>
  </si>
  <si>
    <t>Flood Basalt related</t>
  </si>
  <si>
    <t>Skarn-type hydrothermal Ni</t>
  </si>
  <si>
    <t>Pilbara</t>
  </si>
  <si>
    <t>Intrusive-type</t>
  </si>
  <si>
    <t>Extrusive-type</t>
  </si>
  <si>
    <t>Sediment-associated</t>
  </si>
  <si>
    <t>Flood Basalt-related</t>
  </si>
  <si>
    <t>Duluth Complex - Keweenawan LIP</t>
  </si>
  <si>
    <t>Siberian Traps LIP</t>
  </si>
  <si>
    <t>Thompson Belt</t>
  </si>
  <si>
    <t>Western Limb Bushveld</t>
  </si>
  <si>
    <t>Layered Intrusion</t>
  </si>
  <si>
    <t>Pechenga camp</t>
  </si>
  <si>
    <t>Oxide</t>
  </si>
  <si>
    <t>Oxide-Mg silicate</t>
  </si>
  <si>
    <t>Clay</t>
  </si>
  <si>
    <t>Sudbury Event</t>
  </si>
  <si>
    <t>PGE-discordant intrusion</t>
  </si>
  <si>
    <t>Stratabound Stratiform Reef-type</t>
  </si>
  <si>
    <t>Similar to Platreef</t>
  </si>
  <si>
    <t>Sediment-hosted polymetallic</t>
  </si>
  <si>
    <t>Proterozoic Tholeiitic</t>
  </si>
  <si>
    <t>Warakurna LIP</t>
  </si>
  <si>
    <t>Remobilised</t>
  </si>
  <si>
    <t>Early Archaean</t>
  </si>
  <si>
    <t>Poorly characterised</t>
  </si>
  <si>
    <t>Platreef</t>
  </si>
  <si>
    <t>Eastern Limb Bushveld</t>
  </si>
  <si>
    <t>NW Limb Bushveld</t>
  </si>
  <si>
    <t>Stratabound Contact-type</t>
  </si>
  <si>
    <t>NE Limb Bushveld</t>
  </si>
  <si>
    <t>Uitkomst Complex</t>
  </si>
  <si>
    <t>Related to Matachewan LIP - Gabbro hosted</t>
  </si>
  <si>
    <t>Nipissing</t>
  </si>
  <si>
    <t>Magmatic Sulphide</t>
  </si>
  <si>
    <t>VMS</t>
  </si>
  <si>
    <t>Magmatic Feeder</t>
  </si>
  <si>
    <t>Intrusion-related</t>
  </si>
  <si>
    <t>Alaskan-type Complex</t>
  </si>
  <si>
    <t>Magmatic sulphide</t>
  </si>
  <si>
    <t>Intrusion-related (Stratiform Contact-type?)</t>
  </si>
  <si>
    <t>Intrusion-related?</t>
  </si>
  <si>
    <t>Great Dyke</t>
  </si>
  <si>
    <t>Stratabound Stratiform Disseminations</t>
  </si>
  <si>
    <t>Actually Pedra Branca</t>
  </si>
  <si>
    <t>Stillwater Complex</t>
  </si>
  <si>
    <t>Proterozoic Komatiite?</t>
  </si>
  <si>
    <t>Sediment-hosted stratiform Cu</t>
  </si>
  <si>
    <t>Cu-Co-Ni</t>
  </si>
  <si>
    <t>Co-Ni-Cu</t>
  </si>
  <si>
    <t>Source</t>
  </si>
  <si>
    <t>6E g/t</t>
  </si>
  <si>
    <t>Ore Sub-Type</t>
  </si>
  <si>
    <t>Mambare</t>
  </si>
  <si>
    <t>Assumes stockpile ('SP') is laterite only</t>
  </si>
  <si>
    <t>disseminated?</t>
  </si>
  <si>
    <t>OC disseminated?</t>
  </si>
  <si>
    <t>Ferruginous Laterite</t>
  </si>
  <si>
    <t>Saprolite</t>
  </si>
  <si>
    <t>Ann Review 2011</t>
  </si>
  <si>
    <t>Ann Report 2011</t>
  </si>
  <si>
    <t>#####</t>
  </si>
  <si>
    <t>disseminated</t>
  </si>
  <si>
    <t>Kola Peninsula</t>
  </si>
  <si>
    <t>4E g/t</t>
  </si>
  <si>
    <t>massive?</t>
  </si>
  <si>
    <t>Ann Review 2011 (NN)</t>
  </si>
  <si>
    <t>Ann Report 2010</t>
  </si>
  <si>
    <t>Maly Krumkon (West)</t>
  </si>
  <si>
    <t>Vodorazdelny-Falcon (Central)</t>
  </si>
  <si>
    <t>Ikenskoe (East)</t>
  </si>
  <si>
    <t>Ann Report 2009</t>
  </si>
  <si>
    <t>Vale Inco-PT Inco</t>
  </si>
  <si>
    <t>Ann Report 2011 (%Cu is 2010)</t>
  </si>
  <si>
    <t>massive/disseminated</t>
  </si>
  <si>
    <t>Cosmos Group</t>
  </si>
  <si>
    <t>Cosmos, AM5, AM6, Odysseus, Mt Goode, Alec Mairs</t>
  </si>
  <si>
    <t>Sinclair</t>
  </si>
  <si>
    <t>Fraser Morgan, Onaping Depth, Falconbridge</t>
  </si>
  <si>
    <t>Serra do Tapa, Vale dos Sonhos, Pau Preto</t>
  </si>
  <si>
    <t>mass.-88%/dissem.-12%</t>
  </si>
  <si>
    <t>Minedex (20-12-2011)</t>
  </si>
  <si>
    <t>Limonite</t>
  </si>
  <si>
    <t>Tech Rep 2005-12 (Oriel Res)</t>
  </si>
  <si>
    <t>Shevchenko Group</t>
  </si>
  <si>
    <t>Shevchenko, Blizhny, Grigoriev, Tarasov, Jubilee, Yuzhny</t>
  </si>
  <si>
    <r>
      <rPr>
        <sz val="11"/>
        <color theme="1"/>
        <rFont val="Arial"/>
        <family val="2"/>
      </rPr>
      <t>Mariners, Redross, Burnett, Miitel, Wannaway, Carnilya Hill, Otter Juan, McMahon/Ken, Durkin, Gellatly, Cameron, Stockwell</t>
    </r>
  </si>
  <si>
    <t>Kambalda-Mincor Group</t>
  </si>
  <si>
    <t>Kambalda-Panoramic Group</t>
  </si>
  <si>
    <t>Cruikshank, Deacon, Gigantus, Helmut South, Helmut South Extension, John, Lanfranchi, Martin, McComish, Schmitz, Winner</t>
  </si>
  <si>
    <t>massive</t>
  </si>
  <si>
    <t>Minedex (20-12-2011; Note: ~2007 resources)</t>
  </si>
  <si>
    <t>Carr Boyd Rocks, Munda, Armstrong, Cooke-166N, McEwen-360N, Mt Edwards-132N, Widgie 3, Widgie Townsite, Zabel-384N</t>
  </si>
  <si>
    <t>Kambalda-Independence Group</t>
  </si>
  <si>
    <t>Ann Report 2011 (%Cu, %Co from qtr-2005-09)</t>
  </si>
  <si>
    <t>Ann Report 2007 (Compass Res.)</t>
  </si>
  <si>
    <r>
      <t xml:space="preserve">Hunnan Australia Resources </t>
    </r>
    <r>
      <rPr>
        <b/>
        <sz val="11"/>
        <color rgb="FFFF0000"/>
        <rFont val="Arial"/>
        <family val="2"/>
      </rPr>
      <t>(present owner)</t>
    </r>
  </si>
  <si>
    <t>Montcalm</t>
  </si>
  <si>
    <t>Ann Report 2008</t>
  </si>
  <si>
    <t>Minedex (20-12-2011); website 08-01-2013)</t>
  </si>
  <si>
    <t>Woodline Well, South Windarra Dumps</t>
  </si>
  <si>
    <t>Kidman Resources (formewrly Goldstake Expl's)</t>
  </si>
  <si>
    <t>Goldstake Pres. (undated; also website 09-01-2013)</t>
  </si>
  <si>
    <t>Kambalda-Scotia Group</t>
  </si>
  <si>
    <t>Ann Report 2010 (also Minedex , 20-12-2011)</t>
  </si>
  <si>
    <t>Scotia, Broad Arrow, St Patricks-Goongarrie, GSP</t>
  </si>
  <si>
    <t>Ravensthorpe</t>
  </si>
  <si>
    <t>Ann Info Form 2011</t>
  </si>
  <si>
    <t>Halleys, Shoemaker-Levy, Hale_Bop, Shoemaker-Levy North, Nindillbillup</t>
  </si>
  <si>
    <t>Ivanplats</t>
  </si>
  <si>
    <t>Panoramic Resources80%, Thundelarra20%</t>
  </si>
  <si>
    <t>Ramelius Resources</t>
  </si>
  <si>
    <t>Spargoville: 1A / 2 or 5B / 3 - Andrews Shaft / 5A</t>
  </si>
  <si>
    <t>Panoramic Resources80%, Western Areas20%</t>
  </si>
  <si>
    <t>Thundelarra Exploration</t>
  </si>
  <si>
    <t>Goongarrie-Big Four</t>
  </si>
  <si>
    <t>Goongarrie-Goongarrie Hill</t>
  </si>
  <si>
    <t>Goongarrie-Goongarrie South</t>
  </si>
  <si>
    <t>Goongarrie-Highway</t>
  </si>
  <si>
    <t>Goongarrie-Scotia</t>
  </si>
  <si>
    <t>Siberia-Siberia South</t>
  </si>
  <si>
    <t>Siberia-Siberia North</t>
  </si>
  <si>
    <t>Siberia-Black Range</t>
  </si>
  <si>
    <t>Siberia-Ghost Rocks</t>
  </si>
  <si>
    <t>Bulong East</t>
  </si>
  <si>
    <t>Yerilla-Jump-Up Dam</t>
  </si>
  <si>
    <t>Yerilla-Boyce Creek</t>
  </si>
  <si>
    <t>Yerilla-Aubilis</t>
  </si>
  <si>
    <t>Glencore Int. (through Minara Resources)</t>
  </si>
  <si>
    <t>Brockman40%, Glencore Int.60%</t>
  </si>
  <si>
    <t>Lake Yindarlgooda</t>
  </si>
  <si>
    <t>Fireant Resources</t>
  </si>
  <si>
    <t>Kalpini-Hampton</t>
  </si>
  <si>
    <t>Lake Rebecca-Hampton</t>
  </si>
  <si>
    <t>Mt Margaret-Lawlers</t>
  </si>
  <si>
    <t>NiWest-Hepi</t>
  </si>
  <si>
    <t>NiWest-Mt Kilkenny</t>
  </si>
  <si>
    <t>NiWest-Wanbanna</t>
  </si>
  <si>
    <t>NiWest-Murrin North</t>
  </si>
  <si>
    <t>NiWest-Waite Kauri</t>
  </si>
  <si>
    <t>NiWest-Mertondale</t>
  </si>
  <si>
    <t>NiWest-Duck Hill</t>
  </si>
  <si>
    <t>NiWest-Macey Hill</t>
  </si>
  <si>
    <t>Blackham Resources</t>
  </si>
  <si>
    <t>Media Rel. 08-03-2011 (Jervois)</t>
  </si>
  <si>
    <t>Pt, Sc</t>
  </si>
  <si>
    <t>Weld Range Metals (Atomaer)-60%, Dragon Mining-40%</t>
  </si>
  <si>
    <t>Black Hills-North Monger</t>
  </si>
  <si>
    <t>Australasian Mining</t>
  </si>
  <si>
    <t>John Ellis, Merv Daw, Nindilbillup, Rav1, Rav5</t>
  </si>
  <si>
    <t>Rav4-Rav8</t>
  </si>
  <si>
    <t>Collerina-Homeville</t>
  </si>
  <si>
    <t>Kurnalpi-Grey Dam</t>
  </si>
  <si>
    <t>Inca Minerals (formerly Condor Nickel)</t>
  </si>
  <si>
    <t>CH Resources</t>
  </si>
  <si>
    <t>Jimberlana-Bronzite Ridge</t>
  </si>
  <si>
    <t>Saracen Mineral Holdings</t>
  </si>
  <si>
    <t>KalNorth Gold Mines</t>
  </si>
  <si>
    <t>Ann Report 2010 (BR)</t>
  </si>
  <si>
    <t>Riverina-Martins</t>
  </si>
  <si>
    <t>Birimian Gold</t>
  </si>
  <si>
    <t>Waite Kauri-Eagle Eye</t>
  </si>
  <si>
    <t>Marlborough-Gladstone Pacific</t>
  </si>
  <si>
    <t>AngloGold Ashanti</t>
  </si>
  <si>
    <t>Young River-Boanaernup</t>
  </si>
  <si>
    <t>Mt Clifford-Marriotts</t>
  </si>
  <si>
    <t>NiWest-Eucalyptus Bore</t>
  </si>
  <si>
    <t>Yerilla (Minara)</t>
  </si>
  <si>
    <t>Tech Rep 2011-12</t>
  </si>
  <si>
    <t>Zn</t>
  </si>
  <si>
    <t>U</t>
  </si>
  <si>
    <t>Quarterly Rep 2011-12</t>
  </si>
  <si>
    <t>Kuhmo-Vaara</t>
  </si>
  <si>
    <t>Kuhmo-Peura-aho</t>
  </si>
  <si>
    <t>Outokumpu-Kylylahti</t>
  </si>
  <si>
    <t>Outokumpu-Saramäki</t>
  </si>
  <si>
    <t>Outokumpu-Hautalampi</t>
  </si>
  <si>
    <t>Outokumpu-Riihilahti</t>
  </si>
  <si>
    <t>Outokumpu-Valkeisenranta</t>
  </si>
  <si>
    <t>Outokumpu-Särkiniemi</t>
  </si>
  <si>
    <t>Outokumpu-Sarkalahti</t>
  </si>
  <si>
    <t>Outokumpu-Niinimäki</t>
  </si>
  <si>
    <t>Kuhmo-Hietaharju</t>
  </si>
  <si>
    <t>Kuhmo-Sika-aho</t>
  </si>
  <si>
    <t>Kuhmo-Arola</t>
  </si>
  <si>
    <t>Phikwe</t>
  </si>
  <si>
    <t>Bamangwato Concessions (BCL)</t>
  </si>
  <si>
    <t>Website (09-01-2013)</t>
  </si>
  <si>
    <t>Selebi</t>
  </si>
  <si>
    <t>Union North/South</t>
  </si>
  <si>
    <t>Pandora JV</t>
  </si>
  <si>
    <t>Tech Rep 2012-08</t>
  </si>
  <si>
    <t>Belvedere Resources</t>
  </si>
  <si>
    <t>Vammala (Ni-Cu)</t>
  </si>
  <si>
    <t>Kaukua</t>
  </si>
  <si>
    <t>Haukiaho</t>
  </si>
  <si>
    <t>Tech Rep 2011-03</t>
  </si>
  <si>
    <t>Arctic/Suhanko</t>
  </si>
  <si>
    <t>Ahmavaara, Konttijärvi, SK Reef</t>
  </si>
  <si>
    <t>Nortec Minerals Corp, Finore Mining</t>
  </si>
  <si>
    <t>Ruimi</t>
  </si>
  <si>
    <t>Rautavaara</t>
  </si>
  <si>
    <t>Website (10-01-2013)</t>
  </si>
  <si>
    <t>FinnAust Mining (Western Areas-81.9%, Magnus Minerals-18.1%)</t>
  </si>
  <si>
    <t>Pres. 2011-11 (FinnAust Mining)</t>
  </si>
  <si>
    <t>Bokoni</t>
  </si>
  <si>
    <t>Booysendal</t>
  </si>
  <si>
    <t>Modikwa</t>
  </si>
  <si>
    <t>Limpopo (Baobab/Doornvlei/Zebedeila)</t>
  </si>
  <si>
    <t>Limpopo (Dwaalkop)</t>
  </si>
  <si>
    <t>Mphahlele (#)</t>
  </si>
  <si>
    <t>Loskop JV (Rietfontein/De Wagendrift) (*)</t>
  </si>
  <si>
    <t>Grootboom (#)</t>
  </si>
  <si>
    <t>Marikana (Lonmin)</t>
  </si>
  <si>
    <t>Rustenburg Other</t>
  </si>
  <si>
    <t>Pilanesburg (Tuschenkomst-Ruighoek) (#)</t>
  </si>
  <si>
    <t>Rooderand (Platmin) (#)</t>
  </si>
  <si>
    <t>Witkleifontein (#)</t>
  </si>
  <si>
    <t>Bakubung (Ledig-Frischgewaagd)</t>
  </si>
  <si>
    <t>Rooderand (#)</t>
  </si>
  <si>
    <t>Mogalakwena</t>
  </si>
  <si>
    <t>Akanani</t>
  </si>
  <si>
    <t>Oorlogsfontein (War Springs) (*)</t>
  </si>
  <si>
    <t>Turfspruit (*)</t>
  </si>
  <si>
    <t>Mvelaphanda Res. / Northam Platinum</t>
  </si>
  <si>
    <t>Anglo Am Pt / Afr Rainbow Mins</t>
  </si>
  <si>
    <t>Lonmin</t>
  </si>
  <si>
    <t>Mvelaphanda Resources / Lonmin</t>
  </si>
  <si>
    <t>Platmin</t>
  </si>
  <si>
    <t>Lonmin / Platmin</t>
  </si>
  <si>
    <t>Royal Bafokeng / Anglo Am Pt</t>
  </si>
  <si>
    <t>Anglo Am Pt / Lonmin</t>
  </si>
  <si>
    <t>Platmin / Moepi</t>
  </si>
  <si>
    <t>Wesizwe / Anglo Am Pt</t>
  </si>
  <si>
    <t>Nkwe Platinum / Platinum Australia</t>
  </si>
  <si>
    <t>Lonmin / Incwala Resources</t>
  </si>
  <si>
    <t>Tech Rep 2009-02</t>
  </si>
  <si>
    <t>Tech Rep 2009-06</t>
  </si>
  <si>
    <t>Ore Geol Rev. (1999) v15, pp 135-151.</t>
  </si>
  <si>
    <t>Website (10-12-2009)</t>
  </si>
  <si>
    <t>Ann Info Form 2011; Tech Rep 2009-03</t>
  </si>
  <si>
    <t>Tech Rep 2007-12</t>
  </si>
  <si>
    <t>Mimosa - Far South Hill</t>
  </si>
  <si>
    <t>Zimplats</t>
  </si>
  <si>
    <t>Impala Platinum</t>
  </si>
  <si>
    <t>Tech Rep 2011-04</t>
  </si>
  <si>
    <t>Rooipoort</t>
  </si>
  <si>
    <t>Tech Rep 2008-05</t>
  </si>
  <si>
    <t>Bokai</t>
  </si>
  <si>
    <t>Eurasian Natural Res Corp, Zimbabwe Mining Devt Corp</t>
  </si>
  <si>
    <t>Tech Rep 2009-01</t>
  </si>
  <si>
    <t>Quadra FNX (now KGHM Polska Miedź)</t>
  </si>
  <si>
    <t>Tech Rep 2011-06</t>
  </si>
  <si>
    <t>Ann Info Form 2010 (QuadraFNX)</t>
  </si>
  <si>
    <t>Pacific North West Capital Corp</t>
  </si>
  <si>
    <t>Media Release (27-03-2006)</t>
  </si>
  <si>
    <t>Media Release (CAMEC; 09-07-2009)</t>
  </si>
  <si>
    <t>Tech Rep 2012-03</t>
  </si>
  <si>
    <t>Tech Rep 2010-04</t>
  </si>
  <si>
    <t>Ann Report 2011 (L)</t>
  </si>
  <si>
    <t>Tech Rep 2012-02</t>
  </si>
  <si>
    <t>Alexo-Kelex</t>
  </si>
  <si>
    <t>Tech Rep 2010-03</t>
  </si>
  <si>
    <t>Tech Rep 2007-03</t>
  </si>
  <si>
    <t>Tech Rep 2008-12</t>
  </si>
  <si>
    <t>Website (12-01-2013)</t>
  </si>
  <si>
    <t>MDA 2011</t>
  </si>
  <si>
    <t>Mayville</t>
  </si>
  <si>
    <t>t Pt</t>
  </si>
  <si>
    <t>Lynn Lake</t>
  </si>
  <si>
    <t>Ann Report 2011 (AAP)</t>
  </si>
  <si>
    <t>Jones et al., CoM 2009</t>
  </si>
  <si>
    <t>Duluth Metals / Antofagasta</t>
  </si>
  <si>
    <t>Ann Info Form 2011 (DM)</t>
  </si>
  <si>
    <t>Duluth Metals</t>
  </si>
  <si>
    <t>Tech Rep 2012-10</t>
  </si>
  <si>
    <t>Fe</t>
  </si>
  <si>
    <t>First Point Minerals Corp</t>
  </si>
  <si>
    <t>Decar-Baptiste</t>
  </si>
  <si>
    <t>Tech Rep 2012-05</t>
  </si>
  <si>
    <t>Xstrata, SMSP</t>
  </si>
  <si>
    <t>Stillwater</t>
  </si>
  <si>
    <t>Stillwater Mining Comp</t>
  </si>
  <si>
    <t>Note: grades estimated based on approximate milling data only.</t>
  </si>
  <si>
    <t>Ann Report 2003 (Rio Tinto)</t>
  </si>
  <si>
    <t>Note: Old resource since nothing reported by Votarantim</t>
  </si>
  <si>
    <t>Marifil Mines, Pacific Coast Nickel Corp</t>
  </si>
  <si>
    <t>Tech Rep 2011-04 (MM)</t>
  </si>
  <si>
    <t>Ann Report 2011 (X)</t>
  </si>
  <si>
    <t>Mibango</t>
  </si>
  <si>
    <t>IMX Resources</t>
  </si>
  <si>
    <r>
      <t xml:space="preserve">Pulau Pakal </t>
    </r>
    <r>
      <rPr>
        <b/>
        <sz val="11"/>
        <color rgb="FF0000FF"/>
        <rFont val="Arial"/>
        <family val="2"/>
      </rPr>
      <t>(#)</t>
    </r>
  </si>
  <si>
    <t>Saprolite/Limonite</t>
  </si>
  <si>
    <t>Tech Report 2011-09</t>
  </si>
  <si>
    <t>Tech Report 2011-10</t>
  </si>
  <si>
    <r>
      <t xml:space="preserve">Tontouta Ouenghi </t>
    </r>
    <r>
      <rPr>
        <b/>
        <sz val="11"/>
        <color rgb="FF0000FF"/>
        <rFont val="Arial"/>
        <family val="2"/>
      </rPr>
      <t>(#)</t>
    </r>
  </si>
  <si>
    <r>
      <t xml:space="preserve">Tontouta Humbold </t>
    </r>
    <r>
      <rPr>
        <b/>
        <sz val="11"/>
        <color rgb="FF0000FF"/>
        <rFont val="Arial"/>
        <family val="2"/>
      </rPr>
      <t>(#)</t>
    </r>
  </si>
  <si>
    <r>
      <t xml:space="preserve">Tiébaghi </t>
    </r>
    <r>
      <rPr>
        <b/>
        <sz val="11"/>
        <color rgb="FF0000FF"/>
        <rFont val="Arial"/>
        <family val="2"/>
      </rPr>
      <t>(#)</t>
    </r>
  </si>
  <si>
    <r>
      <t xml:space="preserve">Tia Plaine des Gaiacs </t>
    </r>
    <r>
      <rPr>
        <b/>
        <sz val="11"/>
        <color rgb="FF0000FF"/>
        <rFont val="Arial"/>
        <family val="2"/>
      </rPr>
      <t>(#)</t>
    </r>
  </si>
  <si>
    <r>
      <t xml:space="preserve">Thio Rive Droite Meh Neumenie (Thio) </t>
    </r>
    <r>
      <rPr>
        <b/>
        <sz val="11"/>
        <color rgb="FF0000FF"/>
        <rFont val="Arial"/>
        <family val="2"/>
      </rPr>
      <t>(#)</t>
    </r>
  </si>
  <si>
    <r>
      <t xml:space="preserve">Thio Nakety (Dothio+Nakety) </t>
    </r>
    <r>
      <rPr>
        <b/>
        <sz val="11"/>
        <color rgb="FF0000FF"/>
        <rFont val="Arial"/>
        <family val="2"/>
      </rPr>
      <t>(#)</t>
    </r>
  </si>
  <si>
    <r>
      <t xml:space="preserve">Thio Camp des Sapins (Thio+Ouenghi) </t>
    </r>
    <r>
      <rPr>
        <b/>
        <sz val="11"/>
        <color rgb="FF0000FF"/>
        <rFont val="Arial"/>
        <family val="2"/>
      </rPr>
      <t>(#)</t>
    </r>
  </si>
  <si>
    <r>
      <t xml:space="preserve">Tene Me Adeo </t>
    </r>
    <r>
      <rPr>
        <b/>
        <sz val="11"/>
        <color rgb="FF0000FF"/>
        <rFont val="Arial"/>
        <family val="2"/>
      </rPr>
      <t>(#)</t>
    </r>
  </si>
  <si>
    <r>
      <t xml:space="preserve">Tchingou </t>
    </r>
    <r>
      <rPr>
        <b/>
        <sz val="11"/>
        <color rgb="FF0000FF"/>
        <rFont val="Arial"/>
        <family val="2"/>
      </rPr>
      <t>(#)</t>
    </r>
  </si>
  <si>
    <r>
      <t xml:space="preserve">Poya Me Maoya </t>
    </r>
    <r>
      <rPr>
        <b/>
        <sz val="11"/>
        <color rgb="FF0000FF"/>
        <rFont val="Arial"/>
        <family val="2"/>
      </rPr>
      <t>(#)</t>
    </r>
  </si>
  <si>
    <r>
      <t xml:space="preserve">Poum Arama </t>
    </r>
    <r>
      <rPr>
        <b/>
        <sz val="11"/>
        <color rgb="FF0000FF"/>
        <rFont val="Arial"/>
        <family val="2"/>
      </rPr>
      <t>(#)</t>
    </r>
  </si>
  <si>
    <r>
      <t xml:space="preserve">Poro Houailou Mere </t>
    </r>
    <r>
      <rPr>
        <b/>
        <sz val="11"/>
        <color rgb="FF0000FF"/>
        <rFont val="Arial"/>
        <family val="2"/>
      </rPr>
      <t>(#)</t>
    </r>
  </si>
  <si>
    <r>
      <t xml:space="preserve">Moneo (North/Centre) </t>
    </r>
    <r>
      <rPr>
        <b/>
        <sz val="11"/>
        <color rgb="FF0000FF"/>
        <rFont val="Arial"/>
        <family val="2"/>
      </rPr>
      <t>(#)</t>
    </r>
  </si>
  <si>
    <r>
      <t xml:space="preserve">Me Aiu Baie Laugier Mara (Boakaine) </t>
    </r>
    <r>
      <rPr>
        <b/>
        <sz val="11"/>
        <color rgb="FF0000FF"/>
        <rFont val="Arial"/>
        <family val="2"/>
      </rPr>
      <t>(#)</t>
    </r>
  </si>
  <si>
    <r>
      <t xml:space="preserve">Kouaoua </t>
    </r>
    <r>
      <rPr>
        <b/>
        <sz val="11"/>
        <color rgb="FF0000FF"/>
        <rFont val="Arial"/>
        <family val="2"/>
      </rPr>
      <t>(#)</t>
    </r>
  </si>
  <si>
    <r>
      <t xml:space="preserve">Kouakoue Ouinne </t>
    </r>
    <r>
      <rPr>
        <b/>
        <sz val="11"/>
        <color rgb="FF0000FF"/>
        <rFont val="Arial"/>
        <family val="2"/>
      </rPr>
      <t>(#)</t>
    </r>
  </si>
  <si>
    <r>
      <t xml:space="preserve">Kopéto </t>
    </r>
    <r>
      <rPr>
        <b/>
        <sz val="11"/>
        <color rgb="FF0000FF"/>
        <rFont val="Arial"/>
        <family val="2"/>
      </rPr>
      <t>(#)</t>
    </r>
  </si>
  <si>
    <r>
      <t xml:space="preserve">Kaala </t>
    </r>
    <r>
      <rPr>
        <b/>
        <sz val="11"/>
        <color rgb="FF0000FF"/>
        <rFont val="Arial"/>
        <family val="2"/>
      </rPr>
      <t>(#)</t>
    </r>
  </si>
  <si>
    <r>
      <t xml:space="preserve">Boulinda </t>
    </r>
    <r>
      <rPr>
        <b/>
        <sz val="11"/>
        <color rgb="FF0000FF"/>
        <rFont val="Arial"/>
        <family val="2"/>
      </rPr>
      <t>(#)</t>
    </r>
  </si>
  <si>
    <r>
      <t xml:space="preserve">Borindi (Kombwi N’Goye) </t>
    </r>
    <r>
      <rPr>
        <b/>
        <sz val="11"/>
        <color rgb="FF0000FF"/>
        <rFont val="Arial"/>
        <family val="2"/>
      </rPr>
      <t>(#)</t>
    </r>
  </si>
  <si>
    <t>Ann Report 2007</t>
  </si>
  <si>
    <t>Cumpié Hill-Cerro de Maimon</t>
  </si>
  <si>
    <t>Ngella-Floridas Islands</t>
  </si>
  <si>
    <t>Tech Rep 2012-11</t>
  </si>
  <si>
    <t>USGS (2011) Ni-Co Study</t>
  </si>
  <si>
    <t>Ann Rep 2011 (HP)</t>
  </si>
  <si>
    <t>Media Rel. 29-03-2009 (RM)</t>
  </si>
  <si>
    <t>Direct Nickel-50%, Regency Mines-50%</t>
  </si>
  <si>
    <t>Ann Rep 2011</t>
  </si>
  <si>
    <t>Solway Group (formerly HudBay Minerals)</t>
  </si>
  <si>
    <t>Tech Rep 2010-03 (HBM)</t>
  </si>
  <si>
    <t>Saprolite/Limonite/Transition</t>
  </si>
  <si>
    <t>Tech Rep 2011-04 (%Co: USGS, 2011)</t>
  </si>
  <si>
    <t>Website (13-01-2013)</t>
  </si>
  <si>
    <t>Moorsom</t>
  </si>
  <si>
    <t>Toledo</t>
  </si>
  <si>
    <t>Ann Report 2011 (%Co: USGS, 2011)</t>
  </si>
  <si>
    <t>Nickel Asia Corp-60%</t>
  </si>
  <si>
    <t>Ann Report 2011 (NAC)</t>
  </si>
  <si>
    <t>Ann Report 2011 (NAC) (%Co: USGS, 2011)</t>
  </si>
  <si>
    <t>Nickel Asia Corp-65%, SMMC</t>
  </si>
  <si>
    <t>Cagdianao, Adlay, Tandawa</t>
  </si>
  <si>
    <t>Cagdianao</t>
  </si>
  <si>
    <t>Hinatuan-Taganaan</t>
  </si>
  <si>
    <t>Tech Rep 2010</t>
  </si>
  <si>
    <r>
      <t xml:space="preserve">Pulau-Gag Island </t>
    </r>
    <r>
      <rPr>
        <b/>
        <sz val="11"/>
        <color rgb="FF0000FF"/>
        <rFont val="Arial"/>
        <family val="2"/>
      </rPr>
      <t>(#)</t>
    </r>
  </si>
  <si>
    <t>Mindoro (Lower Kisluyan-Buraboy)</t>
  </si>
  <si>
    <t>Ann Report 2009 (ENK)</t>
  </si>
  <si>
    <t>Agata Group</t>
  </si>
  <si>
    <t>Agata North / South, Bolobolo-Karihatag</t>
  </si>
  <si>
    <t>Cougar Metals, Admiralty Resources</t>
  </si>
  <si>
    <t>Ann Report 2011 (CM)</t>
  </si>
  <si>
    <t>Infanta</t>
  </si>
  <si>
    <t>MacroAsia Corp</t>
  </si>
  <si>
    <t>Toronto</t>
  </si>
  <si>
    <t>Oriental Peninsula</t>
  </si>
  <si>
    <t>Pulot</t>
  </si>
  <si>
    <t>Tech Rep 2008-04</t>
  </si>
  <si>
    <t>Sajona &amp; Domingo (2011)</t>
  </si>
  <si>
    <t>Ipilan-Celestial</t>
  </si>
  <si>
    <t>Ann Reports 2011; Website (13-01-2013) (T)</t>
  </si>
  <si>
    <t>NiHAO Mineral Resources Int'l</t>
  </si>
  <si>
    <t>Dantas (2008)</t>
  </si>
  <si>
    <t>Radaelli (2000)</t>
  </si>
  <si>
    <t>Cr</t>
  </si>
  <si>
    <t>Media Rel. (25-03-2009)</t>
  </si>
  <si>
    <t>Kambalda-West Spargoville</t>
  </si>
  <si>
    <t>MDA 2011-09</t>
  </si>
  <si>
    <t>Hathor Exploration (now Cameco)</t>
  </si>
  <si>
    <t>Roughrider East/West</t>
  </si>
  <si>
    <t>Waterbury Lake</t>
  </si>
  <si>
    <t>Tech Rep 2012-06</t>
  </si>
  <si>
    <t>Fission Energy</t>
  </si>
  <si>
    <t>Eldorado-Port Radium Tailings</t>
  </si>
  <si>
    <t>Grootboom Tailings (#)</t>
  </si>
  <si>
    <t>Alberta Star Development Corp</t>
  </si>
  <si>
    <t>Website (20-01-2013)</t>
  </si>
  <si>
    <t>Viken</t>
  </si>
  <si>
    <t>Mo, Zn</t>
  </si>
  <si>
    <t>Continental Precious Minerals</t>
  </si>
  <si>
    <t>Häggån</t>
  </si>
  <si>
    <t>Aura Energy</t>
  </si>
  <si>
    <t>Media Rel. 22-08-2011</t>
  </si>
  <si>
    <r>
      <rPr>
        <b/>
        <sz val="11"/>
        <color rgb="FF0000FF"/>
        <rFont val="Arial"/>
        <family val="2"/>
      </rPr>
      <t>(#)</t>
    </r>
    <r>
      <rPr>
        <sz val="11"/>
        <color theme="1"/>
        <rFont val="Arial"/>
        <family val="2"/>
      </rPr>
      <t xml:space="preserve"> Wet ore only, 20% moisture assumed to convert to dry ore (based on Intex Resources, Tech Rep 2010, Mindoro project; also Brolga NiCo AusIMM 1998 paper).</t>
    </r>
  </si>
  <si>
    <t>Nunavik (Expo-Ungava)</t>
  </si>
  <si>
    <t>Delta</t>
  </si>
  <si>
    <r>
      <t xml:space="preserve">Ann Report 2011 </t>
    </r>
    <r>
      <rPr>
        <b/>
        <sz val="11"/>
        <color rgb="FFFF0000"/>
        <rFont val="Arial"/>
        <family val="2"/>
      </rPr>
      <t>(PGEs Goldbrook)</t>
    </r>
  </si>
  <si>
    <t>Fedorova</t>
  </si>
  <si>
    <t>Website (19-03-2013)</t>
  </si>
  <si>
    <t>Malaya Pana-North Reef</t>
  </si>
  <si>
    <t>reef?</t>
  </si>
  <si>
    <t>Monchegorsk</t>
  </si>
  <si>
    <t>Hoatson et al (2006)</t>
  </si>
  <si>
    <t>Sediment-hosted Pb-Zn/VMS</t>
  </si>
  <si>
    <t>Sedex/VMS</t>
  </si>
  <si>
    <t>Unconformity-related Uranium</t>
  </si>
  <si>
    <t>Tectonically remobilised sulphides in shear zone</t>
  </si>
  <si>
    <t>Fe-Ni alloy</t>
  </si>
  <si>
    <t>serpentinisation-related mineralisation</t>
  </si>
  <si>
    <t>Awaruite deposit</t>
  </si>
  <si>
    <t>VMS?</t>
  </si>
  <si>
    <t>IOCG</t>
  </si>
  <si>
    <t>Archean Komatiite</t>
  </si>
  <si>
    <t>Archean Komatiite?</t>
  </si>
  <si>
    <t>Archean Tholeiite</t>
  </si>
  <si>
    <t>Archean komatiite (originally?)</t>
  </si>
  <si>
    <t>Consists of Sandsloot, Zwartfontein, Mogalakwena Central and Mogalakwena North open pits</t>
  </si>
  <si>
    <t>Blackthorn Resources (now sold to Matimba Platinum)</t>
  </si>
  <si>
    <t>Ann Report 2010 (Blackthorn)</t>
  </si>
  <si>
    <t>Zebediela</t>
  </si>
  <si>
    <t>Website (26-03-2013)</t>
  </si>
  <si>
    <t>URU Metals</t>
  </si>
  <si>
    <t>SE Extension</t>
  </si>
  <si>
    <t>Selebi Central</t>
  </si>
  <si>
    <t>Selebi North</t>
  </si>
  <si>
    <t>Rytky-Valkeisenranta</t>
  </si>
  <si>
    <t>Not Reef-type but in Bushveld Complex?</t>
  </si>
  <si>
    <t>Atlatsa Resources Corp / Anglo Am Pt</t>
  </si>
  <si>
    <t>Atlatsa website (29-03-2013)</t>
  </si>
  <si>
    <t>Kingash Group-Kuyovsky</t>
  </si>
  <si>
    <t>Kingash Group-Verkhnekingashsky</t>
  </si>
  <si>
    <t>Kingash Group-Kingashsky</t>
  </si>
  <si>
    <t>Intergeo</t>
  </si>
  <si>
    <t>website (23-05-2013)</t>
  </si>
  <si>
    <t>Website (23-05-2013)</t>
  </si>
  <si>
    <t>Kalumbila-Enterprise</t>
  </si>
  <si>
    <t>Website (27-05-2013)</t>
  </si>
  <si>
    <t>Jericho (BHPB/Norilsk)</t>
  </si>
  <si>
    <t>Ann Rep 2011 (BHPB) / Ann Rev 2011 (Norilsk)</t>
  </si>
  <si>
    <t>Nornico-Lucknow (+Sc)</t>
  </si>
  <si>
    <r>
      <t xml:space="preserve">Norilsk-Talnakh </t>
    </r>
    <r>
      <rPr>
        <b/>
        <sz val="11"/>
        <color rgb="FFFF0000"/>
        <rFont val="Arial"/>
        <family val="2"/>
      </rPr>
      <t>'inferred'</t>
    </r>
  </si>
  <si>
    <t>Talnakh</t>
  </si>
  <si>
    <t>Norilsk-1</t>
  </si>
  <si>
    <t>Talvivaara (Kuusilampi-Kolmisoppi)</t>
  </si>
  <si>
    <t>Country</t>
  </si>
  <si>
    <t>South Africa</t>
  </si>
  <si>
    <t>New Caledonia</t>
  </si>
  <si>
    <t>United States</t>
  </si>
  <si>
    <t>Papua New Guinea</t>
  </si>
  <si>
    <t>Solomon Islands</t>
  </si>
  <si>
    <t>Dominican Republic</t>
  </si>
  <si>
    <t>Puerto Rico</t>
  </si>
  <si>
    <t>No.</t>
  </si>
  <si>
    <t>Nornico-Kokomo (+Sc)</t>
  </si>
  <si>
    <t>Oxide-hydrous Mg silicate?</t>
  </si>
  <si>
    <t>Clay silicate</t>
  </si>
  <si>
    <t>Clay silicate-oxide</t>
  </si>
  <si>
    <t>Oxide-hydrous Mg silicate</t>
  </si>
  <si>
    <t>Clay silicate?</t>
  </si>
  <si>
    <t>Oxide-clay silicate?</t>
  </si>
  <si>
    <t>Also Fe resource in pisolith hematite</t>
  </si>
  <si>
    <t>Oxide-clay silicate</t>
  </si>
  <si>
    <t>Oxide?</t>
  </si>
  <si>
    <t>Oxide-Clay silicate?</t>
  </si>
  <si>
    <t>Clay silicate-oxide?</t>
  </si>
  <si>
    <t>Clay silicate-Hydrous Mg silicate-oxide</t>
  </si>
  <si>
    <t>NO RESOURCE!</t>
  </si>
  <si>
    <t>Hydrous Mg silicate-Oxide</t>
  </si>
  <si>
    <t>Hydrous Mg silicate-Clay silicate</t>
  </si>
  <si>
    <t>Hydrous Mg silicate-oxide</t>
  </si>
  <si>
    <t>Oxide-Hydrous Mg silicate</t>
  </si>
  <si>
    <t>Hydrous Mg silicate-oxide?</t>
  </si>
  <si>
    <t>Oxide-Clay silicate</t>
  </si>
  <si>
    <t>Hydrous Mg silicate</t>
  </si>
  <si>
    <t>Clay silicate-hydrous Mg silicate-oxide</t>
  </si>
  <si>
    <t>Hydrous Mg silicate-clay silicate</t>
  </si>
  <si>
    <t>Hydrous Mg silicate-clay silicate-oxide</t>
  </si>
  <si>
    <t>Hydrous Mg silicate-oxide-clay silicate</t>
  </si>
  <si>
    <t>Hydrous Mg silicate?</t>
  </si>
  <si>
    <t>Clay silicate-hydrous Mg silicate</t>
  </si>
  <si>
    <t>Clay silicate-oxide-hydrous Mg silicate?</t>
  </si>
  <si>
    <t>Clay silicate-oxide-hydrous Mg silicate</t>
  </si>
  <si>
    <t>Hydrous Mg silicate-clay silicate?</t>
  </si>
  <si>
    <t>Presentation 27-03-2006</t>
  </si>
  <si>
    <t>%Lat</t>
  </si>
  <si>
    <t>Cum. Prod.</t>
  </si>
  <si>
    <t>Ratio</t>
  </si>
  <si>
    <t>OAO Pana PGM (thru Eurasia Mining)</t>
  </si>
  <si>
    <t>U, Mo, As, Se</t>
  </si>
  <si>
    <t>Tech Rep 2009-09</t>
  </si>
  <si>
    <t>Goldbrook Ventures map (website 28-03-2013)</t>
  </si>
  <si>
    <t>Ann Report 2012</t>
  </si>
  <si>
    <t>Avalon</t>
  </si>
  <si>
    <t>Oxide-Clay Silicate</t>
  </si>
  <si>
    <t>Sc</t>
  </si>
  <si>
    <t>Poland</t>
  </si>
  <si>
    <t>Szklary</t>
  </si>
  <si>
    <t>Northern Mining</t>
  </si>
  <si>
    <t>Old Nick</t>
  </si>
  <si>
    <t>Huakan Int'l Mining</t>
  </si>
  <si>
    <t>Website (20-10-2013)</t>
  </si>
  <si>
    <t>Int'l</t>
  </si>
  <si>
    <t>Int'l Waters</t>
  </si>
  <si>
    <t>Waters</t>
  </si>
  <si>
    <t>Clarion-Clipperton</t>
  </si>
  <si>
    <t>Nautilus Minerals</t>
  </si>
  <si>
    <t>International Waters</t>
  </si>
  <si>
    <t>Tech Rep 2012-09</t>
  </si>
  <si>
    <t>Mn nodules/chemical precipitation</t>
  </si>
  <si>
    <t>Hydrous Mg silicate-Oxide?</t>
  </si>
  <si>
    <t>Hydrous Mg silicate-Clay silicate?</t>
  </si>
  <si>
    <t>Clay silicate-Oxide</t>
  </si>
  <si>
    <t>Clay silicate-Oxide?</t>
  </si>
  <si>
    <t>Romblon</t>
  </si>
  <si>
    <t>Deposit?</t>
  </si>
  <si>
    <t>Pelican Resources?</t>
  </si>
  <si>
    <t>2011 Prod.</t>
  </si>
  <si>
    <t>Cum Res/2011 Prod</t>
  </si>
  <si>
    <t>Cat Lake</t>
  </si>
  <si>
    <t>Website (07-01-2014)</t>
  </si>
  <si>
    <t>Clifton Star Resources</t>
  </si>
  <si>
    <t>Samapleu</t>
  </si>
  <si>
    <t>Côte</t>
  </si>
  <si>
    <t>Côte d'Ivoire</t>
  </si>
  <si>
    <t>Sama Resources</t>
  </si>
  <si>
    <t>Tech Rep 2013-08</t>
  </si>
  <si>
    <t>Bitinçkë</t>
  </si>
  <si>
    <t>Tech Rep 2008-07</t>
  </si>
  <si>
    <t>Balkan Resources</t>
  </si>
  <si>
    <t>Camarioca Norte/Sur</t>
  </si>
  <si>
    <t>Tech Report 2008-05</t>
  </si>
  <si>
    <t>La Delta</t>
  </si>
  <si>
    <t>Cantarrana</t>
  </si>
  <si>
    <t>Tech Report 2009-05</t>
  </si>
  <si>
    <t>Wellgreen</t>
  </si>
  <si>
    <t>Ann Info Form 2012-03</t>
  </si>
  <si>
    <t>Prophecy Platinum (now Wellgreen Platinum)</t>
  </si>
  <si>
    <t>Jacomyns Pan</t>
  </si>
  <si>
    <t>Oman</t>
  </si>
  <si>
    <t>Ibra Group</t>
  </si>
  <si>
    <t>Golightly pers. comm.</t>
  </si>
  <si>
    <t>Gasquet Mountain</t>
  </si>
  <si>
    <t>sulfide</t>
  </si>
  <si>
    <t>Punta Guanajibo</t>
  </si>
  <si>
    <t>Fe, Cr</t>
  </si>
  <si>
    <t>Golightly, pers. comm.</t>
  </si>
  <si>
    <t>USBM (1959) study</t>
  </si>
  <si>
    <t>Rosario</t>
  </si>
  <si>
    <t>Maricao</t>
  </si>
  <si>
    <t>Red Flat Mountain</t>
  </si>
  <si>
    <t>Togo</t>
  </si>
  <si>
    <t>Mt Kpote</t>
  </si>
  <si>
    <t>Company media release</t>
  </si>
  <si>
    <t>Gordes</t>
  </si>
  <si>
    <t>Dalvi-Bacon 2004; USGS</t>
  </si>
  <si>
    <t>Bahodopi</t>
  </si>
  <si>
    <t>Thesis</t>
  </si>
  <si>
    <t>Texmont</t>
  </si>
  <si>
    <t>Fletcher Nickel</t>
  </si>
  <si>
    <t>Website (21-01-2014)</t>
  </si>
  <si>
    <t>Blue Lake</t>
  </si>
  <si>
    <t>Rockland Minerals</t>
  </si>
  <si>
    <t>Ann Report 1997</t>
  </si>
  <si>
    <t>African Nickel brochure</t>
  </si>
  <si>
    <t>Bon Accord-Segalla</t>
  </si>
  <si>
    <t>formerly African Nickel</t>
  </si>
  <si>
    <t>formerly Thabex</t>
  </si>
  <si>
    <t>Tech Rep 2009-12</t>
  </si>
  <si>
    <t>Monarques Resources (formerly Nemaska Exploration)</t>
  </si>
  <si>
    <t>Lac Levac-Nisk 1</t>
  </si>
  <si>
    <t>2012 Ore Geol Rev</t>
  </si>
  <si>
    <t>Tech Rep 2013-03</t>
  </si>
  <si>
    <t>formerly Lithic Metals &amp; Energy</t>
  </si>
  <si>
    <t>Conf. Abstract 2014</t>
  </si>
  <si>
    <t>Limoeiro</t>
  </si>
  <si>
    <t>Vale Inco (?)</t>
  </si>
  <si>
    <t>Vale Inco report</t>
  </si>
  <si>
    <t>Vale Inco report (%Co - Ann Report 2011)</t>
  </si>
  <si>
    <t>SE Sulawesi Coastal</t>
  </si>
  <si>
    <t>Cum. P+R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</si>
</sst>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6" formatCode="0.000"/>
    <numFmt numFmtId="167" formatCode="0.0000"/>
    <numFmt numFmtId="168" formatCode="#,##0.000"/>
  </numFmts>
  <fonts count="1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b/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rgb="FFCC6600"/>
      <name val="Arial"/>
      <family val="2"/>
    </font>
    <font>
      <b/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b/>
      <sz val="11"/>
      <color rgb="FF006600"/>
      <name val="Arial"/>
      <family val="2"/>
    </font>
    <font>
      <sz val="11"/>
      <color rgb="FF0000FF"/>
      <name val="Arial"/>
      <family val="2"/>
    </font>
    <font>
      <b/>
      <sz val="11"/>
      <color rgb="FF008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FF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3" fillId="0" borderId="0"/>
    <xf numFmtId="0" fontId="5" fillId="0" borderId="0"/>
  </cellStyleXfs>
  <cellXfs count="92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8" fillId="0" borderId="0" xfId="0" applyFont="1" applyAlignment="1"/>
    <xf numFmtId="0" fontId="3" fillId="5" borderId="0" xfId="0" applyFont="1" applyFill="1" applyAlignment="1">
      <alignment horizontal="center" vertical="center"/>
    </xf>
    <xf numFmtId="4" fontId="0" fillId="0" borderId="0" xfId="0" applyNumberFormat="1" applyAlignment="1">
      <alignment horizontal="center"/>
    </xf>
    <xf numFmtId="166" fontId="0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6" fontId="0" fillId="0" borderId="0" xfId="0" applyNumberForma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/>
    <xf numFmtId="164" fontId="4" fillId="6" borderId="0" xfId="0" applyNumberFormat="1" applyFont="1" applyFill="1" applyAlignment="1">
      <alignment horizontal="center"/>
    </xf>
    <xf numFmtId="0" fontId="11" fillId="0" borderId="0" xfId="0" applyFont="1" applyFill="1" applyAlignment="1"/>
    <xf numFmtId="0" fontId="4" fillId="6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/>
    <xf numFmtId="0" fontId="3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5" fillId="7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/>
    <xf numFmtId="168" fontId="0" fillId="0" borderId="0" xfId="0" applyNumberFormat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ont="1" applyAlignment="1"/>
    <xf numFmtId="164" fontId="9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9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4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2" defaultPivotStyle="PivotStyleLight16"/>
  <colors>
    <mruColors>
      <color rgb="FFCCFFFF"/>
      <color rgb="FFCC6600"/>
      <color rgb="FF0000FF"/>
      <color rgb="FF006600"/>
      <color rgb="FFFFFF66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zoomScale="81" zoomScaleNormal="8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8.69921875" defaultRowHeight="13.8" x14ac:dyDescent="0.25"/>
  <cols>
    <col min="1" max="1" width="18.69921875" style="67" customWidth="1"/>
    <col min="2" max="2" width="10.69921875" style="67" customWidth="1"/>
    <col min="3" max="4" width="8.69921875" style="67"/>
    <col min="5" max="5" width="10.69921875" style="67" customWidth="1"/>
    <col min="6" max="7" width="8.69921875" style="67"/>
    <col min="8" max="8" width="1.69921875" style="67" customWidth="1"/>
    <col min="9" max="9" width="10.69921875" style="67" customWidth="1"/>
    <col min="10" max="12" width="8.69921875" style="67"/>
    <col min="13" max="14" width="10.69921875" style="67" customWidth="1"/>
    <col min="15" max="16" width="8.69921875" style="67"/>
    <col min="17" max="17" width="1.69921875" style="67" customWidth="1"/>
    <col min="18" max="18" width="8.69921875" style="67"/>
    <col min="19" max="19" width="7.69921875" style="67" customWidth="1"/>
    <col min="20" max="20" width="1.69921875" style="67" customWidth="1"/>
    <col min="21" max="21" width="12.69921875" style="67" customWidth="1"/>
    <col min="22" max="22" width="1.69921875" style="67" customWidth="1"/>
    <col min="23" max="23" width="10.69921875" style="67" customWidth="1"/>
    <col min="24" max="24" width="1.69921875" style="67" customWidth="1"/>
    <col min="25" max="25" width="8.69921875" style="67"/>
    <col min="26" max="26" width="1.69921875" style="67" customWidth="1"/>
    <col min="27" max="27" width="12.69921875" style="67" customWidth="1"/>
    <col min="28" max="28" width="18.69921875" style="67" customWidth="1"/>
    <col min="29" max="29" width="1.69921875" style="67" customWidth="1"/>
    <col min="30" max="16384" width="8.69921875" style="67"/>
  </cols>
  <sheetData>
    <row r="1" spans="1:28" x14ac:dyDescent="0.25">
      <c r="B1" s="89">
        <f>B2+I2</f>
        <v>61672.699086309192</v>
      </c>
      <c r="C1" s="90">
        <f>(C2*B2+J2*I2)/B1</f>
        <v>0.48022841678890371</v>
      </c>
    </row>
    <row r="2" spans="1:28" x14ac:dyDescent="0.25">
      <c r="B2" s="9">
        <f>SUM(B5:B51)</f>
        <v>15838.328239000002</v>
      </c>
      <c r="C2" s="65">
        <f>100*(E2/1000)/B2</f>
        <v>1.1246900604826802</v>
      </c>
      <c r="D2" s="64">
        <f>100*(F2/1000)/B2</f>
        <v>4.7707805043130096E-2</v>
      </c>
      <c r="E2" s="9">
        <f>SUM(E5:E51)</f>
        <v>178132.10345065454</v>
      </c>
      <c r="F2" s="9">
        <f>SUM(F5:F51)</f>
        <v>7556.1187583531409</v>
      </c>
      <c r="G2" s="67">
        <f>SUM(G5:G51)</f>
        <v>224</v>
      </c>
      <c r="I2" s="9">
        <f>SUM(I5:I51)</f>
        <v>45834.37084730919</v>
      </c>
      <c r="J2" s="65">
        <f>100*(M2/1000)/I2</f>
        <v>0.25753102045567289</v>
      </c>
      <c r="K2" s="65">
        <f>100*(N2/1000)/I2</f>
        <v>0.18416332955369438</v>
      </c>
      <c r="L2" s="64">
        <f>100*(O2/1000)/I2</f>
        <v>5.3086113930321177E-3</v>
      </c>
      <c r="M2" s="9">
        <f>SUM(M5:M51)</f>
        <v>118037.72296251281</v>
      </c>
      <c r="N2" s="9">
        <f>SUM(N5:N51)</f>
        <v>84410.10343239244</v>
      </c>
      <c r="O2" s="9">
        <f>SUM(O5:O51)</f>
        <v>2433.1686327248476</v>
      </c>
      <c r="P2" s="67">
        <f>SUM(P5:P51)</f>
        <v>253</v>
      </c>
      <c r="R2" s="76">
        <f>M2+E2</f>
        <v>296169.82641316735</v>
      </c>
      <c r="U2" s="9">
        <f>SUM(U5:U51)</f>
        <v>52711.996209134377</v>
      </c>
      <c r="W2" s="9">
        <f>SUM(W5:W51)</f>
        <v>348881.82262230158</v>
      </c>
      <c r="AA2" s="9">
        <v>1902</v>
      </c>
      <c r="AB2" s="88">
        <f>(0.75*R2)/AA2</f>
        <v>116.78620915345715</v>
      </c>
    </row>
    <row r="3" spans="1:28" x14ac:dyDescent="0.25">
      <c r="B3" s="69" t="s">
        <v>46</v>
      </c>
      <c r="C3" s="69" t="s">
        <v>46</v>
      </c>
      <c r="D3" s="69" t="s">
        <v>46</v>
      </c>
      <c r="E3" s="69" t="s">
        <v>46</v>
      </c>
      <c r="F3" s="69" t="s">
        <v>46</v>
      </c>
      <c r="G3" s="69" t="s">
        <v>46</v>
      </c>
      <c r="I3" s="68" t="s">
        <v>45</v>
      </c>
      <c r="J3" s="68" t="s">
        <v>45</v>
      </c>
      <c r="K3" s="68" t="s">
        <v>45</v>
      </c>
      <c r="L3" s="68" t="s">
        <v>45</v>
      </c>
      <c r="M3" s="68" t="s">
        <v>45</v>
      </c>
      <c r="N3" s="68" t="s">
        <v>45</v>
      </c>
      <c r="O3" s="68" t="s">
        <v>45</v>
      </c>
      <c r="P3" s="68" t="s">
        <v>45</v>
      </c>
      <c r="R3" s="70" t="s">
        <v>133</v>
      </c>
      <c r="U3" s="70" t="s">
        <v>1059</v>
      </c>
      <c r="W3" s="70" t="s">
        <v>1153</v>
      </c>
      <c r="Y3" s="70" t="s">
        <v>1060</v>
      </c>
      <c r="AA3" s="70" t="s">
        <v>1090</v>
      </c>
      <c r="AB3" s="70" t="s">
        <v>1060</v>
      </c>
    </row>
    <row r="4" spans="1:28" x14ac:dyDescent="0.25">
      <c r="A4" s="68" t="s">
        <v>1018</v>
      </c>
      <c r="B4" s="2" t="s">
        <v>0</v>
      </c>
      <c r="C4" s="2" t="s">
        <v>10</v>
      </c>
      <c r="D4" s="2" t="s">
        <v>9</v>
      </c>
      <c r="E4" s="2" t="s">
        <v>11</v>
      </c>
      <c r="F4" s="2" t="s">
        <v>12</v>
      </c>
      <c r="G4" s="2" t="s">
        <v>1026</v>
      </c>
      <c r="I4" s="2" t="s">
        <v>0</v>
      </c>
      <c r="J4" s="2" t="s">
        <v>10</v>
      </c>
      <c r="K4" s="2" t="s">
        <v>2</v>
      </c>
      <c r="L4" s="2" t="s">
        <v>9</v>
      </c>
      <c r="M4" s="2" t="s">
        <v>11</v>
      </c>
      <c r="N4" s="2" t="s">
        <v>4</v>
      </c>
      <c r="O4" s="2" t="s">
        <v>12</v>
      </c>
      <c r="P4" s="2" t="s">
        <v>1026</v>
      </c>
      <c r="R4" s="2" t="s">
        <v>11</v>
      </c>
      <c r="S4" s="67" t="s">
        <v>1058</v>
      </c>
      <c r="U4" s="2" t="s">
        <v>11</v>
      </c>
      <c r="W4" s="2" t="s">
        <v>11</v>
      </c>
      <c r="Y4" s="2" t="s">
        <v>1060</v>
      </c>
      <c r="AA4" s="2" t="s">
        <v>11</v>
      </c>
      <c r="AB4" s="2" t="s">
        <v>1091</v>
      </c>
    </row>
    <row r="5" spans="1:28" x14ac:dyDescent="0.25">
      <c r="A5" s="83" t="s">
        <v>320</v>
      </c>
      <c r="B5" s="9">
        <f>'2011 Laterite'!D5</f>
        <v>4181.5786999999991</v>
      </c>
      <c r="C5" s="65">
        <f>'2011 Laterite'!E5</f>
        <v>0.75399866012326899</v>
      </c>
      <c r="D5" s="64">
        <f>'2011 Laterite'!F5</f>
        <v>4.5868739717848668E-2</v>
      </c>
      <c r="E5" s="9">
        <f>1000*B5*C5/100</f>
        <v>31529.047370000008</v>
      </c>
      <c r="F5" s="9">
        <f>1000*B5*D5/100</f>
        <v>1918.0374499999996</v>
      </c>
      <c r="G5" s="67">
        <f>'2011 Laterite'!A5</f>
        <v>69</v>
      </c>
      <c r="I5" s="9">
        <f>'2011 Sulfide'!D5</f>
        <v>2033.8510954285712</v>
      </c>
      <c r="J5" s="65">
        <f>'2011 Sulfide'!E5</f>
        <v>0.58404117646827125</v>
      </c>
      <c r="K5" s="65">
        <f>'2011 Sulfide'!F5</f>
        <v>0.10448379327161184</v>
      </c>
      <c r="L5" s="64">
        <f>'2011 Sulfide'!G5</f>
        <v>6.2677867758621757E-3</v>
      </c>
      <c r="M5" s="9">
        <f>1000*I5*J5/100</f>
        <v>11878.527865353848</v>
      </c>
      <c r="N5" s="9">
        <f>1000*I5*K5/100</f>
        <v>2125.0447740000009</v>
      </c>
      <c r="O5" s="9">
        <f>1000*I5*L5/100</f>
        <v>127.47744999999998</v>
      </c>
      <c r="P5" s="67">
        <f>'2011 Sulfide'!A5</f>
        <v>55</v>
      </c>
      <c r="R5" s="71">
        <f t="shared" ref="R5:R51" si="0">M5+E5</f>
        <v>43407.575235353856</v>
      </c>
      <c r="S5" s="65">
        <f>100*E5/R5</f>
        <v>72.634896556766819</v>
      </c>
      <c r="U5" s="71">
        <v>5016.5244716171501</v>
      </c>
      <c r="W5" s="71">
        <f>R5+U5</f>
        <v>48424.099706971007</v>
      </c>
      <c r="Y5" s="65">
        <f t="shared" ref="Y5:Y16" si="1">R5/U5</f>
        <v>8.6529180672691481</v>
      </c>
      <c r="AA5" s="67">
        <v>215</v>
      </c>
      <c r="AB5" s="76">
        <f>R5/AA5</f>
        <v>201.89569876908769</v>
      </c>
    </row>
    <row r="6" spans="1:28" x14ac:dyDescent="0.25">
      <c r="A6" s="83" t="s">
        <v>178</v>
      </c>
      <c r="B6" s="9">
        <f>'2011 Laterite'!D149</f>
        <v>2071.1400000000003</v>
      </c>
      <c r="C6" s="65">
        <f>'2011 Laterite'!E149</f>
        <v>1.6073836721865482</v>
      </c>
      <c r="D6" s="64">
        <f>'2011 Laterite'!F149</f>
        <v>2.2591229950655191E-2</v>
      </c>
      <c r="E6" s="9">
        <f>1000*B6*C6/100</f>
        <v>33291.16618812448</v>
      </c>
      <c r="F6" s="9">
        <f>1000*B6*D6/100</f>
        <v>467.89599999999996</v>
      </c>
      <c r="G6" s="67">
        <f>'2011 Laterite'!A149</f>
        <v>16</v>
      </c>
      <c r="R6" s="71">
        <f>M6+E6</f>
        <v>33291.16618812448</v>
      </c>
      <c r="U6" s="71">
        <v>3656.0168564819</v>
      </c>
      <c r="W6" s="71">
        <f t="shared" ref="W6:W51" si="2">R6+U6</f>
        <v>36947.183044606383</v>
      </c>
      <c r="Y6" s="65">
        <f>R6/U6</f>
        <v>9.105856864172063</v>
      </c>
      <c r="AA6" s="67">
        <v>297</v>
      </c>
      <c r="AB6" s="76">
        <f>R6/AA6</f>
        <v>112.09146864688377</v>
      </c>
    </row>
    <row r="7" spans="1:28" x14ac:dyDescent="0.25">
      <c r="A7" s="83" t="s">
        <v>1019</v>
      </c>
      <c r="I7" s="9">
        <f>'2011 Sulfide'!D94</f>
        <v>18361.514852167944</v>
      </c>
      <c r="J7" s="65">
        <f>'2011 Sulfide'!E94</f>
        <v>0.18090167048666708</v>
      </c>
      <c r="K7" s="65">
        <f>'2011 Sulfide'!F94</f>
        <v>7.4545012341336911E-2</v>
      </c>
      <c r="M7" s="9">
        <f>1000*I7*J7/100</f>
        <v>33216.287094229294</v>
      </c>
      <c r="N7" s="9">
        <f>1000*I7*K7/100</f>
        <v>13687.593512605004</v>
      </c>
      <c r="P7" s="67">
        <f>'2011 Sulfide'!A94</f>
        <v>45</v>
      </c>
      <c r="R7" s="71">
        <f t="shared" si="0"/>
        <v>33216.287094229294</v>
      </c>
      <c r="U7" s="71">
        <v>1311.0108757144201</v>
      </c>
      <c r="W7" s="71">
        <f t="shared" si="2"/>
        <v>34527.297969943713</v>
      </c>
      <c r="Y7" s="65">
        <f t="shared" si="1"/>
        <v>25.336393243975543</v>
      </c>
      <c r="AA7" s="67">
        <v>39.799999999999997</v>
      </c>
      <c r="AB7" s="76">
        <f t="shared" ref="AB7:AB16" si="3">R7/AA7</f>
        <v>834.58007774445468</v>
      </c>
    </row>
    <row r="8" spans="1:28" x14ac:dyDescent="0.25">
      <c r="A8" s="83" t="s">
        <v>160</v>
      </c>
      <c r="B8" s="9">
        <f>'2011 Laterite'!D78</f>
        <v>413</v>
      </c>
      <c r="C8" s="65">
        <f>'2011 Laterite'!E78</f>
        <v>0.95896610169491525</v>
      </c>
      <c r="D8" s="64">
        <f>'2011 Laterite'!F78</f>
        <v>2.5908958837772392E-2</v>
      </c>
      <c r="E8" s="9">
        <f t="shared" ref="E8:E13" si="4">1000*B8*C8/100</f>
        <v>3960.53</v>
      </c>
      <c r="F8" s="9">
        <f t="shared" ref="F8:F13" si="5">1000*B8*D8/100</f>
        <v>107.00399999999998</v>
      </c>
      <c r="G8" s="67">
        <f>'2011 Laterite'!A78</f>
        <v>5</v>
      </c>
      <c r="I8" s="9">
        <f>'2011 Sulfide'!D64</f>
        <v>4492.6160534207656</v>
      </c>
      <c r="J8" s="65">
        <f>'2011 Sulfide'!E64</f>
        <v>0.45535890377305477</v>
      </c>
      <c r="K8" s="65">
        <f>'2011 Sulfide'!F64</f>
        <v>0.52617629054428272</v>
      </c>
      <c r="M8" s="9">
        <f>1000*I8*J8/100</f>
        <v>20457.527211589073</v>
      </c>
      <c r="N8" s="9">
        <f>1000*I8*K8/100</f>
        <v>23639.080498286334</v>
      </c>
      <c r="P8" s="67">
        <f>'2011 Sulfide'!A64</f>
        <v>14</v>
      </c>
      <c r="R8" s="71">
        <f t="shared" si="0"/>
        <v>24418.057211589072</v>
      </c>
      <c r="S8" s="65">
        <f>100*E8/R8</f>
        <v>16.219676961524563</v>
      </c>
      <c r="U8" s="71">
        <v>10662.374892961199</v>
      </c>
      <c r="W8" s="71">
        <f t="shared" si="2"/>
        <v>35080.432104550273</v>
      </c>
      <c r="Y8" s="65">
        <f t="shared" si="1"/>
        <v>2.2901142997428021</v>
      </c>
      <c r="AA8" s="67">
        <v>254</v>
      </c>
      <c r="AB8" s="76">
        <f t="shared" si="3"/>
        <v>96.134083510193193</v>
      </c>
    </row>
    <row r="9" spans="1:28" x14ac:dyDescent="0.25">
      <c r="A9" s="83" t="s">
        <v>175</v>
      </c>
      <c r="B9" s="83"/>
      <c r="C9" s="83"/>
      <c r="D9" s="83"/>
      <c r="E9" s="83"/>
      <c r="F9" s="83"/>
      <c r="G9" s="83"/>
      <c r="H9" s="83"/>
      <c r="I9" s="55">
        <f>'2011 Sulfide'!D188</f>
        <v>6376.8902796512002</v>
      </c>
      <c r="J9" s="81">
        <f>'2011 Sulfide'!E188</f>
        <v>0.3437905255452125</v>
      </c>
      <c r="K9" s="81">
        <f>'2011 Sulfide'!F188</f>
        <v>0.12372898163703624</v>
      </c>
      <c r="L9" s="33">
        <f>'2011 Sulfide'!G188</f>
        <v>1.3281161541029244E-2</v>
      </c>
      <c r="M9" s="55">
        <f>1000*I9*J9/100</f>
        <v>21923.144605854432</v>
      </c>
      <c r="N9" s="55">
        <f>1000*I9*K9/100</f>
        <v>7890.0614031235827</v>
      </c>
      <c r="O9" s="55">
        <f>1000*I9*L9/100</f>
        <v>846.92509933466749</v>
      </c>
      <c r="P9" s="83">
        <f>'2011 Sulfide'!A188</f>
        <v>54</v>
      </c>
      <c r="Q9" s="83"/>
      <c r="R9" s="71">
        <f>M9+E9</f>
        <v>21923.144605854432</v>
      </c>
      <c r="U9" s="71">
        <v>14172.1786736823</v>
      </c>
      <c r="W9" s="71">
        <f t="shared" si="2"/>
        <v>36095.323279536729</v>
      </c>
      <c r="Y9" s="65">
        <f>R9/U9</f>
        <v>1.5469142120375363</v>
      </c>
      <c r="AA9" s="67">
        <v>212.1</v>
      </c>
      <c r="AB9" s="76">
        <f>R9/AA9</f>
        <v>103.36230365796526</v>
      </c>
    </row>
    <row r="10" spans="1:28" x14ac:dyDescent="0.25">
      <c r="A10" s="83" t="s">
        <v>176</v>
      </c>
      <c r="B10" s="9">
        <f>'2011 Laterite'!D120</f>
        <v>1565.7600050000005</v>
      </c>
      <c r="C10" s="65">
        <f>'2011 Laterite'!E120</f>
        <v>1.1504541174239526</v>
      </c>
      <c r="D10" s="64">
        <f>'2011 Laterite'!F120</f>
        <v>3.2550571415023682E-2</v>
      </c>
      <c r="E10" s="9">
        <f t="shared" si="4"/>
        <v>18013.350446499993</v>
      </c>
      <c r="F10" s="9">
        <f t="shared" si="5"/>
        <v>509.66382861540353</v>
      </c>
      <c r="G10" s="67">
        <f>'2011 Laterite'!A120</f>
        <v>25</v>
      </c>
      <c r="R10" s="71">
        <f t="shared" si="0"/>
        <v>18013.350446499993</v>
      </c>
      <c r="U10" s="71">
        <v>1418.1596397532401</v>
      </c>
      <c r="W10" s="71">
        <f t="shared" si="2"/>
        <v>19431.510086253234</v>
      </c>
      <c r="Y10" s="65">
        <f t="shared" si="1"/>
        <v>12.701920109385089</v>
      </c>
      <c r="AA10" s="67">
        <v>245</v>
      </c>
      <c r="AB10" s="76">
        <f t="shared" si="3"/>
        <v>73.523879373469356</v>
      </c>
    </row>
    <row r="11" spans="1:28" x14ac:dyDescent="0.25">
      <c r="A11" s="83" t="s">
        <v>155</v>
      </c>
      <c r="B11" s="55">
        <f>'2011 Laterite'!D257</f>
        <v>1077.2156140000002</v>
      </c>
      <c r="C11" s="81">
        <f>'2011 Laterite'!E257</f>
        <v>1.3761566987488911</v>
      </c>
      <c r="D11" s="33">
        <f>'2011 Laterite'!F257</f>
        <v>4.8625826918249626E-2</v>
      </c>
      <c r="E11" s="55">
        <f t="shared" si="4"/>
        <v>14824.174832030001</v>
      </c>
      <c r="F11" s="55">
        <f t="shared" si="5"/>
        <v>523.80500000000018</v>
      </c>
      <c r="G11" s="83">
        <f>'2011 Laterite'!A257</f>
        <v>18</v>
      </c>
      <c r="H11" s="83"/>
      <c r="I11" s="55">
        <f>'2011 Sulfide'!D318</f>
        <v>315.88030147058822</v>
      </c>
      <c r="J11" s="81">
        <f>'2011 Sulfide'!E318</f>
        <v>0.51204535679844865</v>
      </c>
      <c r="K11" s="81">
        <f>'2011 Sulfide'!F318</f>
        <v>0.1517978554073415</v>
      </c>
      <c r="L11" s="83"/>
      <c r="M11" s="55">
        <f>1000*I11*J11/100</f>
        <v>1617.4504167210885</v>
      </c>
      <c r="N11" s="55">
        <f>1000*I11*K11/100</f>
        <v>479.49952328659788</v>
      </c>
      <c r="O11" s="83"/>
      <c r="P11" s="83">
        <f>'2011 Sulfide'!A318</f>
        <v>4</v>
      </c>
      <c r="Q11" s="83"/>
      <c r="R11" s="71">
        <f t="shared" si="0"/>
        <v>16441.62524875109</v>
      </c>
      <c r="S11" s="65">
        <f>100*E11/R11</f>
        <v>90.162466348368142</v>
      </c>
      <c r="U11" s="71">
        <v>1244.8258049532801</v>
      </c>
      <c r="W11" s="71">
        <f t="shared" si="2"/>
        <v>17686.451053704372</v>
      </c>
      <c r="Y11" s="65">
        <f t="shared" si="1"/>
        <v>13.207972700540349</v>
      </c>
      <c r="AA11" s="67">
        <v>91</v>
      </c>
      <c r="AB11" s="76">
        <f t="shared" si="3"/>
        <v>180.67720053572626</v>
      </c>
    </row>
    <row r="12" spans="1:28" x14ac:dyDescent="0.25">
      <c r="A12" s="83" t="s">
        <v>182</v>
      </c>
      <c r="B12" s="55">
        <f>'2011 Laterite'!D171</f>
        <v>1339.5459999999998</v>
      </c>
      <c r="C12" s="81">
        <f>'2011 Laterite'!E171</f>
        <v>1.2073987224029636</v>
      </c>
      <c r="D12" s="33">
        <f>'2011 Laterite'!F171</f>
        <v>8.321825304991394E-2</v>
      </c>
      <c r="E12" s="55">
        <f t="shared" si="4"/>
        <v>16173.66129</v>
      </c>
      <c r="F12" s="55">
        <f t="shared" si="5"/>
        <v>1114.7467799999999</v>
      </c>
      <c r="G12" s="83">
        <f>'2011 Laterite'!A171</f>
        <v>10</v>
      </c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71">
        <f t="shared" si="0"/>
        <v>16173.66129</v>
      </c>
      <c r="U12" s="71">
        <v>2387.07251256464</v>
      </c>
      <c r="W12" s="71">
        <f t="shared" si="2"/>
        <v>18560.733802564639</v>
      </c>
      <c r="Y12" s="65">
        <f t="shared" si="1"/>
        <v>6.7755215666336115</v>
      </c>
      <c r="AA12" s="67">
        <v>68.400000000000006</v>
      </c>
      <c r="AB12" s="76">
        <f t="shared" si="3"/>
        <v>236.45703640350877</v>
      </c>
    </row>
    <row r="13" spans="1:28" x14ac:dyDescent="0.25">
      <c r="A13" s="83" t="s">
        <v>1020</v>
      </c>
      <c r="B13" s="55">
        <f>'2011 Laterite'!D229</f>
        <v>808.14879999999982</v>
      </c>
      <c r="C13" s="81">
        <f>'2011 Laterite'!E229</f>
        <v>1.8580759780872047</v>
      </c>
      <c r="D13" s="33">
        <f>'2011 Laterite'!F229</f>
        <v>5.043656856995965E-2</v>
      </c>
      <c r="E13" s="55">
        <f t="shared" si="4"/>
        <v>15016.018720000004</v>
      </c>
      <c r="F13" s="55">
        <f t="shared" si="5"/>
        <v>407.60252365930597</v>
      </c>
      <c r="G13" s="83">
        <f>'2011 Laterite'!A229</f>
        <v>23</v>
      </c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71">
        <f t="shared" si="0"/>
        <v>15016.018720000004</v>
      </c>
      <c r="U13" s="71">
        <v>5212.2704484985898</v>
      </c>
      <c r="W13" s="71">
        <f t="shared" si="2"/>
        <v>20228.289168498595</v>
      </c>
      <c r="Y13" s="65">
        <f t="shared" si="1"/>
        <v>2.8808978483312226</v>
      </c>
      <c r="AA13" s="67">
        <v>131.1</v>
      </c>
      <c r="AB13" s="76">
        <f t="shared" si="3"/>
        <v>114.53866300533947</v>
      </c>
    </row>
    <row r="14" spans="1:28" x14ac:dyDescent="0.25">
      <c r="A14" s="83" t="s">
        <v>173</v>
      </c>
      <c r="B14" s="83"/>
      <c r="C14" s="83"/>
      <c r="D14" s="83"/>
      <c r="E14" s="83"/>
      <c r="F14" s="83"/>
      <c r="G14" s="83"/>
      <c r="H14" s="83"/>
      <c r="I14" s="55">
        <f>'2011 Sulfide'!D181</f>
        <v>435.16</v>
      </c>
      <c r="J14" s="81">
        <f>'2011 Sulfide'!E181</f>
        <v>1.3792896405919661</v>
      </c>
      <c r="K14" s="81">
        <f>'2011 Sulfide'!F181</f>
        <v>0.87324202592150013</v>
      </c>
      <c r="L14" s="83"/>
      <c r="M14" s="55">
        <f>1000*I14*J14/100</f>
        <v>6002.1167999999998</v>
      </c>
      <c r="N14" s="55">
        <f>1000*I14*K14/100</f>
        <v>3800</v>
      </c>
      <c r="O14" s="83"/>
      <c r="P14" s="83">
        <f>'2011 Sulfide'!A181</f>
        <v>3</v>
      </c>
      <c r="Q14" s="83"/>
      <c r="R14" s="71">
        <f t="shared" si="0"/>
        <v>6002.1167999999998</v>
      </c>
      <c r="U14" s="71">
        <v>1414.1149868456901</v>
      </c>
      <c r="W14" s="71">
        <f t="shared" si="2"/>
        <v>7416.2317868456903</v>
      </c>
      <c r="Y14" s="65">
        <f t="shared" si="1"/>
        <v>4.2444333422901188</v>
      </c>
      <c r="AA14" s="67">
        <v>89.9</v>
      </c>
      <c r="AB14" s="76">
        <f t="shared" si="3"/>
        <v>66.764369299221357</v>
      </c>
    </row>
    <row r="15" spans="1:28" x14ac:dyDescent="0.25">
      <c r="A15" s="83" t="s">
        <v>1021</v>
      </c>
      <c r="B15" s="55">
        <f>'2011 Laterite'!D331</f>
        <v>48.535200000000003</v>
      </c>
      <c r="C15" s="81">
        <f>'2011 Laterite'!E331</f>
        <v>0.87495327102803744</v>
      </c>
      <c r="D15" s="33">
        <f>'2011 Laterite'!F331</f>
        <v>0</v>
      </c>
      <c r="E15" s="55">
        <f>1000*B15*C15/100</f>
        <v>424.66032000000007</v>
      </c>
      <c r="F15" s="55">
        <f>1000*B15*D15/100</f>
        <v>0</v>
      </c>
      <c r="G15" s="83">
        <f>'2011 Laterite'!A331</f>
        <v>2</v>
      </c>
      <c r="H15" s="83"/>
      <c r="I15" s="55">
        <f>'2011 Sulfide'!D373</f>
        <v>3663.2506143999994</v>
      </c>
      <c r="J15" s="81">
        <f>'2011 Sulfide'!E373</f>
        <v>0.13846368947384627</v>
      </c>
      <c r="K15" s="81">
        <f>'2011 Sulfide'!F373</f>
        <v>0.42800933836897542</v>
      </c>
      <c r="L15" s="33">
        <f>'2011 Sulfide'!G373</f>
        <v>5.0020643870196521E-3</v>
      </c>
      <c r="M15" s="55">
        <f>1000*I15*J15/100</f>
        <v>5072.2719553715806</v>
      </c>
      <c r="N15" s="55">
        <f>1000*I15*K15/100</f>
        <v>15679.054717490864</v>
      </c>
      <c r="O15" s="55">
        <f>1000*I15*L15/100</f>
        <v>183.23815439018097</v>
      </c>
      <c r="P15" s="83">
        <f>'2011 Sulfide'!A373</f>
        <v>10</v>
      </c>
      <c r="Q15" s="83"/>
      <c r="R15" s="71">
        <f t="shared" si="0"/>
        <v>5496.9322753715805</v>
      </c>
      <c r="U15" s="71">
        <v>412.18831468157799</v>
      </c>
      <c r="W15" s="71">
        <f t="shared" si="2"/>
        <v>5909.1205900531586</v>
      </c>
      <c r="Y15" s="65">
        <f t="shared" si="1"/>
        <v>13.335973096709566</v>
      </c>
    </row>
    <row r="16" spans="1:28" x14ac:dyDescent="0.25">
      <c r="A16" s="83" t="s">
        <v>170</v>
      </c>
      <c r="B16" s="83"/>
      <c r="C16" s="83"/>
      <c r="D16" s="83"/>
      <c r="E16" s="83"/>
      <c r="F16" s="83"/>
      <c r="G16" s="83"/>
      <c r="H16" s="83"/>
      <c r="I16" s="55">
        <f>'2011 Sulfide'!D143</f>
        <v>2108.5000000000005</v>
      </c>
      <c r="J16" s="81">
        <f>'2011 Sulfide'!E143</f>
        <v>0.22747254574341952</v>
      </c>
      <c r="K16" s="81">
        <f>'2011 Sulfide'!F143</f>
        <v>0.43327130196822361</v>
      </c>
      <c r="L16" s="33">
        <f>'2011 Sulfide'!G143</f>
        <v>1.6377455916528331E-2</v>
      </c>
      <c r="M16" s="55">
        <f>1000*I16*J16/100</f>
        <v>4796.258627000002</v>
      </c>
      <c r="N16" s="55">
        <f>1000*I16*K16/100</f>
        <v>9135.5254019999975</v>
      </c>
      <c r="O16" s="55">
        <f>1000*I16*L16/100</f>
        <v>345.31865799999991</v>
      </c>
      <c r="P16" s="83">
        <f>'2011 Sulfide'!A143</f>
        <v>33</v>
      </c>
      <c r="Q16" s="83"/>
      <c r="R16" s="71">
        <f t="shared" si="0"/>
        <v>4796.258627000002</v>
      </c>
      <c r="U16" s="71">
        <v>330.56184414406198</v>
      </c>
      <c r="W16" s="71">
        <f t="shared" si="2"/>
        <v>5126.820471144064</v>
      </c>
      <c r="Y16" s="65">
        <f t="shared" si="1"/>
        <v>14.509413932570352</v>
      </c>
      <c r="AA16" s="67">
        <v>36</v>
      </c>
      <c r="AB16" s="76">
        <f t="shared" si="3"/>
        <v>133.22940630555561</v>
      </c>
    </row>
    <row r="17" spans="1:29" x14ac:dyDescent="0.25">
      <c r="A17" s="83" t="s">
        <v>1097</v>
      </c>
      <c r="B17" s="55">
        <f>'2011 Laterite'!D379</f>
        <v>293</v>
      </c>
      <c r="C17" s="81">
        <f>'2011 Laterite'!E379</f>
        <v>1.4600000000000002</v>
      </c>
      <c r="D17" s="33">
        <f>'2011 Laterite'!F379</f>
        <v>0.11000000000000001</v>
      </c>
      <c r="E17" s="55">
        <f>1000*B17*C17/100</f>
        <v>4277.8</v>
      </c>
      <c r="F17" s="55">
        <f>1000*B17*D17/100</f>
        <v>322.3</v>
      </c>
      <c r="G17" s="83">
        <f>'2011 Laterite'!A379</f>
        <v>1</v>
      </c>
      <c r="H17" s="83"/>
      <c r="I17" s="55">
        <f>'2011 Sulfide'!D426</f>
        <v>40.639000000000003</v>
      </c>
      <c r="J17" s="81">
        <f>'2011 Sulfide'!E426</f>
        <v>0.24</v>
      </c>
      <c r="K17" s="81">
        <f>'2011 Sulfide'!F426</f>
        <v>0.18696818327222611</v>
      </c>
      <c r="L17" s="33">
        <f>'2011 Sulfide'!G426</f>
        <v>1.3484091636113096E-2</v>
      </c>
      <c r="M17" s="55">
        <f>1000*I17*J17/100</f>
        <v>97.533599999999993</v>
      </c>
      <c r="N17" s="55">
        <f>1000*I17*K17/100</f>
        <v>75.981999999999971</v>
      </c>
      <c r="O17" s="55">
        <f>1000*I17*L17/100</f>
        <v>5.4798000000000009</v>
      </c>
      <c r="P17" s="83">
        <f>'2011 Sulfide'!A426</f>
        <v>1</v>
      </c>
      <c r="Q17" s="83"/>
      <c r="R17" s="71">
        <f>M17+E17</f>
        <v>4375.3335999999999</v>
      </c>
      <c r="U17" s="67">
        <v>0</v>
      </c>
      <c r="W17" s="71">
        <f t="shared" si="2"/>
        <v>4375.3335999999999</v>
      </c>
    </row>
    <row r="18" spans="1:29" x14ac:dyDescent="0.25">
      <c r="A18" s="83" t="s">
        <v>1022</v>
      </c>
      <c r="B18" s="55">
        <f>'2011 Laterite'!D197</f>
        <v>430.7</v>
      </c>
      <c r="C18" s="81">
        <f>'2011 Laterite'!E197</f>
        <v>0.998100766194567</v>
      </c>
      <c r="D18" s="33">
        <f>'2011 Laterite'!F197</f>
        <v>8.9196656605525906E-2</v>
      </c>
      <c r="E18" s="55">
        <f>1000*B18*C18/100</f>
        <v>4298.82</v>
      </c>
      <c r="F18" s="55">
        <f>1000*B18*D18/100</f>
        <v>384.17000000000007</v>
      </c>
      <c r="G18" s="83">
        <f>'2011 Laterite'!A197</f>
        <v>3</v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71">
        <f t="shared" si="0"/>
        <v>4298.82</v>
      </c>
      <c r="U18" s="67">
        <v>0</v>
      </c>
      <c r="W18" s="71">
        <f t="shared" si="2"/>
        <v>4298.82</v>
      </c>
    </row>
    <row r="19" spans="1:29" x14ac:dyDescent="0.25">
      <c r="A19" s="83" t="s">
        <v>183</v>
      </c>
      <c r="B19" s="55">
        <f>'2011 Laterite'!D185</f>
        <v>302.90499999999997</v>
      </c>
      <c r="C19" s="81">
        <f>'2011 Laterite'!E185</f>
        <v>1.3041367755566928</v>
      </c>
      <c r="D19" s="33">
        <f>'2011 Laterite'!F185</f>
        <v>5.1795381390204863E-2</v>
      </c>
      <c r="E19" s="55">
        <f>1000*B19*C19/100</f>
        <v>3950.2955000000006</v>
      </c>
      <c r="F19" s="55">
        <f>1000*B19*D19/100</f>
        <v>156.89080000000004</v>
      </c>
      <c r="G19" s="83">
        <f>'2011 Laterite'!A185</f>
        <v>3</v>
      </c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71">
        <f>M19+E19</f>
        <v>3950.2955000000006</v>
      </c>
      <c r="U19" s="67">
        <v>0</v>
      </c>
      <c r="W19" s="71">
        <f t="shared" si="2"/>
        <v>3950.2955000000006</v>
      </c>
    </row>
    <row r="20" spans="1:29" x14ac:dyDescent="0.25">
      <c r="A20" s="83" t="s">
        <v>1080</v>
      </c>
      <c r="B20" s="83"/>
      <c r="C20" s="83"/>
      <c r="D20" s="83"/>
      <c r="E20" s="83"/>
      <c r="F20" s="83"/>
      <c r="G20" s="83"/>
      <c r="H20" s="83"/>
      <c r="I20" s="82">
        <f>'2011 Sulfide'!D486</f>
        <v>308</v>
      </c>
      <c r="J20" s="82">
        <f>'2011 Sulfide'!E486</f>
        <v>1.2000000000000002</v>
      </c>
      <c r="K20" s="82">
        <f>'2011 Sulfide'!F486</f>
        <v>1.1000000000000001</v>
      </c>
      <c r="L20" s="82">
        <f>'2011 Sulfide'!G486</f>
        <v>0.24000000000000002</v>
      </c>
      <c r="M20" s="55">
        <f>1000*I20*J20/100</f>
        <v>3696.0000000000005</v>
      </c>
      <c r="N20" s="55">
        <f>1000*I20*K20/100</f>
        <v>3388</v>
      </c>
      <c r="O20" s="55">
        <f>1000*I20*L20/100</f>
        <v>739.2</v>
      </c>
      <c r="P20" s="83">
        <f>'2011 Sulfide'!A486</f>
        <v>1</v>
      </c>
      <c r="Q20" s="83"/>
      <c r="R20" s="91">
        <f>M20+E20</f>
        <v>3696.0000000000005</v>
      </c>
      <c r="S20" s="83"/>
      <c r="T20" s="83"/>
      <c r="U20" s="83">
        <v>0</v>
      </c>
      <c r="V20" s="83"/>
      <c r="W20" s="91">
        <f t="shared" si="2"/>
        <v>3696.0000000000005</v>
      </c>
      <c r="X20" s="83"/>
      <c r="Y20" s="83"/>
      <c r="Z20" s="83"/>
      <c r="AA20" s="83"/>
      <c r="AB20" s="83"/>
      <c r="AC20" s="83"/>
    </row>
    <row r="21" spans="1:29" x14ac:dyDescent="0.25">
      <c r="A21" s="83" t="s">
        <v>193</v>
      </c>
      <c r="B21" s="83"/>
      <c r="C21" s="83"/>
      <c r="D21" s="83"/>
      <c r="E21" s="83"/>
      <c r="F21" s="83"/>
      <c r="G21" s="83"/>
      <c r="H21" s="83"/>
      <c r="I21" s="55">
        <f>'2011 Sulfide'!D292</f>
        <v>2315.4904597701152</v>
      </c>
      <c r="J21" s="81">
        <f>'2011 Sulfide'!E292</f>
        <v>0.1571031248150615</v>
      </c>
      <c r="K21" s="81">
        <f>'2011 Sulfide'!F292</f>
        <v>0.11020344120758821</v>
      </c>
      <c r="L21" s="83"/>
      <c r="M21" s="55">
        <f>1000*I21*J21/100</f>
        <v>3637.7078670934857</v>
      </c>
      <c r="N21" s="55">
        <f>1000*I21*K21/100</f>
        <v>2551.7501675000731</v>
      </c>
      <c r="O21" s="83"/>
      <c r="P21" s="83">
        <f>'2011 Sulfide'!A292</f>
        <v>9</v>
      </c>
      <c r="Q21" s="83"/>
      <c r="R21" s="71">
        <f t="shared" si="0"/>
        <v>3637.7078670934857</v>
      </c>
      <c r="U21" s="71">
        <v>460.71354785448602</v>
      </c>
      <c r="W21" s="71">
        <f t="shared" si="2"/>
        <v>4098.4214149479722</v>
      </c>
      <c r="Y21" s="65">
        <f>R21/U21</f>
        <v>7.8958126671856341</v>
      </c>
      <c r="AA21" s="67">
        <v>4.8</v>
      </c>
      <c r="AB21" s="76">
        <f t="shared" ref="AB21" si="6">R21/AA21</f>
        <v>757.85580564447616</v>
      </c>
    </row>
    <row r="22" spans="1:29" x14ac:dyDescent="0.25">
      <c r="A22" s="83" t="s">
        <v>235</v>
      </c>
      <c r="B22" s="55">
        <f>'2011 Laterite'!D318</f>
        <v>219.82</v>
      </c>
      <c r="C22" s="81">
        <f>'2011 Laterite'!E318</f>
        <v>0.86952825038668002</v>
      </c>
      <c r="D22" s="33">
        <f>'2011 Laterite'!F318</f>
        <v>3.9389318533345465E-2</v>
      </c>
      <c r="E22" s="55">
        <f t="shared" ref="E22:E32" si="7">1000*B22*C22/100</f>
        <v>1911.3970000000002</v>
      </c>
      <c r="F22" s="55">
        <f>1000*B22*D22/100</f>
        <v>86.585599999999999</v>
      </c>
      <c r="G22" s="83">
        <f>'2011 Laterite'!A318</f>
        <v>2</v>
      </c>
      <c r="H22" s="83"/>
      <c r="I22" s="55">
        <f>'2011 Sulfide'!D362</f>
        <v>80.480999999999995</v>
      </c>
      <c r="J22" s="81">
        <f>'2011 Sulfide'!E362</f>
        <v>2.1414450615673268</v>
      </c>
      <c r="K22" s="81">
        <f>'2011 Sulfide'!F362</f>
        <v>0.29894385010126617</v>
      </c>
      <c r="L22" s="33">
        <f>'2011 Sulfide'!G362</f>
        <v>0.15068090605236018</v>
      </c>
      <c r="M22" s="55">
        <f>1000*I22*J22/100</f>
        <v>1723.4564000000005</v>
      </c>
      <c r="N22" s="55">
        <f>1000*I22*K22/100</f>
        <v>240.59300000000002</v>
      </c>
      <c r="O22" s="55">
        <f>1000*I22*L22/100</f>
        <v>121.26949999999999</v>
      </c>
      <c r="P22" s="83">
        <f>'2011 Sulfide'!A362</f>
        <v>2</v>
      </c>
      <c r="Q22" s="83"/>
      <c r="R22" s="71">
        <f t="shared" si="0"/>
        <v>3634.8534000000009</v>
      </c>
      <c r="S22" s="65">
        <f>100*E22/R22</f>
        <v>52.585256945988512</v>
      </c>
      <c r="U22" s="67">
        <v>0</v>
      </c>
      <c r="W22" s="71">
        <f t="shared" si="2"/>
        <v>3634.8534000000009</v>
      </c>
    </row>
    <row r="23" spans="1:29" x14ac:dyDescent="0.25">
      <c r="A23" s="83" t="s">
        <v>446</v>
      </c>
      <c r="B23" s="55">
        <f>'2011 Laterite'!D372</f>
        <v>266.39999999999998</v>
      </c>
      <c r="C23" s="81">
        <f>'2011 Laterite'!E372</f>
        <v>1.3435810810810815</v>
      </c>
      <c r="D23" s="33">
        <f>'2011 Laterite'!F372</f>
        <v>6.6036036036036042E-2</v>
      </c>
      <c r="E23" s="55">
        <f t="shared" si="7"/>
        <v>3579.3000000000011</v>
      </c>
      <c r="F23" s="55">
        <f>1000*B23*D23/100</f>
        <v>175.92</v>
      </c>
      <c r="G23" s="83">
        <f>'2011 Laterite'!A372</f>
        <v>3</v>
      </c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71">
        <f t="shared" si="0"/>
        <v>3579.3000000000011</v>
      </c>
      <c r="U23" s="67">
        <v>0</v>
      </c>
      <c r="W23" s="71">
        <f t="shared" si="2"/>
        <v>3579.3000000000011</v>
      </c>
    </row>
    <row r="24" spans="1:29" x14ac:dyDescent="0.25">
      <c r="A24" s="83" t="s">
        <v>191</v>
      </c>
      <c r="B24" s="55">
        <f>'2011 Laterite'!D210</f>
        <v>331</v>
      </c>
      <c r="C24" s="81">
        <f>'2011 Laterite'!E210</f>
        <v>0.97492447129909365</v>
      </c>
      <c r="D24" s="83"/>
      <c r="E24" s="55">
        <f t="shared" si="7"/>
        <v>3227</v>
      </c>
      <c r="F24" s="83"/>
      <c r="G24" s="83">
        <f>'2011 Laterite'!A210</f>
        <v>1</v>
      </c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71">
        <f t="shared" si="0"/>
        <v>3227</v>
      </c>
      <c r="U24" s="71">
        <v>1292.72213816565</v>
      </c>
      <c r="W24" s="71">
        <f t="shared" si="2"/>
        <v>4519.72213816565</v>
      </c>
      <c r="Y24" s="65">
        <f>R24/U24</f>
        <v>2.4962827700769914</v>
      </c>
      <c r="AA24" s="67">
        <v>76</v>
      </c>
      <c r="AB24" s="76">
        <f t="shared" ref="AB24:AB25" si="8">R24/AA24</f>
        <v>42.460526315789473</v>
      </c>
    </row>
    <row r="25" spans="1:29" x14ac:dyDescent="0.25">
      <c r="A25" s="83" t="s">
        <v>212</v>
      </c>
      <c r="B25" s="55">
        <f>'2011 Laterite'!D292</f>
        <v>300</v>
      </c>
      <c r="C25" s="81">
        <f>'2011 Laterite'!E292</f>
        <v>1.0724633333333333</v>
      </c>
      <c r="D25" s="83"/>
      <c r="E25" s="55">
        <f t="shared" si="7"/>
        <v>3217.39</v>
      </c>
      <c r="F25" s="83"/>
      <c r="G25" s="83">
        <f>'2011 Laterite'!A292</f>
        <v>3</v>
      </c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71">
        <f t="shared" si="0"/>
        <v>3217.39</v>
      </c>
      <c r="U25" s="71">
        <v>779.93504735552904</v>
      </c>
      <c r="W25" s="71">
        <f t="shared" si="2"/>
        <v>3997.325047355529</v>
      </c>
      <c r="Y25" s="65">
        <f>R25/U25</f>
        <v>4.1252024907830185</v>
      </c>
      <c r="AA25" s="67">
        <v>21.7</v>
      </c>
      <c r="AB25" s="76">
        <f t="shared" si="8"/>
        <v>148.2668202764977</v>
      </c>
    </row>
    <row r="26" spans="1:29" x14ac:dyDescent="0.25">
      <c r="A26" s="83" t="s">
        <v>196</v>
      </c>
      <c r="B26" s="55">
        <f>'2011 Laterite'!D222</f>
        <v>232.01</v>
      </c>
      <c r="C26" s="81">
        <f>'2011 Laterite'!E222</f>
        <v>0.98565665273048575</v>
      </c>
      <c r="D26" s="33">
        <f>'2011 Laterite'!F222</f>
        <v>8.2021464592043458E-2</v>
      </c>
      <c r="E26" s="55">
        <f t="shared" si="7"/>
        <v>2286.8220000000001</v>
      </c>
      <c r="F26" s="55">
        <f>1000*B26*D26/100</f>
        <v>190.29800000000003</v>
      </c>
      <c r="G26" s="83">
        <f>'2011 Laterite'!A222</f>
        <v>3</v>
      </c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71">
        <f t="shared" si="0"/>
        <v>2286.8220000000001</v>
      </c>
      <c r="U26" s="67">
        <v>0</v>
      </c>
      <c r="W26" s="71">
        <f t="shared" si="2"/>
        <v>2286.8220000000001</v>
      </c>
    </row>
    <row r="27" spans="1:29" x14ac:dyDescent="0.25">
      <c r="A27" s="83" t="s">
        <v>427</v>
      </c>
      <c r="B27" s="55">
        <f>'2011 Laterite'!D204</f>
        <v>150</v>
      </c>
      <c r="C27" s="81">
        <f>'2011 Laterite'!E204</f>
        <v>1.446</v>
      </c>
      <c r="D27" s="83"/>
      <c r="E27" s="55">
        <f t="shared" si="7"/>
        <v>2169</v>
      </c>
      <c r="F27" s="83"/>
      <c r="G27" s="83">
        <f>'2011 Laterite'!A204</f>
        <v>2</v>
      </c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71">
        <f t="shared" si="0"/>
        <v>2169</v>
      </c>
      <c r="U27" s="67">
        <v>0</v>
      </c>
      <c r="W27" s="71">
        <f t="shared" si="2"/>
        <v>2169</v>
      </c>
    </row>
    <row r="28" spans="1:29" x14ac:dyDescent="0.25">
      <c r="A28" s="83" t="s">
        <v>156</v>
      </c>
      <c r="B28" s="55">
        <f>'2011 Laterite'!D363</f>
        <v>214.78</v>
      </c>
      <c r="C28" s="81">
        <f>'2011 Laterite'!E363</f>
        <v>0.92791228233541301</v>
      </c>
      <c r="D28" s="33">
        <f>'2011 Laterite'!F363</f>
        <v>6.6707328429090232E-2</v>
      </c>
      <c r="E28" s="55">
        <f t="shared" si="7"/>
        <v>1992.97</v>
      </c>
      <c r="F28" s="55">
        <f>1000*B28*D28/100</f>
        <v>143.274</v>
      </c>
      <c r="G28" s="83">
        <f>'2011 Laterite'!A363</f>
        <v>5</v>
      </c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71">
        <f t="shared" si="0"/>
        <v>1992.97</v>
      </c>
      <c r="U28" s="71">
        <v>9.2953080830989698</v>
      </c>
      <c r="W28" s="71">
        <f t="shared" si="2"/>
        <v>2002.2653080830989</v>
      </c>
      <c r="Y28" s="65">
        <f>R28/U28</f>
        <v>214.40601884123481</v>
      </c>
    </row>
    <row r="29" spans="1:29" x14ac:dyDescent="0.25">
      <c r="A29" s="83" t="s">
        <v>158</v>
      </c>
      <c r="B29" s="55">
        <f>'2011 Laterite'!D357</f>
        <v>323.149</v>
      </c>
      <c r="C29" s="81">
        <f>'2011 Laterite'!E357</f>
        <v>0.61207672002698454</v>
      </c>
      <c r="D29" s="33">
        <f>'2011 Laterite'!F357</f>
        <v>0.21194563498571867</v>
      </c>
      <c r="E29" s="55">
        <f t="shared" si="7"/>
        <v>1977.9198000000004</v>
      </c>
      <c r="F29" s="55">
        <f>1000*B29*D29/100</f>
        <v>684.90020000000004</v>
      </c>
      <c r="G29" s="83">
        <f>'2011 Laterite'!A357</f>
        <v>2</v>
      </c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71">
        <f t="shared" si="0"/>
        <v>1977.9198000000004</v>
      </c>
      <c r="U29" s="67">
        <v>0</v>
      </c>
      <c r="W29" s="71">
        <f t="shared" si="2"/>
        <v>1977.9198000000004</v>
      </c>
    </row>
    <row r="30" spans="1:29" x14ac:dyDescent="0.25">
      <c r="A30" s="83" t="s">
        <v>484</v>
      </c>
      <c r="B30" s="55">
        <f>'2011 Laterite'!D413</f>
        <v>261.60000000000002</v>
      </c>
      <c r="C30" s="81">
        <f>'2011 Laterite'!E413</f>
        <v>0.73016055045871564</v>
      </c>
      <c r="D30" s="33">
        <f>'2011 Laterite'!F413</f>
        <v>3.5932721712538225E-3</v>
      </c>
      <c r="E30" s="55">
        <f t="shared" si="7"/>
        <v>1910.1000000000004</v>
      </c>
      <c r="F30" s="55">
        <f>1000*B30*D30/100</f>
        <v>9.4</v>
      </c>
      <c r="G30" s="83">
        <f>'2011 Laterite'!A413</f>
        <v>3</v>
      </c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71">
        <f t="shared" si="0"/>
        <v>1910.1000000000004</v>
      </c>
      <c r="U30" s="71">
        <v>49.475848770752101</v>
      </c>
      <c r="W30" s="71">
        <f t="shared" si="2"/>
        <v>1959.5758487707524</v>
      </c>
      <c r="Y30" s="65">
        <f>R30/U30</f>
        <v>38.606715143999018</v>
      </c>
    </row>
    <row r="31" spans="1:29" x14ac:dyDescent="0.25">
      <c r="A31" s="83" t="s">
        <v>246</v>
      </c>
      <c r="B31" s="55">
        <f>'2011 Laterite'!D325</f>
        <v>138.958</v>
      </c>
      <c r="C31" s="81">
        <f>'2011 Laterite'!E325</f>
        <v>1.2054974884497476</v>
      </c>
      <c r="D31" s="83"/>
      <c r="E31" s="55">
        <f>1000*B31*C31/100</f>
        <v>1675.1352000000002</v>
      </c>
      <c r="F31" s="83"/>
      <c r="G31" s="83">
        <f>'2011 Laterite'!A325</f>
        <v>2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71">
        <f>M31+E31</f>
        <v>1675.1352000000002</v>
      </c>
      <c r="U31" s="71">
        <v>183.57187471650201</v>
      </c>
      <c r="W31" s="71">
        <f t="shared" si="2"/>
        <v>1858.7070747165021</v>
      </c>
      <c r="Y31" s="65">
        <f>R31/U31</f>
        <v>9.1252279391218512</v>
      </c>
      <c r="AA31" s="67">
        <v>3.7</v>
      </c>
      <c r="AB31" s="76">
        <f>R31/AA31</f>
        <v>452.73924324324327</v>
      </c>
    </row>
    <row r="32" spans="1:29" x14ac:dyDescent="0.25">
      <c r="A32" s="83" t="s">
        <v>1023</v>
      </c>
      <c r="B32" s="55">
        <f>'2011 Laterite'!D342</f>
        <v>160.69999999999999</v>
      </c>
      <c r="C32" s="81">
        <f>'2011 Laterite'!E342</f>
        <v>1.0402924704418173</v>
      </c>
      <c r="D32" s="33">
        <f>'2011 Laterite'!F342</f>
        <v>8.7703795892968284E-2</v>
      </c>
      <c r="E32" s="55">
        <f t="shared" si="7"/>
        <v>1671.7500000000002</v>
      </c>
      <c r="F32" s="55">
        <f>1000*B32*D32/100</f>
        <v>140.94000000000003</v>
      </c>
      <c r="G32" s="83">
        <f>'2011 Laterite'!A342</f>
        <v>2</v>
      </c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71">
        <f t="shared" si="0"/>
        <v>1671.7500000000002</v>
      </c>
      <c r="U32" s="67">
        <v>0</v>
      </c>
      <c r="W32" s="71">
        <f t="shared" si="2"/>
        <v>1671.7500000000002</v>
      </c>
    </row>
    <row r="33" spans="1:28" x14ac:dyDescent="0.25">
      <c r="A33" s="83" t="s">
        <v>354</v>
      </c>
      <c r="B33" s="83"/>
      <c r="C33" s="83"/>
      <c r="D33" s="83"/>
      <c r="E33" s="83"/>
      <c r="F33" s="83"/>
      <c r="G33" s="83"/>
      <c r="H33" s="83"/>
      <c r="I33" s="55">
        <f>'2011 Sulfide'!D467</f>
        <v>4653.5210000000006</v>
      </c>
      <c r="J33" s="81">
        <f>'2011 Sulfide'!E467</f>
        <v>3.2984053150292E-2</v>
      </c>
      <c r="K33" s="81">
        <f>'2011 Sulfide'!F467</f>
        <v>1.9273792897893873E-4</v>
      </c>
      <c r="L33" s="33">
        <f>'2011 Sulfide'!G467</f>
        <v>3.1058203025193174E-5</v>
      </c>
      <c r="M33" s="55">
        <f>1000*I33*J33/100</f>
        <v>1534.91984</v>
      </c>
      <c r="N33" s="55">
        <f>1000*I33*K33/100</f>
        <v>8.969100000000001</v>
      </c>
      <c r="O33" s="55">
        <f>1000*I33*L33/100</f>
        <v>1.4453</v>
      </c>
      <c r="P33" s="83">
        <f>'2011 Sulfide'!A467</f>
        <v>5</v>
      </c>
      <c r="Q33" s="83"/>
      <c r="R33" s="71">
        <f t="shared" si="0"/>
        <v>1534.91984</v>
      </c>
      <c r="U33" s="67">
        <v>0</v>
      </c>
      <c r="W33" s="71">
        <f t="shared" si="2"/>
        <v>1534.91984</v>
      </c>
    </row>
    <row r="34" spans="1:28" x14ac:dyDescent="0.25">
      <c r="A34" s="83" t="s">
        <v>166</v>
      </c>
      <c r="B34" s="83"/>
      <c r="C34" s="83"/>
      <c r="D34" s="83"/>
      <c r="E34" s="83"/>
      <c r="F34" s="83"/>
      <c r="G34" s="83"/>
      <c r="H34" s="83"/>
      <c r="I34" s="55">
        <f>'2011 Sulfide'!D82</f>
        <v>476.02949100000001</v>
      </c>
      <c r="J34" s="81">
        <f>'2011 Sulfide'!E82</f>
        <v>0.31121253521244546</v>
      </c>
      <c r="K34" s="81">
        <f>'2011 Sulfide'!F82</f>
        <v>0.32219265299678668</v>
      </c>
      <c r="L34" s="83"/>
      <c r="M34" s="55">
        <f>1000*I34*J34/100</f>
        <v>1481.4634472999999</v>
      </c>
      <c r="N34" s="55">
        <f>1000*I34*K34/100</f>
        <v>1533.7320460999999</v>
      </c>
      <c r="O34" s="83"/>
      <c r="P34" s="83">
        <f>'2011 Sulfide'!A82</f>
        <v>8</v>
      </c>
      <c r="Q34" s="83"/>
      <c r="R34" s="71">
        <f t="shared" si="0"/>
        <v>1481.4634472999999</v>
      </c>
      <c r="U34" s="71">
        <v>932.21589521908697</v>
      </c>
      <c r="W34" s="71">
        <f t="shared" si="2"/>
        <v>2413.6793425190867</v>
      </c>
      <c r="Y34" s="65">
        <f>R34/U34</f>
        <v>1.5891849247559013</v>
      </c>
      <c r="AA34" s="67">
        <v>32.4</v>
      </c>
      <c r="AB34" s="76">
        <f t="shared" ref="AB34:AB40" si="9">R34/AA34</f>
        <v>45.724180472222223</v>
      </c>
    </row>
    <row r="35" spans="1:28" x14ac:dyDescent="0.25">
      <c r="A35" s="83" t="s">
        <v>1024</v>
      </c>
      <c r="B35" s="55">
        <f>'2011 Laterite'!D306</f>
        <v>85.800000000000011</v>
      </c>
      <c r="C35" s="81">
        <f>'2011 Laterite'!E306</f>
        <v>1.4949883449883445</v>
      </c>
      <c r="D35" s="83"/>
      <c r="E35" s="55">
        <f>1000*B35*C35/100</f>
        <v>1282.6999999999998</v>
      </c>
      <c r="F35" s="83"/>
      <c r="G35" s="83">
        <f>'2011 Laterite'!A306</f>
        <v>2</v>
      </c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71">
        <f t="shared" si="0"/>
        <v>1282.6999999999998</v>
      </c>
      <c r="U35" s="71">
        <v>1245.31712111041</v>
      </c>
      <c r="W35" s="71">
        <f t="shared" si="2"/>
        <v>2528.0171211104098</v>
      </c>
      <c r="Y35" s="65">
        <f>R35/U35</f>
        <v>1.0300187624950154</v>
      </c>
      <c r="AA35" s="67">
        <v>13.5</v>
      </c>
      <c r="AB35" s="76">
        <f t="shared" si="9"/>
        <v>95.014814814814798</v>
      </c>
    </row>
    <row r="36" spans="1:28" x14ac:dyDescent="0.25">
      <c r="A36" s="83" t="s">
        <v>464</v>
      </c>
      <c r="B36" s="55">
        <f>'2011 Laterite'!D391</f>
        <v>155.30500000000001</v>
      </c>
      <c r="C36" s="81">
        <f>'2011 Laterite'!E391</f>
        <v>0.80583175042657995</v>
      </c>
      <c r="D36" s="33">
        <f>'2011 Laterite'!F391</f>
        <v>4.251704710086604E-2</v>
      </c>
      <c r="E36" s="55">
        <f>1000*B36*C36/100</f>
        <v>1251.4970000000001</v>
      </c>
      <c r="F36" s="55">
        <f>1000*B36*D36/100</f>
        <v>66.031100000000009</v>
      </c>
      <c r="G36" s="83">
        <f>'2011 Laterite'!A391</f>
        <v>3</v>
      </c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71">
        <f t="shared" si="0"/>
        <v>1251.4970000000001</v>
      </c>
      <c r="U36" s="71">
        <v>54.192999999999998</v>
      </c>
      <c r="W36" s="71">
        <f t="shared" si="2"/>
        <v>1305.69</v>
      </c>
      <c r="Y36" s="65">
        <f>R36/U36</f>
        <v>23.093333087299101</v>
      </c>
    </row>
    <row r="37" spans="1:28" x14ac:dyDescent="0.25">
      <c r="A37" s="83" t="s">
        <v>226</v>
      </c>
      <c r="B37" s="55">
        <f>'2011 Laterite'!D312</f>
        <v>103.2</v>
      </c>
      <c r="C37" s="81">
        <f>'2011 Laterite'!E312</f>
        <v>1.0418217054263565</v>
      </c>
      <c r="D37" s="33">
        <f>'2011 Laterite'!F312</f>
        <v>1.7819957440340477E-2</v>
      </c>
      <c r="E37" s="55">
        <f>1000*B37*C37/100</f>
        <v>1075.1600000000001</v>
      </c>
      <c r="F37" s="55">
        <f>1000*B37*D37/100</f>
        <v>18.390196078431373</v>
      </c>
      <c r="G37" s="83">
        <f>'2011 Laterite'!A312</f>
        <v>2</v>
      </c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71">
        <f>M37+E37</f>
        <v>1075.1600000000001</v>
      </c>
      <c r="U37" s="71">
        <v>3.18</v>
      </c>
      <c r="W37" s="71">
        <f t="shared" si="2"/>
        <v>1078.3400000000001</v>
      </c>
      <c r="Y37" s="65">
        <f>R37/U37</f>
        <v>338.10062893081761</v>
      </c>
    </row>
    <row r="38" spans="1:28" x14ac:dyDescent="0.25">
      <c r="A38" s="83" t="s">
        <v>1112</v>
      </c>
      <c r="B38" s="9">
        <f>'2011 Laterite'!D437</f>
        <v>150</v>
      </c>
      <c r="C38" s="65">
        <f>'2011 Laterite'!E437</f>
        <v>0.7</v>
      </c>
      <c r="D38" s="64">
        <f>'2011 Laterite'!F437</f>
        <v>0</v>
      </c>
      <c r="E38" s="9">
        <f>1000*B38*C38/100</f>
        <v>1050</v>
      </c>
      <c r="F38" s="9">
        <f>1000*B38*D38/100</f>
        <v>0</v>
      </c>
      <c r="G38" s="67">
        <f>'2011 Laterite'!A437</f>
        <v>1</v>
      </c>
      <c r="I38" s="9"/>
      <c r="J38" s="65"/>
      <c r="K38" s="65"/>
      <c r="L38" s="64"/>
      <c r="M38" s="9"/>
      <c r="N38" s="9"/>
      <c r="O38" s="9"/>
      <c r="R38" s="71">
        <f>M38+E38</f>
        <v>1050</v>
      </c>
      <c r="W38" s="71">
        <f t="shared" si="2"/>
        <v>1050</v>
      </c>
    </row>
    <row r="39" spans="1:28" x14ac:dyDescent="0.25">
      <c r="A39" s="83" t="s">
        <v>1025</v>
      </c>
      <c r="B39" s="55">
        <f>'2011 Laterite'!D404</f>
        <v>83.973920000000007</v>
      </c>
      <c r="C39" s="81">
        <f>'2011 Laterite'!E404</f>
        <v>0.88369339433004923</v>
      </c>
      <c r="D39" s="33">
        <f>'2011 Laterite'!F404</f>
        <v>9.2725074642222238E-2</v>
      </c>
      <c r="E39" s="55">
        <f>1000*B39*C39/100</f>
        <v>742.07198400000027</v>
      </c>
      <c r="F39" s="55">
        <f>1000*B39*D39/100</f>
        <v>77.864879999999999</v>
      </c>
      <c r="G39" s="83">
        <f>'2011 Laterite'!A404</f>
        <v>5</v>
      </c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71">
        <f>M39+E39</f>
        <v>742.07198400000027</v>
      </c>
      <c r="U39" s="67">
        <v>0</v>
      </c>
      <c r="W39" s="71">
        <f t="shared" si="2"/>
        <v>742.07198400000027</v>
      </c>
    </row>
    <row r="40" spans="1:28" x14ac:dyDescent="0.25">
      <c r="A40" s="83" t="s">
        <v>214</v>
      </c>
      <c r="B40" s="83"/>
      <c r="C40" s="83"/>
      <c r="D40" s="83"/>
      <c r="E40" s="83"/>
      <c r="F40" s="83"/>
      <c r="G40" s="83"/>
      <c r="H40" s="83"/>
      <c r="I40" s="55">
        <f>'2011 Sulfide'!D344</f>
        <v>119.4479</v>
      </c>
      <c r="J40" s="81">
        <f>'2011 Sulfide'!E344</f>
        <v>0.49169650701268086</v>
      </c>
      <c r="K40" s="81">
        <f>'2011 Sulfide'!F344</f>
        <v>2.8284488885949435E-2</v>
      </c>
      <c r="L40" s="33">
        <f>'2011 Sulfide'!G344</f>
        <v>4.7099388938608377E-2</v>
      </c>
      <c r="M40" s="55">
        <f>1000*I40*J40/100</f>
        <v>587.3211520000001</v>
      </c>
      <c r="N40" s="55">
        <f>1000*I40*K40/100</f>
        <v>33.785227999999996</v>
      </c>
      <c r="O40" s="55">
        <f>1000*I40*L40/100</f>
        <v>56.259231</v>
      </c>
      <c r="P40" s="83">
        <f>'2011 Sulfide'!A344</f>
        <v>3</v>
      </c>
      <c r="Q40" s="83"/>
      <c r="R40" s="71">
        <f t="shared" si="0"/>
        <v>587.3211520000001</v>
      </c>
      <c r="U40" s="71">
        <v>6.7290000000000001</v>
      </c>
      <c r="W40" s="71">
        <f t="shared" si="2"/>
        <v>594.05015200000014</v>
      </c>
      <c r="Y40" s="65">
        <f>R40/U40</f>
        <v>87.28208530242236</v>
      </c>
      <c r="AA40" s="67">
        <v>2.9</v>
      </c>
      <c r="AB40" s="76">
        <f t="shared" si="9"/>
        <v>202.52453517241383</v>
      </c>
    </row>
    <row r="41" spans="1:28" x14ac:dyDescent="0.25">
      <c r="A41" s="83" t="s">
        <v>574</v>
      </c>
      <c r="B41" s="55">
        <f>'2011 Laterite'!D286</f>
        <v>43</v>
      </c>
      <c r="C41" s="81">
        <f>'2011 Laterite'!E286</f>
        <v>1.04</v>
      </c>
      <c r="D41" s="33">
        <f>'2011 Laterite'!F286</f>
        <v>6.0000000000000005E-2</v>
      </c>
      <c r="E41" s="55">
        <f t="shared" ref="E41:E44" si="10">1000*B41*C41/100</f>
        <v>447.2</v>
      </c>
      <c r="F41" s="55">
        <f>1000*B41*D41/100</f>
        <v>25.8</v>
      </c>
      <c r="G41" s="83">
        <f>'2011 Laterite'!A286</f>
        <v>1</v>
      </c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1">
        <f t="shared" si="0"/>
        <v>447.2</v>
      </c>
      <c r="U41" s="71">
        <v>132.82400000000001</v>
      </c>
      <c r="W41" s="71">
        <f t="shared" si="2"/>
        <v>580.024</v>
      </c>
      <c r="Y41" s="65">
        <f>R41/U41</f>
        <v>3.3668614105884473</v>
      </c>
      <c r="AA41" s="67">
        <v>25.6</v>
      </c>
      <c r="AB41" s="76">
        <f t="shared" ref="AB41:AB42" si="11">R41/AA41</f>
        <v>17.46875</v>
      </c>
    </row>
    <row r="42" spans="1:28" x14ac:dyDescent="0.25">
      <c r="A42" s="83" t="s">
        <v>474</v>
      </c>
      <c r="B42" s="9">
        <f>'2011 Laterite'!D398</f>
        <v>20.5</v>
      </c>
      <c r="C42" s="65">
        <f>'2011 Laterite'!E398</f>
        <v>1.3851219512195121</v>
      </c>
      <c r="D42" s="64">
        <f>'2011 Laterite'!F398</f>
        <v>5.7170731707317068E-2</v>
      </c>
      <c r="E42" s="9">
        <f t="shared" si="10"/>
        <v>283.95</v>
      </c>
      <c r="F42" s="9">
        <f>1000*B42*D42/100</f>
        <v>11.72</v>
      </c>
      <c r="G42" s="67">
        <f>'2011 Laterite'!A398</f>
        <v>2</v>
      </c>
      <c r="R42" s="71">
        <f t="shared" si="0"/>
        <v>283.95</v>
      </c>
      <c r="U42" s="71">
        <v>24.14</v>
      </c>
      <c r="W42" s="71">
        <f t="shared" si="2"/>
        <v>308.08999999999997</v>
      </c>
      <c r="Y42" s="65">
        <f>R42/U42</f>
        <v>11.762634631317315</v>
      </c>
      <c r="AA42" s="67">
        <v>7.5</v>
      </c>
      <c r="AB42" s="76">
        <f t="shared" si="11"/>
        <v>37.86</v>
      </c>
    </row>
    <row r="43" spans="1:28" x14ac:dyDescent="0.25">
      <c r="A43" s="83" t="s">
        <v>459</v>
      </c>
      <c r="B43" s="9">
        <f>'2011 Laterite'!D386</f>
        <v>17</v>
      </c>
      <c r="C43" s="65">
        <f>'2011 Laterite'!E386</f>
        <v>1.3</v>
      </c>
      <c r="E43" s="9">
        <f t="shared" si="10"/>
        <v>221</v>
      </c>
      <c r="G43" s="67">
        <f>'2011 Laterite'!A386</f>
        <v>1</v>
      </c>
      <c r="R43" s="71">
        <f t="shared" si="0"/>
        <v>221</v>
      </c>
      <c r="U43" s="67">
        <v>0</v>
      </c>
      <c r="W43" s="71">
        <f t="shared" si="2"/>
        <v>221</v>
      </c>
    </row>
    <row r="44" spans="1:28" x14ac:dyDescent="0.25">
      <c r="A44" s="83" t="s">
        <v>210</v>
      </c>
      <c r="B44" s="9">
        <f>'2011 Laterite'!D280</f>
        <v>11.999999999999998</v>
      </c>
      <c r="C44" s="65">
        <f>'2011 Laterite'!E280</f>
        <v>1.3912500000000003</v>
      </c>
      <c r="D44" s="64">
        <f>'2011 Laterite'!F280</f>
        <v>4.0000000000000008E-2</v>
      </c>
      <c r="E44" s="9">
        <f t="shared" si="10"/>
        <v>166.95</v>
      </c>
      <c r="F44" s="9">
        <f>1000*B44*D44/100</f>
        <v>4.8</v>
      </c>
      <c r="G44" s="67">
        <f>'2011 Laterite'!A280</f>
        <v>1</v>
      </c>
      <c r="R44" s="71">
        <f t="shared" si="0"/>
        <v>166.95</v>
      </c>
      <c r="U44" s="71">
        <v>189.34317191327199</v>
      </c>
      <c r="W44" s="71">
        <f t="shared" si="2"/>
        <v>356.29317191327198</v>
      </c>
      <c r="Y44" s="65">
        <f>R44/U44</f>
        <v>0.88173235038267384</v>
      </c>
      <c r="AA44" s="67">
        <v>14.2</v>
      </c>
      <c r="AB44" s="76">
        <f t="shared" ref="AB44" si="12">R44/AA44</f>
        <v>11.757042253521126</v>
      </c>
    </row>
    <row r="45" spans="1:28" x14ac:dyDescent="0.25">
      <c r="A45" s="83" t="s">
        <v>184</v>
      </c>
      <c r="I45" s="9">
        <f>'2011 Sulfide'!D270</f>
        <v>21.75</v>
      </c>
      <c r="J45" s="65">
        <f>'2011 Sulfide'!E270</f>
        <v>0.75193563218390791</v>
      </c>
      <c r="K45" s="65">
        <f>'2011 Sulfide'!F270</f>
        <v>0.12948735632183908</v>
      </c>
      <c r="L45" s="64">
        <f>'2011 Sulfide'!G270</f>
        <v>5.2321839080459774E-3</v>
      </c>
      <c r="M45" s="9">
        <f>1000*I45*J45/100</f>
        <v>163.54599999999996</v>
      </c>
      <c r="N45" s="9">
        <f>1000*I45*K45/100</f>
        <v>28.163499999999999</v>
      </c>
      <c r="O45" s="9">
        <f>1000*I45*L45/100</f>
        <v>1.1380000000000001</v>
      </c>
      <c r="P45" s="67">
        <f>'2011 Sulfide'!A270</f>
        <v>1</v>
      </c>
      <c r="R45" s="71">
        <f t="shared" si="0"/>
        <v>163.54599999999996</v>
      </c>
      <c r="U45" s="67">
        <v>0</v>
      </c>
      <c r="W45" s="71">
        <f t="shared" si="2"/>
        <v>163.54599999999996</v>
      </c>
    </row>
    <row r="46" spans="1:28" x14ac:dyDescent="0.25">
      <c r="A46" s="83" t="s">
        <v>1124</v>
      </c>
      <c r="B46" s="9">
        <f>'2011 Laterite'!D443</f>
        <v>12.25</v>
      </c>
      <c r="C46" s="65">
        <f>'2011 Laterite'!E443</f>
        <v>0.83000000000000007</v>
      </c>
      <c r="D46" s="64">
        <f>'2011 Laterite'!F443</f>
        <v>4.4999999999999998E-2</v>
      </c>
      <c r="E46" s="9">
        <f>1000*B46*C46/100</f>
        <v>101.675</v>
      </c>
      <c r="F46" s="9">
        <f>1000*B46*D46/100</f>
        <v>5.5125000000000002</v>
      </c>
      <c r="G46" s="67">
        <f>'2011 Laterite'!A443</f>
        <v>1</v>
      </c>
      <c r="I46" s="9"/>
      <c r="J46" s="65"/>
      <c r="K46" s="65"/>
      <c r="L46" s="64"/>
      <c r="M46" s="9"/>
      <c r="N46" s="9"/>
      <c r="O46" s="9"/>
      <c r="R46" s="71">
        <f>M46+E46</f>
        <v>101.675</v>
      </c>
      <c r="W46" s="71">
        <f t="shared" si="2"/>
        <v>101.675</v>
      </c>
    </row>
    <row r="47" spans="1:28" x14ac:dyDescent="0.25">
      <c r="A47" s="67" t="s">
        <v>1069</v>
      </c>
      <c r="B47" s="9">
        <f>'2011 Laterite'!D432</f>
        <v>16.8</v>
      </c>
      <c r="C47" s="65">
        <f>'2011 Laterite'!E432</f>
        <v>0.6</v>
      </c>
      <c r="E47" s="9">
        <f t="shared" ref="E47" si="13">1000*B47*C47/100</f>
        <v>100.8</v>
      </c>
      <c r="G47" s="67">
        <f>'2011 Laterite'!A432</f>
        <v>1</v>
      </c>
      <c r="I47" s="9"/>
      <c r="J47" s="65"/>
      <c r="K47" s="65"/>
      <c r="L47" s="64"/>
      <c r="M47" s="9"/>
      <c r="N47" s="9"/>
      <c r="O47" s="9"/>
      <c r="R47" s="71">
        <f t="shared" si="0"/>
        <v>100.8</v>
      </c>
      <c r="W47" s="71">
        <f t="shared" si="2"/>
        <v>100.8</v>
      </c>
      <c r="Y47" s="65"/>
    </row>
    <row r="48" spans="1:28" x14ac:dyDescent="0.25">
      <c r="A48" s="67" t="s">
        <v>292</v>
      </c>
      <c r="I48" s="9">
        <f>'2011 Sulfide'!D387</f>
        <v>12.972000000000001</v>
      </c>
      <c r="J48" s="65">
        <f>'2011 Sulfide'!E387</f>
        <v>0.56179463459759471</v>
      </c>
      <c r="K48" s="65">
        <f>'2011 Sulfide'!F387</f>
        <v>0.45838729571384523</v>
      </c>
      <c r="M48" s="9">
        <f>1000*I48*J48/100</f>
        <v>72.875999999999991</v>
      </c>
      <c r="N48" s="9">
        <f>1000*I48*K48/100</f>
        <v>59.462000000000018</v>
      </c>
      <c r="P48" s="67">
        <f>'2011 Sulfide'!A387</f>
        <v>1</v>
      </c>
      <c r="R48" s="71">
        <f t="shared" si="0"/>
        <v>72.875999999999991</v>
      </c>
      <c r="U48" s="71">
        <v>41.017000000000003</v>
      </c>
      <c r="W48" s="71">
        <f t="shared" si="2"/>
        <v>113.893</v>
      </c>
      <c r="Y48" s="65">
        <f>R48/U48</f>
        <v>1.7767267230660455</v>
      </c>
    </row>
    <row r="49" spans="1:28" x14ac:dyDescent="0.25">
      <c r="A49" s="67" t="s">
        <v>547</v>
      </c>
      <c r="I49" s="9">
        <f>'2011 Sulfide'!D460</f>
        <v>13.773999999999999</v>
      </c>
      <c r="J49" s="65">
        <f>'2011 Sulfide'!E460</f>
        <v>0.43881661100624358</v>
      </c>
      <c r="K49" s="65">
        <f>'2011 Sulfide'!F460</f>
        <v>0.2541774357485117</v>
      </c>
      <c r="L49" s="64">
        <f>'2011 Sulfide'!G460</f>
        <v>2.930593872513431E-2</v>
      </c>
      <c r="M49" s="9">
        <f>1000*I49*J49/100</f>
        <v>60.442599999999992</v>
      </c>
      <c r="N49" s="9">
        <f>1000*I49*K49/100</f>
        <v>35.010400000000004</v>
      </c>
      <c r="O49" s="9">
        <f>1000*I49*L49/100</f>
        <v>4.0366</v>
      </c>
      <c r="P49" s="67">
        <f>'2011 Sulfide'!A460</f>
        <v>3</v>
      </c>
      <c r="R49" s="71">
        <f t="shared" si="0"/>
        <v>60.442599999999992</v>
      </c>
      <c r="U49" s="71">
        <v>70.023934047536997</v>
      </c>
      <c r="W49" s="71">
        <f t="shared" si="2"/>
        <v>130.46653404753698</v>
      </c>
      <c r="Y49" s="65">
        <f>R49/U49</f>
        <v>0.86317058334608066</v>
      </c>
      <c r="AA49" s="67">
        <v>0.3</v>
      </c>
      <c r="AB49" s="76">
        <f t="shared" ref="AB49" si="14">R49/AA49</f>
        <v>201.47533333333331</v>
      </c>
    </row>
    <row r="50" spans="1:28" x14ac:dyDescent="0.25">
      <c r="A50" s="67" t="s">
        <v>325</v>
      </c>
      <c r="B50" s="9">
        <f>'2011 Laterite'!D348</f>
        <v>8.5530000000000008</v>
      </c>
      <c r="C50" s="65">
        <f>'2011 Laterite'!E348</f>
        <v>0.35999999999999993</v>
      </c>
      <c r="D50" s="64">
        <f>'2011 Laterite'!F348</f>
        <v>2.9999999999999988E-2</v>
      </c>
      <c r="E50" s="9">
        <f>1000*B50*C50/100</f>
        <v>30.790799999999994</v>
      </c>
      <c r="F50" s="9">
        <f>1000*B50*D50/100</f>
        <v>2.5658999999999992</v>
      </c>
      <c r="G50" s="67">
        <f>'2011 Laterite'!A348</f>
        <v>1</v>
      </c>
      <c r="R50" s="71">
        <f t="shared" si="0"/>
        <v>30.790799999999994</v>
      </c>
      <c r="U50" s="67">
        <v>0</v>
      </c>
      <c r="W50" s="71">
        <f t="shared" si="2"/>
        <v>30.790799999999994</v>
      </c>
    </row>
    <row r="51" spans="1:28" x14ac:dyDescent="0.25">
      <c r="A51" s="67" t="s">
        <v>575</v>
      </c>
      <c r="I51" s="9">
        <f>'2011 Sulfide'!D481</f>
        <v>4.6028000000000002</v>
      </c>
      <c r="J51" s="65">
        <f>'2011 Sulfide'!E481</f>
        <v>0.41</v>
      </c>
      <c r="K51" s="65">
        <f>'2011 Sulfide'!F481</f>
        <v>0.40836360476231848</v>
      </c>
      <c r="L51" s="64">
        <f>'2011 Sulfide'!G481</f>
        <v>2.9999999999999995E-2</v>
      </c>
      <c r="M51" s="9">
        <f>1000*I51*J51/100</f>
        <v>18.871479999999998</v>
      </c>
      <c r="N51" s="9">
        <f>1000*I51*K51/100</f>
        <v>18.796159999999997</v>
      </c>
      <c r="O51" s="9">
        <f>1000*I51*L51/100</f>
        <v>1.3808399999999998</v>
      </c>
      <c r="P51" s="67">
        <f>'2011 Sulfide'!A481</f>
        <v>1</v>
      </c>
      <c r="R51" s="71">
        <f t="shared" si="0"/>
        <v>18.871479999999998</v>
      </c>
      <c r="U51" s="67">
        <v>0</v>
      </c>
      <c r="W51" s="71">
        <f t="shared" si="2"/>
        <v>18.871479999999998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88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69921875" defaultRowHeight="13.8" x14ac:dyDescent="0.25"/>
  <cols>
    <col min="1" max="1" width="6.69921875" style="3" customWidth="1"/>
    <col min="2" max="2" width="24.69921875" style="3" customWidth="1"/>
    <col min="3" max="3" width="12.69921875" style="3" customWidth="1"/>
    <col min="4" max="4" width="10.69921875" style="3" customWidth="1"/>
    <col min="5" max="13" width="6.69921875" style="3" customWidth="1"/>
    <col min="14" max="14" width="10.69921875" style="3" customWidth="1"/>
    <col min="15" max="18" width="8.69921875" style="3" customWidth="1"/>
    <col min="19" max="19" width="7.69921875" style="3" customWidth="1"/>
    <col min="20" max="21" width="22.69921875" style="3" customWidth="1"/>
    <col min="22" max="22" width="32.69921875" style="4" customWidth="1"/>
    <col min="23" max="23" width="30.69921875" style="4" customWidth="1"/>
    <col min="24" max="24" width="30.69921875" style="52" customWidth="1"/>
    <col min="25" max="25" width="34.09765625" style="48" bestFit="1" customWidth="1"/>
    <col min="26" max="26" width="41.5" style="3" bestFit="1" customWidth="1"/>
    <col min="27" max="27" width="20.59765625" style="3" bestFit="1" customWidth="1"/>
    <col min="28" max="16384" width="9.69921875" style="3"/>
  </cols>
  <sheetData>
    <row r="1" spans="1:26" x14ac:dyDescent="0.25">
      <c r="B1" s="1" t="s">
        <v>572</v>
      </c>
      <c r="C1" s="1" t="s">
        <v>573</v>
      </c>
      <c r="D1" s="2" t="s">
        <v>0</v>
      </c>
      <c r="E1" s="2" t="s">
        <v>10</v>
      </c>
      <c r="F1" s="2" t="s">
        <v>2</v>
      </c>
      <c r="G1" s="2" t="s">
        <v>9</v>
      </c>
      <c r="H1" s="2" t="s">
        <v>1</v>
      </c>
      <c r="I1" s="2" t="s">
        <v>3</v>
      </c>
      <c r="J1" s="2" t="s">
        <v>162</v>
      </c>
      <c r="K1" s="2" t="s">
        <v>163</v>
      </c>
      <c r="L1" s="2" t="s">
        <v>653</v>
      </c>
      <c r="M1" s="2" t="s">
        <v>640</v>
      </c>
      <c r="N1" s="2" t="s">
        <v>11</v>
      </c>
      <c r="O1" s="2" t="s">
        <v>4</v>
      </c>
      <c r="P1" s="2" t="s">
        <v>12</v>
      </c>
      <c r="Q1" s="2" t="s">
        <v>857</v>
      </c>
      <c r="R1" s="2" t="s">
        <v>164</v>
      </c>
      <c r="S1" s="2" t="s">
        <v>165</v>
      </c>
      <c r="T1" s="2" t="s">
        <v>44</v>
      </c>
      <c r="U1" s="2" t="s">
        <v>639</v>
      </c>
      <c r="V1" s="8" t="s">
        <v>5</v>
      </c>
      <c r="W1" s="15" t="s">
        <v>64</v>
      </c>
      <c r="X1" s="15" t="s">
        <v>577</v>
      </c>
      <c r="Y1" s="15" t="s">
        <v>586</v>
      </c>
    </row>
    <row r="2" spans="1:26" x14ac:dyDescent="0.25">
      <c r="B2" s="21" t="s">
        <v>133</v>
      </c>
      <c r="C2" s="18">
        <f>A5+A64+A82+A94+A143+A181+A188+A246+A252+A258+A264+A270+A275+A281+A287+A292+A306+A312+A318+A326+A332+A338+A344+A351+A357+A362+A368+A373+A387+A392+A398+A408+A414+A420+A426+A431+A436+A442+A448+A454+A460+A467+A481+A486</f>
        <v>253</v>
      </c>
      <c r="D2" s="19">
        <f>D5+D64+D82+D94+D143+D181+D188+D246+D252+D258+D264+D270+D275+D281+D287+D292+D306+D312+D318+D326+D332+D338+D344+D351+D357+D362+D368+D373+D387+D392+D398+D403+D408+D414+D420+D426+D431+D436+D442+D448+D454+D460+D467+D481+D486</f>
        <v>45834.37084730919</v>
      </c>
      <c r="E2" s="40">
        <f>N2/$D2/10</f>
        <v>0.25753102045567289</v>
      </c>
      <c r="F2" s="40">
        <f>O2/$D2/10</f>
        <v>0.18416332955369444</v>
      </c>
      <c r="G2" s="41">
        <f>P2/$D2/10</f>
        <v>5.8845672400526577E-3</v>
      </c>
      <c r="N2" s="19">
        <f>N5+N64+N82+N94+N143+N181+N188+N246+N252+N258+N264+N270+N275+N281+N287+N292+N306+N312+N318+N326+N332+N338+N344+N351+N357+N362+N368+N373+N387+N392+N398+N403+N408+N414+N420+N426+N431+N436+N442+N448+N454+N460+N467+N481+N486</f>
        <v>118037.72296251281</v>
      </c>
      <c r="O2" s="19">
        <f>O5+O64+O82+O94+O143+O181+O188+O246+O252+O258+O264+O270+O275+O281+O287+O292+O306+O312+O318+O326+O332+O338+O344+O351+O357+O362+O368+O373+O387+O392+O398+O403+O408+O414+O420+O426+O431+O436+O442+O448+O454+O460+O467+O481+O486</f>
        <v>84410.103432392469</v>
      </c>
      <c r="P2" s="19">
        <f>P5+P64+P82+P94+P143+P181+P188+P246+P252+P258+P264+P270+P275+P281+P287+P292+P306+P312+P318+P326+P332+P338+P344+P351+P357+P362+P368+P373+P387+P392+P398+P403+P408+P414+P420+P426+P431+P436+P442+P448+P454+P460+P467+P481+P486</f>
        <v>2697.1543715650023</v>
      </c>
      <c r="V2" s="3"/>
      <c r="W2" s="3"/>
      <c r="X2" s="48"/>
    </row>
    <row r="4" spans="1:26" x14ac:dyDescent="0.25">
      <c r="A4" s="26" t="s">
        <v>320</v>
      </c>
      <c r="B4" s="26" t="s">
        <v>320</v>
      </c>
      <c r="C4" s="26" t="s">
        <v>320</v>
      </c>
      <c r="D4" s="26" t="s">
        <v>320</v>
      </c>
      <c r="E4" s="26" t="s">
        <v>320</v>
      </c>
      <c r="F4" s="26" t="s">
        <v>320</v>
      </c>
      <c r="G4" s="26" t="s">
        <v>320</v>
      </c>
      <c r="H4" s="26" t="s">
        <v>320</v>
      </c>
      <c r="I4" s="26" t="s">
        <v>320</v>
      </c>
      <c r="J4" s="26" t="s">
        <v>320</v>
      </c>
      <c r="K4" s="26" t="s">
        <v>320</v>
      </c>
      <c r="L4" s="26" t="s">
        <v>320</v>
      </c>
      <c r="M4" s="26" t="s">
        <v>320</v>
      </c>
      <c r="N4" s="26" t="s">
        <v>320</v>
      </c>
      <c r="O4" s="26" t="s">
        <v>320</v>
      </c>
      <c r="P4" s="26" t="s">
        <v>320</v>
      </c>
      <c r="Q4" s="26" t="s">
        <v>320</v>
      </c>
      <c r="R4" s="26" t="s">
        <v>320</v>
      </c>
      <c r="S4" s="26" t="s">
        <v>320</v>
      </c>
      <c r="T4" s="26" t="s">
        <v>320</v>
      </c>
      <c r="U4" s="26" t="s">
        <v>320</v>
      </c>
      <c r="V4" s="26" t="s">
        <v>320</v>
      </c>
      <c r="W4" s="26" t="s">
        <v>320</v>
      </c>
      <c r="X4" s="51"/>
    </row>
    <row r="5" spans="1:26" x14ac:dyDescent="0.25">
      <c r="A5" s="39">
        <f>COUNT(D7:D61)</f>
        <v>55</v>
      </c>
      <c r="B5" s="49" t="s">
        <v>45</v>
      </c>
      <c r="C5" s="49" t="s">
        <v>45</v>
      </c>
      <c r="D5" s="9">
        <f>SUM(D7:D61)</f>
        <v>2033.8510954285712</v>
      </c>
      <c r="E5" s="20">
        <f>N5/$D5/10</f>
        <v>0.58404117646827125</v>
      </c>
      <c r="F5" s="20">
        <f>O5/$D5/10</f>
        <v>0.10448379327161184</v>
      </c>
      <c r="G5" s="28">
        <f>P5/$D5/10</f>
        <v>6.2677867758621757E-3</v>
      </c>
      <c r="N5" s="9">
        <f>SUM(N7:N61)</f>
        <v>11878.527865353848</v>
      </c>
      <c r="O5" s="9">
        <f>SUM(O7:O61)</f>
        <v>2125.0447740000009</v>
      </c>
      <c r="P5" s="9">
        <f>SUM(P7:P61)</f>
        <v>127.47745</v>
      </c>
    </row>
    <row r="6" spans="1:26" x14ac:dyDescent="0.25">
      <c r="A6" s="1" t="s">
        <v>150</v>
      </c>
      <c r="B6" s="1" t="s">
        <v>134</v>
      </c>
      <c r="C6" s="1" t="s">
        <v>141</v>
      </c>
      <c r="D6" s="2" t="s">
        <v>0</v>
      </c>
      <c r="E6" s="2" t="s">
        <v>10</v>
      </c>
      <c r="F6" s="2" t="s">
        <v>2</v>
      </c>
      <c r="G6" s="2" t="s">
        <v>9</v>
      </c>
      <c r="H6" s="2" t="s">
        <v>1</v>
      </c>
      <c r="I6" s="2" t="s">
        <v>3</v>
      </c>
      <c r="J6" s="2" t="s">
        <v>162</v>
      </c>
      <c r="K6" s="2" t="s">
        <v>163</v>
      </c>
      <c r="L6" s="2" t="s">
        <v>653</v>
      </c>
      <c r="M6" s="2" t="s">
        <v>640</v>
      </c>
      <c r="N6" s="2" t="s">
        <v>11</v>
      </c>
      <c r="O6" s="2" t="s">
        <v>4</v>
      </c>
      <c r="P6" s="2" t="s">
        <v>12</v>
      </c>
      <c r="Q6" s="2" t="s">
        <v>857</v>
      </c>
      <c r="R6" s="2" t="s">
        <v>164</v>
      </c>
      <c r="S6" s="2" t="s">
        <v>165</v>
      </c>
      <c r="T6" s="2" t="s">
        <v>44</v>
      </c>
      <c r="U6" s="2" t="s">
        <v>639</v>
      </c>
      <c r="V6" s="8" t="s">
        <v>5</v>
      </c>
      <c r="W6" s="15" t="s">
        <v>64</v>
      </c>
      <c r="X6" s="15" t="s">
        <v>577</v>
      </c>
      <c r="Y6" s="15" t="s">
        <v>586</v>
      </c>
    </row>
    <row r="7" spans="1:26" x14ac:dyDescent="0.25">
      <c r="A7" s="3" t="s">
        <v>138</v>
      </c>
      <c r="B7" s="3" t="s">
        <v>15</v>
      </c>
      <c r="C7" s="3" t="s">
        <v>145</v>
      </c>
      <c r="D7" s="3">
        <f>98+165+179</f>
        <v>442</v>
      </c>
      <c r="E7" s="5">
        <f>(0.59*98+0.61*165+0.61*179)/D7</f>
        <v>0.60556561085972849</v>
      </c>
      <c r="N7" s="9">
        <f t="shared" ref="N7:N35" si="0">1000*D7*E7/100</f>
        <v>2676.6</v>
      </c>
      <c r="T7" s="50" t="s">
        <v>644</v>
      </c>
      <c r="U7" s="3" t="s">
        <v>649</v>
      </c>
      <c r="V7" s="4" t="s">
        <v>7</v>
      </c>
      <c r="X7" s="44" t="s">
        <v>623</v>
      </c>
      <c r="Y7" s="44" t="s">
        <v>986</v>
      </c>
      <c r="Z7" s="3" t="s">
        <v>592</v>
      </c>
    </row>
    <row r="8" spans="1:26" x14ac:dyDescent="0.25">
      <c r="A8" s="3" t="s">
        <v>138</v>
      </c>
      <c r="B8" s="3" t="s">
        <v>13</v>
      </c>
      <c r="C8" s="3" t="s">
        <v>142</v>
      </c>
      <c r="D8" s="3">
        <f>182+100+32+33</f>
        <v>347</v>
      </c>
      <c r="E8" s="5">
        <f>(0.55*182+0.48*100+0.48*32+0.53*33)/D8</f>
        <v>0.52146974063400586</v>
      </c>
      <c r="N8" s="9">
        <f t="shared" si="0"/>
        <v>1809.5000000000002</v>
      </c>
      <c r="T8" s="50" t="s">
        <v>644</v>
      </c>
      <c r="U8" s="3" t="s">
        <v>649</v>
      </c>
      <c r="V8" s="4" t="s">
        <v>7</v>
      </c>
      <c r="X8" s="44" t="s">
        <v>623</v>
      </c>
      <c r="Y8" s="44" t="s">
        <v>986</v>
      </c>
      <c r="Z8" s="3" t="s">
        <v>592</v>
      </c>
    </row>
    <row r="9" spans="1:26" x14ac:dyDescent="0.25">
      <c r="A9" s="3" t="s">
        <v>138</v>
      </c>
      <c r="B9" s="3" t="s">
        <v>8</v>
      </c>
      <c r="C9" s="3" t="s">
        <v>142</v>
      </c>
      <c r="D9" s="3">
        <f>3.7+1.8+1.4+67+106+13+6.6+3.7+1.4</f>
        <v>204.6</v>
      </c>
      <c r="E9" s="5">
        <f>(1.4*3.7+1.3*1.8+1.2*1.4+0.51*67+0.52*106+2.3*13+2.6*6.6+2.3*3.7+1*1.4)/D9</f>
        <v>0.75982404692082117</v>
      </c>
      <c r="N9" s="9">
        <f t="shared" si="0"/>
        <v>1554.6</v>
      </c>
      <c r="T9" s="3" t="s">
        <v>45</v>
      </c>
      <c r="U9" s="3" t="s">
        <v>649</v>
      </c>
      <c r="V9" s="4" t="s">
        <v>7</v>
      </c>
      <c r="X9" s="44" t="s">
        <v>623</v>
      </c>
      <c r="Y9" s="44" t="s">
        <v>986</v>
      </c>
    </row>
    <row r="10" spans="1:26" x14ac:dyDescent="0.25">
      <c r="A10" s="3" t="s">
        <v>138</v>
      </c>
      <c r="B10" s="3" t="s">
        <v>1011</v>
      </c>
      <c r="C10" s="3" t="s">
        <v>142</v>
      </c>
      <c r="D10" s="3">
        <f>28+34.5</f>
        <v>62.5</v>
      </c>
      <c r="E10" s="5">
        <f>(0.58*28+0.6*34.5)/D10</f>
        <v>0.59104000000000001</v>
      </c>
      <c r="N10" s="9">
        <f t="shared" si="0"/>
        <v>369.4</v>
      </c>
      <c r="T10" s="50" t="s">
        <v>645</v>
      </c>
      <c r="U10" s="3" t="s">
        <v>1012</v>
      </c>
      <c r="V10" s="4" t="s">
        <v>7</v>
      </c>
      <c r="X10" s="44" t="s">
        <v>623</v>
      </c>
      <c r="Y10" s="44" t="s">
        <v>986</v>
      </c>
    </row>
    <row r="11" spans="1:26" x14ac:dyDescent="0.25">
      <c r="A11" s="3" t="s">
        <v>138</v>
      </c>
      <c r="B11" s="3" t="s">
        <v>34</v>
      </c>
      <c r="C11" s="3" t="s">
        <v>145</v>
      </c>
      <c r="D11" s="3">
        <f>173.3+11.9</f>
        <v>185.20000000000002</v>
      </c>
      <c r="E11" s="5">
        <f>(0.68*173.3+0.75*11.9)/D11</f>
        <v>0.68449784017278625</v>
      </c>
      <c r="N11" s="9">
        <f t="shared" si="0"/>
        <v>1267.6900000000003</v>
      </c>
      <c r="O11" s="7"/>
      <c r="T11" s="50" t="s">
        <v>644</v>
      </c>
      <c r="U11" s="3" t="s">
        <v>648</v>
      </c>
      <c r="V11" s="4" t="s">
        <v>372</v>
      </c>
      <c r="X11" s="44" t="s">
        <v>623</v>
      </c>
      <c r="Y11" s="44" t="s">
        <v>986</v>
      </c>
      <c r="Z11" s="3" t="s">
        <v>592</v>
      </c>
    </row>
    <row r="12" spans="1:26" x14ac:dyDescent="0.25">
      <c r="A12" s="3" t="s">
        <v>138</v>
      </c>
      <c r="B12" s="3" t="s">
        <v>33</v>
      </c>
      <c r="C12" s="3" t="s">
        <v>145</v>
      </c>
      <c r="D12" s="3">
        <v>392</v>
      </c>
      <c r="E12" s="3">
        <v>0.3</v>
      </c>
      <c r="F12" s="3">
        <v>0.3</v>
      </c>
      <c r="L12" s="3">
        <v>0.18</v>
      </c>
      <c r="N12" s="9">
        <f t="shared" si="0"/>
        <v>1176</v>
      </c>
      <c r="O12" s="9">
        <f>1000*D12*F12/100</f>
        <v>1176</v>
      </c>
      <c r="T12" s="50" t="s">
        <v>644</v>
      </c>
      <c r="U12" s="3" t="s">
        <v>670</v>
      </c>
      <c r="V12" s="4" t="s">
        <v>7</v>
      </c>
      <c r="X12" s="44" t="s">
        <v>623</v>
      </c>
      <c r="Y12" s="44" t="s">
        <v>589</v>
      </c>
      <c r="Z12" s="3" t="s">
        <v>611</v>
      </c>
    </row>
    <row r="13" spans="1:26" x14ac:dyDescent="0.25">
      <c r="A13" s="3" t="s">
        <v>138</v>
      </c>
      <c r="B13" s="3" t="s">
        <v>664</v>
      </c>
      <c r="C13" s="3" t="s">
        <v>142</v>
      </c>
      <c r="D13" s="3">
        <f>13.6+33.8+12.7</f>
        <v>60.099999999999994</v>
      </c>
      <c r="E13" s="5">
        <f>(0.79*13.6+0.91*33.8+0.6*12.7)/D13</f>
        <v>0.81733777038269551</v>
      </c>
      <c r="N13" s="9">
        <f t="shared" si="0"/>
        <v>491.21999999999991</v>
      </c>
      <c r="T13" s="50" t="s">
        <v>663</v>
      </c>
      <c r="U13" s="3" t="s">
        <v>649</v>
      </c>
      <c r="V13" s="4" t="s">
        <v>39</v>
      </c>
      <c r="W13" s="4" t="s">
        <v>665</v>
      </c>
      <c r="X13" s="44" t="s">
        <v>623</v>
      </c>
      <c r="Y13" s="44" t="s">
        <v>986</v>
      </c>
    </row>
    <row r="14" spans="1:26" x14ac:dyDescent="0.25">
      <c r="A14" s="3" t="s">
        <v>138</v>
      </c>
      <c r="B14" s="3" t="s">
        <v>666</v>
      </c>
      <c r="C14" s="3" t="s">
        <v>142</v>
      </c>
      <c r="D14" s="3">
        <f>0.55+0.49+0.3</f>
        <v>1.34</v>
      </c>
      <c r="E14" s="5">
        <f>(2.87*0.55+2.56*0.49+2.2*0.3)/D14</f>
        <v>2.6066417910447766</v>
      </c>
      <c r="N14" s="9">
        <f t="shared" si="0"/>
        <v>34.929000000000002</v>
      </c>
      <c r="T14" s="50" t="s">
        <v>663</v>
      </c>
      <c r="U14" s="3" t="s">
        <v>649</v>
      </c>
      <c r="V14" s="4" t="s">
        <v>39</v>
      </c>
      <c r="X14" s="44" t="s">
        <v>623</v>
      </c>
      <c r="Y14" s="44" t="s">
        <v>986</v>
      </c>
    </row>
    <row r="15" spans="1:26" x14ac:dyDescent="0.25">
      <c r="A15" s="3" t="s">
        <v>140</v>
      </c>
      <c r="B15" s="3" t="s">
        <v>57</v>
      </c>
      <c r="C15" s="3" t="s">
        <v>144</v>
      </c>
      <c r="D15" s="3">
        <f>3.8+4.9+20.7</f>
        <v>29.4</v>
      </c>
      <c r="E15" s="5">
        <f>(1.1*3.8+0.9*4.9+0.8*20.7)/D15</f>
        <v>0.85544217687074831</v>
      </c>
      <c r="N15" s="9">
        <f t="shared" si="0"/>
        <v>251.5</v>
      </c>
      <c r="T15" s="3" t="s">
        <v>45</v>
      </c>
      <c r="U15" s="3" t="s">
        <v>649</v>
      </c>
      <c r="V15" s="4" t="s">
        <v>18</v>
      </c>
      <c r="X15" s="44" t="s">
        <v>579</v>
      </c>
      <c r="Y15" s="44" t="s">
        <v>590</v>
      </c>
    </row>
    <row r="16" spans="1:26" x14ac:dyDescent="0.25">
      <c r="A16" s="3" t="s">
        <v>138</v>
      </c>
      <c r="B16" s="3" t="s">
        <v>676</v>
      </c>
      <c r="C16" s="3" t="s">
        <v>142</v>
      </c>
      <c r="D16" s="11">
        <f>0.125+0.417+0.065+0.031+0.138+0.067+0.121+0.175+0.263+0.545+0.123+0.016+((0.063+0.041)/0.7)+0.045+0.114+0.079+0.264+0.079+0.251+0.127+0.029+0.096+0.557</f>
        <v>3.8755714285714284</v>
      </c>
      <c r="E16" s="5">
        <f>(3.6*0.125+4.8*0.417+3.5*0.065+5.1*0.031+2.9*0.138+2.9*0.067+4.8*0.121+4.2*0.175+3.1*0.263+3*0.545+2.6*0.123+6.6*0.016+((4.1*0.063+2.3*0.041)/(0.063+0.041))+3.3*0.045+4.7*0.114+2.3*0.079+2.9*0.264+6.2*0.079+5.2*0.251+5*0.127+3.4*0.029+3.3*0.096+3.1*0.557)/D16</f>
        <v>4.4425151058900925</v>
      </c>
      <c r="N16" s="9">
        <f t="shared" si="0"/>
        <v>172.17284615384614</v>
      </c>
      <c r="T16" s="3" t="s">
        <v>45</v>
      </c>
      <c r="U16" s="3" t="s">
        <v>649</v>
      </c>
      <c r="V16" s="4" t="s">
        <v>22</v>
      </c>
      <c r="W16" s="56" t="s">
        <v>675</v>
      </c>
      <c r="X16" s="44" t="s">
        <v>623</v>
      </c>
      <c r="Y16" s="44" t="s">
        <v>986</v>
      </c>
      <c r="Z16" s="3" t="s">
        <v>593</v>
      </c>
    </row>
    <row r="17" spans="1:27" x14ac:dyDescent="0.25">
      <c r="A17" s="3" t="s">
        <v>138</v>
      </c>
      <c r="B17" s="3" t="s">
        <v>88</v>
      </c>
      <c r="C17" s="3" t="s">
        <v>145</v>
      </c>
      <c r="D17" s="10">
        <f>5.5+44.5</f>
        <v>50</v>
      </c>
      <c r="E17" s="5">
        <f>(0.25*5.5+0.31*44.5)/D17</f>
        <v>0.3034</v>
      </c>
      <c r="F17" s="5">
        <f>(0.18*5.5+0.12*44.5)/D17</f>
        <v>0.12659999999999999</v>
      </c>
      <c r="G17" s="5">
        <f>(0.03*5.5+0.03*44.5)/D17</f>
        <v>0.03</v>
      </c>
      <c r="N17" s="9">
        <f t="shared" si="0"/>
        <v>151.69999999999999</v>
      </c>
      <c r="O17" s="9">
        <f>1000*D17*F17/100</f>
        <v>63.29999999999999</v>
      </c>
      <c r="P17" s="9">
        <f>1000*D17*G17/100</f>
        <v>15</v>
      </c>
      <c r="T17" s="3" t="s">
        <v>45</v>
      </c>
      <c r="U17" s="3" t="s">
        <v>649</v>
      </c>
      <c r="V17" s="4" t="s">
        <v>89</v>
      </c>
      <c r="X17" s="44" t="s">
        <v>623</v>
      </c>
      <c r="Y17" s="44" t="s">
        <v>580</v>
      </c>
    </row>
    <row r="18" spans="1:27" x14ac:dyDescent="0.25">
      <c r="A18" s="3" t="s">
        <v>138</v>
      </c>
      <c r="B18" s="3" t="s">
        <v>677</v>
      </c>
      <c r="C18" s="3" t="s">
        <v>142</v>
      </c>
      <c r="D18" s="11">
        <f>2.018+0.611+1.277+0.386+0.054+0.652+0.081+0.166+0.015+0.291+0.004+0.064+0.011+0.071+0.007+0.992+0.024+0.055+0.014</f>
        <v>6.7930000000000001</v>
      </c>
      <c r="E18" s="5">
        <f>(1.42*2.018+0.79*0.611+2.84*1.277+2.64*0.386+2.36*0.054+1.63*0.652+2.68*0.081+4.1*0.166+1.67*0.015+1.42*0.291+4.35*0.004+5.85*0.064+5.24*0.011+3.1*0.071+2.48*0.007+1.49*0.992+4.75*0.024+4.72*0.055+4.4*0.014)/D18</f>
        <v>1.9314441336670101</v>
      </c>
      <c r="N18" s="9">
        <f t="shared" si="0"/>
        <v>131.203</v>
      </c>
      <c r="O18" s="16">
        <f>1000*D18*F18/100</f>
        <v>0</v>
      </c>
      <c r="T18" s="3" t="s">
        <v>45</v>
      </c>
      <c r="U18" s="3" t="s">
        <v>649</v>
      </c>
      <c r="V18" s="4" t="s">
        <v>20</v>
      </c>
      <c r="W18" s="56" t="s">
        <v>678</v>
      </c>
      <c r="X18" s="44" t="s">
        <v>623</v>
      </c>
      <c r="Y18" s="44" t="s">
        <v>986</v>
      </c>
    </row>
    <row r="19" spans="1:27" x14ac:dyDescent="0.25">
      <c r="A19" s="3" t="s">
        <v>138</v>
      </c>
      <c r="B19" s="3" t="s">
        <v>108</v>
      </c>
      <c r="C19" s="3" t="s">
        <v>142</v>
      </c>
      <c r="D19" s="11">
        <f>0.382+0.091+0.103+0.021+0.004+0.256+0.035+0.384+0.111+0.026+0.056+0.196+3.35+0.396+0.641+0.232+1.081+0.7636+0.58</f>
        <v>8.7086000000000006</v>
      </c>
      <c r="E19" s="5">
        <f>(1.4*0.382+1.7*0.091+1.1*0.103+1.6*0.021+1.4*0.004+1.94*0.256+2.14*0.035+1.92*0.384+1.72*0.111+1.76*0.026+2.26*0.056+1.29*0.196+1.35*3.35+1.54*0.396+1.46*0.641+2.17*0.232+1.83*1.081+1.89*0.7636+1.81*0.58)/$D19</f>
        <v>1.585762809177135</v>
      </c>
      <c r="F19" s="20">
        <f>(0.5*0.382+0.4*0.091+0.4*0.103+0.4*0.021+0.5*0.004+0.1*0.256+0*0.035+0*0.384+0*0.111+0*0.026+0*0.056+0*0.196+0*3.35+0*0.396+0.12*0.641+0*0.232+0*1.081+0*0.7636+0*0.58)/$D19</f>
        <v>4.3809567553912222E-2</v>
      </c>
      <c r="N19" s="9">
        <f t="shared" si="0"/>
        <v>138.09773999999999</v>
      </c>
      <c r="T19" s="3" t="s">
        <v>45</v>
      </c>
      <c r="U19" s="3" t="s">
        <v>680</v>
      </c>
      <c r="V19" s="4" t="s">
        <v>91</v>
      </c>
      <c r="W19" s="56" t="s">
        <v>681</v>
      </c>
      <c r="X19" s="44" t="s">
        <v>623</v>
      </c>
      <c r="Y19" s="44" t="s">
        <v>986</v>
      </c>
      <c r="Z19" s="3" t="s">
        <v>593</v>
      </c>
    </row>
    <row r="20" spans="1:27" x14ac:dyDescent="0.25">
      <c r="A20" s="3" t="s">
        <v>138</v>
      </c>
      <c r="B20" s="3" t="s">
        <v>14</v>
      </c>
      <c r="C20" s="3" t="s">
        <v>142</v>
      </c>
      <c r="D20" s="3">
        <f>0.8+1.4+4.5</f>
        <v>6.7</v>
      </c>
      <c r="E20" s="5">
        <f>(4.7*0.8+4.1*1.4+1.9*4.5)/D20</f>
        <v>2.6940298507462681</v>
      </c>
      <c r="N20" s="9">
        <f t="shared" si="0"/>
        <v>180.49999999999997</v>
      </c>
      <c r="T20" s="50" t="s">
        <v>679</v>
      </c>
      <c r="U20" s="3" t="s">
        <v>649</v>
      </c>
      <c r="V20" s="4" t="s">
        <v>7</v>
      </c>
      <c r="X20" s="44" t="s">
        <v>623</v>
      </c>
      <c r="Y20" s="44" t="s">
        <v>986</v>
      </c>
      <c r="Z20" s="3" t="s">
        <v>592</v>
      </c>
    </row>
    <row r="21" spans="1:27" x14ac:dyDescent="0.25">
      <c r="A21" s="3" t="s">
        <v>138</v>
      </c>
      <c r="B21" s="3" t="s">
        <v>48</v>
      </c>
      <c r="C21" s="3" t="s">
        <v>142</v>
      </c>
      <c r="D21" s="11">
        <f>1.4946+0.2313</f>
        <v>1.7259</v>
      </c>
      <c r="E21" s="5">
        <f>(5.9*1.4946+6.4*0.2313)/D21</f>
        <v>5.9670085172953247</v>
      </c>
      <c r="N21" s="9">
        <f t="shared" si="0"/>
        <v>102.98460000000001</v>
      </c>
      <c r="T21" s="3" t="s">
        <v>45</v>
      </c>
      <c r="U21" s="3" t="s">
        <v>649</v>
      </c>
      <c r="V21" s="4" t="s">
        <v>35</v>
      </c>
      <c r="X21" s="44" t="s">
        <v>623</v>
      </c>
      <c r="Y21" s="44" t="s">
        <v>986</v>
      </c>
    </row>
    <row r="22" spans="1:27" x14ac:dyDescent="0.25">
      <c r="A22" s="3" t="s">
        <v>138</v>
      </c>
      <c r="B22" s="3" t="s">
        <v>17</v>
      </c>
      <c r="C22" s="3" t="s">
        <v>142</v>
      </c>
      <c r="D22" s="3">
        <f>0.793+0.218</f>
        <v>1.0110000000000001</v>
      </c>
      <c r="E22" s="5">
        <f>(5*0.793+4.9*0.218)/D22</f>
        <v>4.9784371909000988</v>
      </c>
      <c r="N22" s="9">
        <f t="shared" si="0"/>
        <v>50.332000000000008</v>
      </c>
      <c r="T22" s="3" t="s">
        <v>45</v>
      </c>
      <c r="U22" s="3" t="s">
        <v>649</v>
      </c>
      <c r="V22" s="4" t="s">
        <v>16</v>
      </c>
      <c r="X22" s="44" t="s">
        <v>623</v>
      </c>
      <c r="Y22" s="44" t="s">
        <v>986</v>
      </c>
    </row>
    <row r="23" spans="1:27" x14ac:dyDescent="0.25">
      <c r="A23" s="3" t="s">
        <v>138</v>
      </c>
      <c r="B23" s="3" t="s">
        <v>67</v>
      </c>
      <c r="C23" s="3" t="s">
        <v>145</v>
      </c>
      <c r="D23" s="3">
        <f>4.054+6.498+2.379+5.506+2.947+4.04</f>
        <v>25.423999999999996</v>
      </c>
      <c r="E23" s="5">
        <f>(0.33*4.054+0.38*6.498+0.42*2.379+0.42*5.506+0.4*2.947+0.46*4.04)/D23</f>
        <v>0.39946349905601014</v>
      </c>
      <c r="F23" s="3">
        <v>0.09</v>
      </c>
      <c r="G23" s="3">
        <v>0.02</v>
      </c>
      <c r="N23" s="9">
        <f t="shared" si="0"/>
        <v>101.5596</v>
      </c>
      <c r="O23" s="9">
        <f>1000*D23*F23/100</f>
        <v>22.881599999999995</v>
      </c>
      <c r="P23" s="9">
        <f>1000*D23*G23/100</f>
        <v>5.0847999999999995</v>
      </c>
      <c r="T23" s="3" t="s">
        <v>45</v>
      </c>
      <c r="U23" s="3" t="s">
        <v>683</v>
      </c>
      <c r="V23" s="4" t="s">
        <v>93</v>
      </c>
      <c r="W23" s="4" t="s">
        <v>68</v>
      </c>
      <c r="X23" s="44" t="s">
        <v>579</v>
      </c>
      <c r="Y23" s="44" t="s">
        <v>579</v>
      </c>
      <c r="Z23" s="3" t="s">
        <v>612</v>
      </c>
      <c r="AA23" s="3" t="s">
        <v>594</v>
      </c>
    </row>
    <row r="24" spans="1:27" x14ac:dyDescent="0.25">
      <c r="A24" s="3" t="s">
        <v>138</v>
      </c>
      <c r="B24" s="3" t="s">
        <v>52</v>
      </c>
      <c r="C24" s="3" t="s">
        <v>142</v>
      </c>
      <c r="D24" s="11">
        <f>3+4.8+0.0549+0.1723+1.441+0.56</f>
        <v>10.028200000000002</v>
      </c>
      <c r="E24" s="5">
        <f>(1.5*3+0.7*4.8+3.7*0.0549+1.1*0.1723+0.7*1.441+0.9*0.56)/D24</f>
        <v>0.97378991244689928</v>
      </c>
      <c r="N24" s="9">
        <f t="shared" si="0"/>
        <v>97.653599999999969</v>
      </c>
      <c r="T24" s="3" t="s">
        <v>45</v>
      </c>
      <c r="U24" s="3" t="s">
        <v>649</v>
      </c>
      <c r="V24" s="4" t="s">
        <v>35</v>
      </c>
      <c r="X24" s="44" t="s">
        <v>623</v>
      </c>
      <c r="Y24" s="44" t="s">
        <v>986</v>
      </c>
    </row>
    <row r="25" spans="1:27" x14ac:dyDescent="0.25">
      <c r="A25" s="3" t="s">
        <v>138</v>
      </c>
      <c r="B25" s="3" t="s">
        <v>40</v>
      </c>
      <c r="C25" s="3" t="s">
        <v>144</v>
      </c>
      <c r="D25" s="3">
        <f>2.568+6.295+2.008</f>
        <v>10.870999999999999</v>
      </c>
      <c r="E25" s="5">
        <f>(1.35*2.568+1.83*6.295+2.14*2.008)/D25</f>
        <v>1.773872688805078</v>
      </c>
      <c r="N25" s="9">
        <f t="shared" si="0"/>
        <v>192.83770000000001</v>
      </c>
      <c r="O25" s="7"/>
      <c r="T25" s="50" t="s">
        <v>654</v>
      </c>
      <c r="U25" s="3" t="s">
        <v>648</v>
      </c>
      <c r="V25" s="4" t="s">
        <v>372</v>
      </c>
      <c r="X25" s="44" t="s">
        <v>623</v>
      </c>
      <c r="Y25" s="44" t="s">
        <v>986</v>
      </c>
      <c r="Z25" s="3" t="s">
        <v>592</v>
      </c>
    </row>
    <row r="26" spans="1:27" x14ac:dyDescent="0.25">
      <c r="A26" s="3" t="s">
        <v>138</v>
      </c>
      <c r="B26" s="3" t="s">
        <v>682</v>
      </c>
      <c r="C26" s="3" t="s">
        <v>142</v>
      </c>
      <c r="D26" s="3">
        <f>0.026+0.21+0.106+0.24+0.034+0.069+0.203+0.093+0.585</f>
        <v>1.5660000000000001</v>
      </c>
      <c r="E26" s="5">
        <f>(5.6*0.026+4.8*0.21+4.8*0.106+2.6*0.24+1.5*0.034+6.9*0.069+5.1*0.203+4.4*0.093+6.9*0.585)/D26</f>
        <v>5.2966155810983393</v>
      </c>
      <c r="N26" s="9">
        <f t="shared" si="0"/>
        <v>82.944999999999993</v>
      </c>
      <c r="T26" s="3" t="s">
        <v>45</v>
      </c>
      <c r="U26" s="3" t="s">
        <v>649</v>
      </c>
      <c r="V26" s="4" t="s">
        <v>23</v>
      </c>
      <c r="W26" s="4" t="s">
        <v>69</v>
      </c>
      <c r="X26" s="44" t="s">
        <v>623</v>
      </c>
      <c r="Y26" s="44" t="s">
        <v>986</v>
      </c>
      <c r="Z26" s="3" t="s">
        <v>593</v>
      </c>
    </row>
    <row r="27" spans="1:27" x14ac:dyDescent="0.25">
      <c r="A27" s="3" t="s">
        <v>138</v>
      </c>
      <c r="B27" s="3" t="s">
        <v>47</v>
      </c>
      <c r="C27" s="3" t="s">
        <v>142</v>
      </c>
      <c r="D27" s="11">
        <f>0.0704+0.0352+0.0454+0.0127+0.2343+0.9668+0.0245+0.1975+0.3578+0.0937</f>
        <v>2.0383</v>
      </c>
      <c r="E27" s="5">
        <f>(4*0.0704+4.9*0.0352+4.2*0.0454+4.8*0.0127+4.9*0.2343+6*0.9668+4.5*0.0245+0.9*0.1975+1*0.3578+4.8*0.0937)/D27</f>
        <v>4.2928666045233763</v>
      </c>
      <c r="N27" s="9">
        <f t="shared" si="0"/>
        <v>87.501499999999979</v>
      </c>
      <c r="T27" s="50" t="s">
        <v>663</v>
      </c>
      <c r="U27" s="3" t="s">
        <v>649</v>
      </c>
      <c r="V27" s="4" t="s">
        <v>35</v>
      </c>
      <c r="X27" s="44" t="s">
        <v>623</v>
      </c>
      <c r="Y27" s="44" t="s">
        <v>986</v>
      </c>
    </row>
    <row r="28" spans="1:27" x14ac:dyDescent="0.25">
      <c r="A28" s="3" t="s">
        <v>138</v>
      </c>
      <c r="B28" s="3" t="s">
        <v>70</v>
      </c>
      <c r="C28" s="3" t="s">
        <v>142</v>
      </c>
      <c r="D28" s="3">
        <f>1.483+3.782</f>
        <v>5.2650000000000006</v>
      </c>
      <c r="E28" s="5">
        <f>(1.57*1.483+1.52*3.782)/$D28</f>
        <v>1.5340835707502372</v>
      </c>
      <c r="F28" s="5">
        <f>(0.77*1.483+0.81*3.782)/$D28</f>
        <v>0.79873314339980994</v>
      </c>
      <c r="G28" s="5">
        <f>(0.08*1.483+0.08*3.782)/$D28</f>
        <v>0.08</v>
      </c>
      <c r="N28" s="9">
        <f t="shared" si="0"/>
        <v>80.769499999999994</v>
      </c>
      <c r="O28" s="9">
        <f>1000*D28*F28/100</f>
        <v>42.0533</v>
      </c>
      <c r="P28" s="9">
        <f>1000*D28*G28/100</f>
        <v>4.2120000000000006</v>
      </c>
      <c r="T28" s="3" t="s">
        <v>45</v>
      </c>
      <c r="U28" s="3" t="s">
        <v>649</v>
      </c>
      <c r="V28" s="4" t="s">
        <v>20</v>
      </c>
      <c r="W28" s="4" t="s">
        <v>71</v>
      </c>
      <c r="X28" s="44" t="s">
        <v>623</v>
      </c>
      <c r="Y28" s="44" t="s">
        <v>580</v>
      </c>
      <c r="Z28" s="3" t="s">
        <v>618</v>
      </c>
    </row>
    <row r="29" spans="1:27" x14ac:dyDescent="0.25">
      <c r="A29" s="3" t="s">
        <v>139</v>
      </c>
      <c r="B29" s="3" t="s">
        <v>153</v>
      </c>
      <c r="C29" s="3" t="s">
        <v>144</v>
      </c>
      <c r="D29" s="3">
        <f>12.2+10.1+17.7+30.5</f>
        <v>70.5</v>
      </c>
      <c r="E29" s="5">
        <f>(0.096*12.2+0.093*10.1+0.083*17.7+0.13*30.5)/$D29</f>
        <v>0.10701560283687944</v>
      </c>
      <c r="F29" s="5">
        <f>(0.54*12.2+0.34*10.1+0.55*17.7+1.29*30.5)/$D29</f>
        <v>0.83832624113475185</v>
      </c>
      <c r="G29" s="5">
        <f>(0.119*12.2+0.111*10.1+0.1*17.7+0.13*30.5)/$D29</f>
        <v>0.11784255319148937</v>
      </c>
      <c r="I29" s="10">
        <f>(10.5*12.2+13.8*10.1+13*17.7+11*30.5)/$D29</f>
        <v>11.816737588652483</v>
      </c>
      <c r="N29" s="9">
        <f t="shared" ref="N29" si="1">1000*D29*E29/100</f>
        <v>75.445999999999998</v>
      </c>
      <c r="O29" s="9">
        <f>1000*D29*F29/100</f>
        <v>591.0200000000001</v>
      </c>
      <c r="P29" s="9">
        <f>1000*D29*G29/100</f>
        <v>83.078999999999994</v>
      </c>
      <c r="T29" s="3" t="s">
        <v>45</v>
      </c>
      <c r="U29" s="3" t="s">
        <v>684</v>
      </c>
      <c r="V29" s="4" t="s">
        <v>685</v>
      </c>
      <c r="X29" s="44" t="s">
        <v>579</v>
      </c>
      <c r="Y29" s="44" t="s">
        <v>609</v>
      </c>
    </row>
    <row r="30" spans="1:27" x14ac:dyDescent="0.25">
      <c r="A30" s="3" t="s">
        <v>138</v>
      </c>
      <c r="B30" s="3" t="s">
        <v>53</v>
      </c>
      <c r="C30" s="3" t="s">
        <v>145</v>
      </c>
      <c r="D30" s="11">
        <f>0.91+2.955</f>
        <v>3.8650000000000002</v>
      </c>
      <c r="E30" s="5">
        <f>(1.24*0.91+1.72*2.955)/D30</f>
        <v>1.6069857697283312</v>
      </c>
      <c r="N30" s="9">
        <f t="shared" si="0"/>
        <v>62.11</v>
      </c>
      <c r="T30" s="3" t="s">
        <v>45</v>
      </c>
      <c r="U30" s="3" t="s">
        <v>649</v>
      </c>
      <c r="V30" s="4" t="s">
        <v>36</v>
      </c>
      <c r="X30" s="44" t="s">
        <v>623</v>
      </c>
      <c r="Y30" s="44" t="s">
        <v>986</v>
      </c>
      <c r="Z30" s="3" t="s">
        <v>593</v>
      </c>
    </row>
    <row r="31" spans="1:27" x14ac:dyDescent="0.25">
      <c r="A31" s="3" t="s">
        <v>138</v>
      </c>
      <c r="B31" s="3" t="s">
        <v>97</v>
      </c>
      <c r="C31" s="3" t="s">
        <v>145</v>
      </c>
      <c r="D31" s="3">
        <v>7.5</v>
      </c>
      <c r="E31" s="3">
        <v>0.8</v>
      </c>
      <c r="N31" s="9">
        <f t="shared" si="0"/>
        <v>60</v>
      </c>
      <c r="T31" s="3" t="s">
        <v>45</v>
      </c>
      <c r="U31" s="3" t="s">
        <v>670</v>
      </c>
      <c r="V31" s="25" t="s">
        <v>102</v>
      </c>
      <c r="X31" s="44" t="s">
        <v>623</v>
      </c>
      <c r="Y31" s="44" t="s">
        <v>987</v>
      </c>
    </row>
    <row r="32" spans="1:27" x14ac:dyDescent="0.25">
      <c r="A32" s="3" t="s">
        <v>138</v>
      </c>
      <c r="B32" s="3" t="s">
        <v>95</v>
      </c>
      <c r="C32" s="3" t="s">
        <v>145</v>
      </c>
      <c r="D32" s="3">
        <f>1.98+2.04+2.26+3.52+1.305+1.865+0.06+0.009</f>
        <v>13.039</v>
      </c>
      <c r="E32" s="5">
        <f>(0.61*1.98+0.42*2.04+0.59*2.26+0.51*3.52+0.47*1.305+0.43*1.865+0.99*0.06+1.05*0.009)/$D32</f>
        <v>0.51210598972313826</v>
      </c>
      <c r="F32" s="5">
        <f>(1.04*1.98+0.73*2.04+0.71*2.26+0.64*3.52+0.64*1.305+0.49*1.865+0.87*0.06+0.87*0.009)/$D32</f>
        <v>0.70671677275864708</v>
      </c>
      <c r="N32" s="9">
        <f t="shared" si="0"/>
        <v>66.773499999999999</v>
      </c>
      <c r="O32" s="9">
        <f>1000*D32*F32/100</f>
        <v>92.148799999999994</v>
      </c>
      <c r="T32" s="3" t="s">
        <v>45</v>
      </c>
      <c r="U32" s="3" t="s">
        <v>649</v>
      </c>
      <c r="V32" s="4" t="s">
        <v>94</v>
      </c>
      <c r="W32" s="4" t="s">
        <v>96</v>
      </c>
      <c r="X32" s="44" t="s">
        <v>623</v>
      </c>
      <c r="Y32" s="44" t="s">
        <v>988</v>
      </c>
      <c r="AA32" s="3" t="s">
        <v>591</v>
      </c>
    </row>
    <row r="33" spans="1:26" x14ac:dyDescent="0.25">
      <c r="A33" s="3" t="s">
        <v>138</v>
      </c>
      <c r="B33" s="3" t="s">
        <v>41</v>
      </c>
      <c r="C33" s="3" t="s">
        <v>144</v>
      </c>
      <c r="D33" s="3">
        <f>3.535+6.017+1.807</f>
        <v>11.359</v>
      </c>
      <c r="E33" s="5">
        <f>(0.68*3.535+0.81*6.017+1.26*1.807)/D33</f>
        <v>0.84112950083634141</v>
      </c>
      <c r="N33" s="9">
        <f t="shared" ref="N33" si="2">1000*D33*E33/100</f>
        <v>95.543900000000008</v>
      </c>
      <c r="O33" s="7"/>
      <c r="T33" s="50" t="s">
        <v>644</v>
      </c>
      <c r="U33" s="3" t="s">
        <v>648</v>
      </c>
      <c r="V33" s="4" t="s">
        <v>372</v>
      </c>
      <c r="X33" s="44" t="s">
        <v>623</v>
      </c>
      <c r="Y33" s="44" t="s">
        <v>986</v>
      </c>
      <c r="Z33" s="3" t="s">
        <v>592</v>
      </c>
    </row>
    <row r="34" spans="1:26" x14ac:dyDescent="0.25">
      <c r="A34" s="3" t="s">
        <v>138</v>
      </c>
      <c r="B34" s="3" t="s">
        <v>76</v>
      </c>
      <c r="C34" s="3" t="s">
        <v>145</v>
      </c>
      <c r="D34" s="3">
        <f>4.4+4.13+1.56+2.13+1.5+0.6</f>
        <v>14.320000000000002</v>
      </c>
      <c r="E34" s="5">
        <f>(0.28*4.4+0.31*4.13+0.36*1.56+0.18*2.13+0.19*1.5+0.19*0.6)/$D34</f>
        <v>0.26929469273743012</v>
      </c>
      <c r="F34" s="5">
        <f>(0.08*4.4+0.09*4.13+0.13*1.56+0.03*2.13+0.04*1.5+0.05*0.6)/$D34</f>
        <v>7.544692737430167E-2</v>
      </c>
      <c r="H34" s="5">
        <f>(0.42*4.4+0.38*4.13+0.38*1.56+0.1*2.13+0.1*1.5+0.01*0.6)/$D34</f>
        <v>0.30581005586592175</v>
      </c>
      <c r="J34" s="5">
        <f>(2.46*4.4+2.73*4.13+2.1*1.56+1.36*2.13+1.56*1.5+1.22*0.6)/$D34</f>
        <v>2.1888058659217875</v>
      </c>
      <c r="K34" s="5">
        <f>(2.83*4.4+3.21*4.13+2.35*1.56+1.09*2.13+1.28*1.5+1.07*0.6)/$D34</f>
        <v>2.3923882681564241</v>
      </c>
      <c r="L34" s="5">
        <f>(6.01*4.4+6.65*4.13+5.11*1.56+2.86*2.13+3.28*1.5+2.68*0.6)/$D34</f>
        <v>5.2025069832402231</v>
      </c>
      <c r="N34" s="9">
        <f t="shared" si="0"/>
        <v>38.562999999999995</v>
      </c>
      <c r="O34" s="9">
        <f>1000*D34*F34/100</f>
        <v>10.804</v>
      </c>
      <c r="Q34" s="10">
        <f>D34*J34</f>
        <v>31.343700000000002</v>
      </c>
      <c r="R34" s="10">
        <f>D34*K34</f>
        <v>34.259</v>
      </c>
      <c r="S34" s="10">
        <f>D34*H34</f>
        <v>4.3792</v>
      </c>
      <c r="T34" s="3" t="s">
        <v>45</v>
      </c>
      <c r="U34" s="3" t="s">
        <v>649</v>
      </c>
      <c r="V34" s="4" t="s">
        <v>78</v>
      </c>
      <c r="X34" s="44" t="s">
        <v>623</v>
      </c>
      <c r="Y34" s="44" t="s">
        <v>580</v>
      </c>
      <c r="Z34" s="3" t="s">
        <v>587</v>
      </c>
    </row>
    <row r="35" spans="1:26" x14ac:dyDescent="0.25">
      <c r="A35" s="3" t="s">
        <v>138</v>
      </c>
      <c r="B35" s="3" t="s">
        <v>50</v>
      </c>
      <c r="C35" s="3" t="s">
        <v>145</v>
      </c>
      <c r="D35" s="11">
        <f>0.3218+0.0931+1.0698+0.6592</f>
        <v>2.1439000000000004</v>
      </c>
      <c r="E35" s="5">
        <f>(3.7*0.3218+3.5*0.0931+0.9*1.0698+0.9*0.6592)/D35</f>
        <v>1.4331871822379774</v>
      </c>
      <c r="N35" s="9">
        <f t="shared" si="0"/>
        <v>30.726100000000006</v>
      </c>
      <c r="T35" s="50" t="s">
        <v>663</v>
      </c>
      <c r="U35" s="3" t="s">
        <v>649</v>
      </c>
      <c r="V35" s="4" t="s">
        <v>35</v>
      </c>
      <c r="X35" s="44" t="s">
        <v>623</v>
      </c>
      <c r="Y35" s="44" t="s">
        <v>986</v>
      </c>
      <c r="Z35" s="3" t="s">
        <v>592</v>
      </c>
    </row>
    <row r="36" spans="1:26" x14ac:dyDescent="0.25">
      <c r="A36" s="3" t="s">
        <v>138</v>
      </c>
      <c r="B36" s="3" t="s">
        <v>24</v>
      </c>
      <c r="C36" s="3" t="s">
        <v>142</v>
      </c>
      <c r="D36" s="3">
        <f>0.033+0.028+0.052+0.46+0.37+0.39</f>
        <v>1.333</v>
      </c>
      <c r="E36" s="5">
        <f>(4.2*0.033+4.1*0.028+3.5*0.052+1.12*0.46+1.15*0.37+3.78*0.39)/D36</f>
        <v>2.1382595648912228</v>
      </c>
      <c r="N36" s="9">
        <f t="shared" ref="N36:N61" si="3">1000*D36*E36/100</f>
        <v>28.503</v>
      </c>
      <c r="T36" s="3" t="s">
        <v>45</v>
      </c>
      <c r="U36" s="3" t="s">
        <v>649</v>
      </c>
      <c r="V36" s="4" t="s">
        <v>25</v>
      </c>
      <c r="W36" s="4" t="s">
        <v>72</v>
      </c>
      <c r="X36" s="44" t="s">
        <v>623</v>
      </c>
      <c r="Y36" s="44" t="s">
        <v>986</v>
      </c>
    </row>
    <row r="37" spans="1:26" x14ac:dyDescent="0.25">
      <c r="A37" s="3" t="s">
        <v>138</v>
      </c>
      <c r="B37" s="3" t="s">
        <v>56</v>
      </c>
      <c r="C37" s="3" t="s">
        <v>145</v>
      </c>
      <c r="D37" s="11">
        <f>0.75636+1.0925</f>
        <v>1.8488600000000002</v>
      </c>
      <c r="E37" s="5">
        <f>(1.62*0.75636+2.35*1.0925)/D37</f>
        <v>2.0513604058717263</v>
      </c>
      <c r="N37" s="9">
        <f t="shared" si="3"/>
        <v>37.926782000000003</v>
      </c>
      <c r="T37" s="3" t="s">
        <v>45</v>
      </c>
      <c r="U37" s="3" t="s">
        <v>649</v>
      </c>
      <c r="V37" s="4" t="s">
        <v>36</v>
      </c>
      <c r="X37" s="44" t="s">
        <v>623</v>
      </c>
      <c r="Y37" s="44" t="s">
        <v>986</v>
      </c>
    </row>
    <row r="38" spans="1:26" x14ac:dyDescent="0.25">
      <c r="A38" s="3" t="s">
        <v>138</v>
      </c>
      <c r="B38" s="3" t="s">
        <v>75</v>
      </c>
      <c r="C38" s="3" t="s">
        <v>145</v>
      </c>
      <c r="D38" s="3">
        <f>12.4+9.8+1.4</f>
        <v>23.6</v>
      </c>
      <c r="E38" s="5">
        <f>(0.07*12.4+0.11*9.8+0.09*1.4)/$D38</f>
        <v>8.7796610169491529E-2</v>
      </c>
      <c r="F38" s="5">
        <f>(0.09*12.4+0.22*9.8+0.15*1.4)/$D38</f>
        <v>0.14754237288135594</v>
      </c>
      <c r="H38" s="5">
        <f>(0.2*12.4+0.3*9.8+0.3*1.4)/$D38</f>
        <v>0.24745762711864405</v>
      </c>
      <c r="J38" s="10">
        <f>(1.1*12.4+1.1*9.8+1.1*1.4)/$D38</f>
        <v>1.0999999999999999</v>
      </c>
      <c r="K38" s="10">
        <f>(1.4*12.4+1.6*9.8+1.6*1.4)/$D38</f>
        <v>1.4949152542372881</v>
      </c>
      <c r="L38" s="10">
        <f>((1.1+1.4+0.1+0.2)*12.4+(1.1+1.6+0.1+0.3)*9.8+(1.1+1.6+0.1+0.3)*1.4)/$D38</f>
        <v>2.9423728813559324</v>
      </c>
      <c r="N38" s="9">
        <f t="shared" si="3"/>
        <v>20.72</v>
      </c>
      <c r="O38" s="9">
        <f>1000*D38*F38/100</f>
        <v>34.82</v>
      </c>
      <c r="Q38" s="10">
        <f>D38*J38</f>
        <v>25.959999999999997</v>
      </c>
      <c r="R38" s="10">
        <f>D38*K38</f>
        <v>35.28</v>
      </c>
      <c r="S38" s="10">
        <f>D38*H38</f>
        <v>5.84</v>
      </c>
      <c r="T38" s="3" t="s">
        <v>45</v>
      </c>
      <c r="U38" s="3" t="s">
        <v>649</v>
      </c>
      <c r="V38" s="4" t="s">
        <v>77</v>
      </c>
      <c r="X38" s="44" t="s">
        <v>623</v>
      </c>
      <c r="Y38" s="44" t="s">
        <v>580</v>
      </c>
      <c r="Z38" s="3" t="s">
        <v>585</v>
      </c>
    </row>
    <row r="39" spans="1:26" x14ac:dyDescent="0.25">
      <c r="A39" s="3" t="s">
        <v>139</v>
      </c>
      <c r="B39" s="3" t="s">
        <v>152</v>
      </c>
      <c r="C39" s="3" t="s">
        <v>145</v>
      </c>
      <c r="D39" s="3">
        <v>12.2</v>
      </c>
      <c r="E39" s="3">
        <v>0.14000000000000001</v>
      </c>
      <c r="F39" s="3">
        <v>0.49</v>
      </c>
      <c r="G39" s="3">
        <v>0.14000000000000001</v>
      </c>
      <c r="N39" s="9">
        <f t="shared" si="3"/>
        <v>17.080000000000002</v>
      </c>
      <c r="O39" s="9">
        <f>1000*D39*F39/100</f>
        <v>59.78</v>
      </c>
      <c r="P39" s="9">
        <f>1000*D39*G39/100</f>
        <v>17.080000000000002</v>
      </c>
      <c r="T39" s="3" t="s">
        <v>45</v>
      </c>
      <c r="U39" s="3" t="s">
        <v>684</v>
      </c>
      <c r="V39" s="4" t="s">
        <v>685</v>
      </c>
      <c r="X39" s="44" t="s">
        <v>579</v>
      </c>
      <c r="Y39" s="44" t="s">
        <v>609</v>
      </c>
    </row>
    <row r="40" spans="1:26" x14ac:dyDescent="0.25">
      <c r="A40" s="3" t="s">
        <v>138</v>
      </c>
      <c r="B40" s="3" t="s">
        <v>26</v>
      </c>
      <c r="C40" s="3" t="s">
        <v>144</v>
      </c>
      <c r="D40" s="11">
        <v>0.59130000000000005</v>
      </c>
      <c r="E40" s="5">
        <f>100*13250/591300</f>
        <v>2.2408253001860308</v>
      </c>
      <c r="N40" s="9">
        <f t="shared" si="3"/>
        <v>13.250000000000002</v>
      </c>
      <c r="T40" s="3" t="s">
        <v>45</v>
      </c>
      <c r="U40" s="3" t="s">
        <v>688</v>
      </c>
      <c r="V40" s="4" t="s">
        <v>27</v>
      </c>
      <c r="X40" s="44" t="s">
        <v>623</v>
      </c>
      <c r="Y40" s="44" t="s">
        <v>986</v>
      </c>
      <c r="Z40" s="3" t="s">
        <v>593</v>
      </c>
    </row>
    <row r="41" spans="1:26" x14ac:dyDescent="0.25">
      <c r="A41" s="3" t="s">
        <v>138</v>
      </c>
      <c r="B41" s="3" t="s">
        <v>42</v>
      </c>
      <c r="C41" s="3" t="s">
        <v>144</v>
      </c>
      <c r="D41" s="11">
        <f>0.011+0.681+0.388</f>
        <v>1.08</v>
      </c>
      <c r="E41" s="5">
        <f>(2.37*0.011+1.52*0.681+2.09*0.388)/D41</f>
        <v>1.7334351851851852</v>
      </c>
      <c r="N41" s="9">
        <f t="shared" si="3"/>
        <v>18.7211</v>
      </c>
      <c r="O41" s="7"/>
      <c r="T41" s="50" t="s">
        <v>654</v>
      </c>
      <c r="U41" s="3" t="s">
        <v>648</v>
      </c>
      <c r="V41" s="4" t="s">
        <v>372</v>
      </c>
      <c r="X41" s="44" t="s">
        <v>623</v>
      </c>
      <c r="Y41" s="44" t="s">
        <v>986</v>
      </c>
      <c r="Z41" s="3" t="s">
        <v>593</v>
      </c>
    </row>
    <row r="42" spans="1:26" x14ac:dyDescent="0.25">
      <c r="A42" s="3" t="s">
        <v>138</v>
      </c>
      <c r="B42" s="3" t="s">
        <v>54</v>
      </c>
      <c r="C42" s="3" t="s">
        <v>145</v>
      </c>
      <c r="D42" s="11">
        <f>0.820326+0.082404</f>
        <v>0.90273000000000003</v>
      </c>
      <c r="E42" s="5">
        <f>(1.15*0.820326+1.05*0.082404)/D42</f>
        <v>1.140871689209398</v>
      </c>
      <c r="N42" s="9">
        <f t="shared" si="3"/>
        <v>10.298990999999999</v>
      </c>
      <c r="T42" s="3" t="s">
        <v>45</v>
      </c>
      <c r="U42" s="3" t="s">
        <v>649</v>
      </c>
      <c r="V42" s="4" t="s">
        <v>36</v>
      </c>
      <c r="X42" s="44" t="s">
        <v>623</v>
      </c>
      <c r="Y42" s="44" t="s">
        <v>986</v>
      </c>
      <c r="Z42" s="3" t="s">
        <v>593</v>
      </c>
    </row>
    <row r="43" spans="1:26" x14ac:dyDescent="0.25">
      <c r="A43" s="3" t="s">
        <v>138</v>
      </c>
      <c r="B43" s="3" t="s">
        <v>21</v>
      </c>
      <c r="C43" s="3" t="s">
        <v>145</v>
      </c>
      <c r="D43" s="3">
        <f>0.233+0.24+0.014</f>
        <v>0.48699999999999999</v>
      </c>
      <c r="E43" s="5">
        <f>(1.08*0.233+1.38*0.24+1.01*0.014)/$D43</f>
        <v>1.2258316221765915</v>
      </c>
      <c r="F43" s="5">
        <f>(0.66*0.233+0.99*0.24+0.7*0.014)/$D43</f>
        <v>0.82377823408624229</v>
      </c>
      <c r="G43" s="5">
        <f>(0.04*0.233+0.05*0.24+0.03*0.014)/$D43</f>
        <v>4.4640657084188913E-2</v>
      </c>
      <c r="N43" s="9">
        <f t="shared" si="3"/>
        <v>5.9698000000000002</v>
      </c>
      <c r="O43" s="9">
        <f>1000*D43*F43/100</f>
        <v>4.0118</v>
      </c>
      <c r="P43" s="9">
        <f>1000*D43*G43/100</f>
        <v>0.21740000000000001</v>
      </c>
      <c r="T43" s="3" t="s">
        <v>45</v>
      </c>
      <c r="U43" s="3" t="s">
        <v>649</v>
      </c>
      <c r="V43" s="4" t="s">
        <v>99</v>
      </c>
      <c r="X43" s="44" t="s">
        <v>623</v>
      </c>
      <c r="Y43" s="44" t="s">
        <v>988</v>
      </c>
    </row>
    <row r="44" spans="1:26" x14ac:dyDescent="0.25">
      <c r="A44" s="3" t="s">
        <v>138</v>
      </c>
      <c r="B44" s="3" t="s">
        <v>49</v>
      </c>
      <c r="C44" s="3" t="s">
        <v>145</v>
      </c>
      <c r="D44" s="11">
        <f>0.1809+0.195</f>
        <v>0.37590000000000001</v>
      </c>
      <c r="E44" s="5">
        <f>(2.8*0.1809+2*0.195)/D44</f>
        <v>2.3849960095770149</v>
      </c>
      <c r="N44" s="9">
        <f t="shared" si="3"/>
        <v>8.9651999999999994</v>
      </c>
      <c r="T44" s="3" t="s">
        <v>45</v>
      </c>
      <c r="U44" s="3" t="s">
        <v>649</v>
      </c>
      <c r="V44" s="4" t="s">
        <v>35</v>
      </c>
      <c r="X44" s="44" t="s">
        <v>623</v>
      </c>
      <c r="Y44" s="44" t="s">
        <v>986</v>
      </c>
      <c r="Z44" s="3" t="s">
        <v>592</v>
      </c>
    </row>
    <row r="45" spans="1:26" x14ac:dyDescent="0.25">
      <c r="A45" s="3" t="s">
        <v>138</v>
      </c>
      <c r="B45" s="3" t="s">
        <v>107</v>
      </c>
      <c r="C45" s="3" t="s">
        <v>145</v>
      </c>
      <c r="D45" s="3">
        <v>0.6</v>
      </c>
      <c r="E45" s="3">
        <v>1.39</v>
      </c>
      <c r="F45" s="5">
        <v>0.3</v>
      </c>
      <c r="L45" s="3">
        <v>0.5</v>
      </c>
      <c r="N45" s="9">
        <f t="shared" si="3"/>
        <v>8.3399999999999981</v>
      </c>
      <c r="O45" s="9">
        <f>1000*D45*F45/100</f>
        <v>1.8</v>
      </c>
      <c r="T45" s="3" t="s">
        <v>45</v>
      </c>
      <c r="U45" s="3" t="s">
        <v>649</v>
      </c>
      <c r="V45" s="4" t="s">
        <v>106</v>
      </c>
      <c r="X45" s="44" t="s">
        <v>623</v>
      </c>
      <c r="Y45" s="44" t="s">
        <v>986</v>
      </c>
    </row>
    <row r="46" spans="1:26" x14ac:dyDescent="0.25">
      <c r="A46" s="3" t="s">
        <v>138</v>
      </c>
      <c r="B46" s="3" t="s">
        <v>109</v>
      </c>
      <c r="C46" s="3" t="s">
        <v>145</v>
      </c>
      <c r="D46" s="3">
        <v>1.0249999999999999</v>
      </c>
      <c r="E46" s="3">
        <v>0.8</v>
      </c>
      <c r="N46" s="9">
        <f t="shared" si="3"/>
        <v>8.1999999999999993</v>
      </c>
      <c r="T46" s="3" t="s">
        <v>45</v>
      </c>
      <c r="U46" s="3" t="s">
        <v>670</v>
      </c>
      <c r="V46" s="4" t="s">
        <v>110</v>
      </c>
      <c r="X46" s="44" t="s">
        <v>579</v>
      </c>
      <c r="Y46" s="44" t="s">
        <v>579</v>
      </c>
    </row>
    <row r="47" spans="1:26" x14ac:dyDescent="0.25">
      <c r="A47" s="3" t="s">
        <v>138</v>
      </c>
      <c r="B47" s="3" t="s">
        <v>51</v>
      </c>
      <c r="C47" s="3" t="s">
        <v>145</v>
      </c>
      <c r="D47" s="3">
        <v>0.48</v>
      </c>
      <c r="E47" s="3">
        <v>1.4</v>
      </c>
      <c r="N47" s="9">
        <f t="shared" si="3"/>
        <v>6.72</v>
      </c>
      <c r="T47" s="3" t="s">
        <v>45</v>
      </c>
      <c r="U47" s="3" t="s">
        <v>649</v>
      </c>
      <c r="V47" s="4" t="s">
        <v>35</v>
      </c>
      <c r="X47" s="44" t="s">
        <v>623</v>
      </c>
      <c r="Y47" s="44" t="s">
        <v>986</v>
      </c>
    </row>
    <row r="48" spans="1:26" x14ac:dyDescent="0.25">
      <c r="A48" s="3" t="s">
        <v>139</v>
      </c>
      <c r="B48" s="3" t="s">
        <v>317</v>
      </c>
      <c r="C48" s="3" t="s">
        <v>145</v>
      </c>
      <c r="D48" s="11">
        <f>1.6336+1.5302</f>
        <v>3.1638000000000002</v>
      </c>
      <c r="E48" s="11">
        <f>(0.151*1.6336+0.247*1.5302)/D48</f>
        <v>0.19743125355585053</v>
      </c>
      <c r="F48" s="11">
        <f>(0.512*1.6336+0.621*1.5302)/D48</f>
        <v>0.56471881914153865</v>
      </c>
      <c r="N48" s="9">
        <f t="shared" si="3"/>
        <v>6.2463299999999995</v>
      </c>
      <c r="O48" s="9">
        <f>1000*D48*F48/100</f>
        <v>17.866574</v>
      </c>
      <c r="T48" s="3" t="s">
        <v>45</v>
      </c>
      <c r="U48" s="3" t="s">
        <v>691</v>
      </c>
      <c r="V48" s="4" t="s">
        <v>690</v>
      </c>
      <c r="X48" s="44" t="s">
        <v>623</v>
      </c>
      <c r="Y48" s="44" t="s">
        <v>625</v>
      </c>
    </row>
    <row r="49" spans="1:26" x14ac:dyDescent="0.25">
      <c r="A49" s="3" t="s">
        <v>138</v>
      </c>
      <c r="B49" s="3" t="s">
        <v>55</v>
      </c>
      <c r="C49" s="3" t="s">
        <v>145</v>
      </c>
      <c r="D49" s="11">
        <f>0.266382+0.311312</f>
        <v>0.57769399999999993</v>
      </c>
      <c r="E49" s="5">
        <f>(1.38*0.266382+0.78*0.311312)/D49</f>
        <v>1.0566675783373205</v>
      </c>
      <c r="N49" s="9">
        <f t="shared" si="3"/>
        <v>6.1043051999999998</v>
      </c>
      <c r="T49" s="3" t="s">
        <v>45</v>
      </c>
      <c r="U49" s="3" t="s">
        <v>656</v>
      </c>
      <c r="V49" s="4" t="s">
        <v>36</v>
      </c>
      <c r="W49" s="4" t="s">
        <v>689</v>
      </c>
      <c r="X49" s="44" t="s">
        <v>623</v>
      </c>
      <c r="Y49" s="44" t="s">
        <v>986</v>
      </c>
    </row>
    <row r="50" spans="1:26" x14ac:dyDescent="0.25">
      <c r="A50" s="3" t="s">
        <v>138</v>
      </c>
      <c r="B50" s="3" t="s">
        <v>692</v>
      </c>
      <c r="C50" s="3" t="s">
        <v>142</v>
      </c>
      <c r="D50" s="11">
        <f>0.1356+0.086</f>
        <v>0.22159999999999999</v>
      </c>
      <c r="E50" s="5">
        <f>(3.7*0.1356+2*0.086)/D50</f>
        <v>3.040252707581228</v>
      </c>
      <c r="N50" s="9">
        <f t="shared" si="3"/>
        <v>6.7372000000000014</v>
      </c>
      <c r="T50" s="3" t="s">
        <v>45</v>
      </c>
      <c r="U50" s="3" t="s">
        <v>693</v>
      </c>
      <c r="V50" s="4" t="s">
        <v>106</v>
      </c>
      <c r="W50" s="56" t="s">
        <v>694</v>
      </c>
      <c r="X50" s="44" t="s">
        <v>623</v>
      </c>
      <c r="Y50" s="44" t="s">
        <v>986</v>
      </c>
      <c r="Z50" s="3" t="s">
        <v>592</v>
      </c>
    </row>
    <row r="51" spans="1:26" x14ac:dyDescent="0.25">
      <c r="A51" s="3" t="s">
        <v>138</v>
      </c>
      <c r="B51" s="3" t="s">
        <v>112</v>
      </c>
      <c r="C51" s="3" t="s">
        <v>145</v>
      </c>
      <c r="D51" s="3">
        <v>0.27700000000000002</v>
      </c>
      <c r="E51" s="3">
        <v>1.7</v>
      </c>
      <c r="F51" s="3">
        <v>0.06</v>
      </c>
      <c r="N51" s="9">
        <f t="shared" si="3"/>
        <v>4.7089999999999996</v>
      </c>
      <c r="O51" s="9">
        <f>1000*D51*F51/100</f>
        <v>0.16620000000000001</v>
      </c>
      <c r="T51" s="3" t="s">
        <v>45</v>
      </c>
      <c r="U51" s="3" t="s">
        <v>670</v>
      </c>
      <c r="V51" s="4" t="s">
        <v>111</v>
      </c>
      <c r="X51" s="44" t="s">
        <v>623</v>
      </c>
      <c r="Y51" s="44" t="s">
        <v>986</v>
      </c>
    </row>
    <row r="52" spans="1:26" x14ac:dyDescent="0.25">
      <c r="A52" s="3" t="s">
        <v>138</v>
      </c>
      <c r="B52" s="3" t="s">
        <v>113</v>
      </c>
      <c r="C52" s="3" t="s">
        <v>145</v>
      </c>
      <c r="D52" s="3">
        <v>0.47799999999999998</v>
      </c>
      <c r="E52" s="3">
        <v>0.9</v>
      </c>
      <c r="N52" s="9">
        <f t="shared" si="3"/>
        <v>4.3019999999999996</v>
      </c>
      <c r="T52" s="3" t="s">
        <v>45</v>
      </c>
      <c r="U52" s="3" t="s">
        <v>670</v>
      </c>
      <c r="V52" s="4" t="s">
        <v>114</v>
      </c>
      <c r="X52" s="44" t="s">
        <v>623</v>
      </c>
      <c r="Y52" s="44" t="s">
        <v>583</v>
      </c>
    </row>
    <row r="53" spans="1:26" x14ac:dyDescent="0.25">
      <c r="A53" s="3" t="s">
        <v>138</v>
      </c>
      <c r="B53" s="3" t="s">
        <v>117</v>
      </c>
      <c r="C53" s="3" t="s">
        <v>145</v>
      </c>
      <c r="D53" s="3">
        <v>0.156</v>
      </c>
      <c r="E53" s="3">
        <v>2.3199999999999998</v>
      </c>
      <c r="N53" s="9">
        <f t="shared" si="3"/>
        <v>3.6191999999999998</v>
      </c>
      <c r="T53" s="3" t="s">
        <v>45</v>
      </c>
      <c r="U53" s="3" t="s">
        <v>670</v>
      </c>
      <c r="V53" s="4" t="s">
        <v>699</v>
      </c>
      <c r="X53" s="44" t="s">
        <v>623</v>
      </c>
      <c r="Y53" s="44" t="s">
        <v>610</v>
      </c>
    </row>
    <row r="54" spans="1:26" x14ac:dyDescent="0.25">
      <c r="A54" s="3" t="s">
        <v>138</v>
      </c>
      <c r="B54" s="3" t="s">
        <v>119</v>
      </c>
      <c r="C54" s="3" t="s">
        <v>145</v>
      </c>
      <c r="D54" s="3">
        <v>0.35</v>
      </c>
      <c r="E54" s="3">
        <v>0.9</v>
      </c>
      <c r="N54" s="9">
        <f t="shared" si="3"/>
        <v>3.15</v>
      </c>
      <c r="T54" s="3" t="s">
        <v>45</v>
      </c>
      <c r="U54" s="3" t="s">
        <v>670</v>
      </c>
      <c r="V54" s="4" t="s">
        <v>118</v>
      </c>
      <c r="X54" s="44" t="s">
        <v>623</v>
      </c>
      <c r="Y54" s="44" t="s">
        <v>987</v>
      </c>
    </row>
    <row r="55" spans="1:26" x14ac:dyDescent="0.25">
      <c r="A55" s="3" t="s">
        <v>138</v>
      </c>
      <c r="B55" s="3" t="s">
        <v>950</v>
      </c>
      <c r="C55" s="3" t="s">
        <v>145</v>
      </c>
      <c r="D55" s="11">
        <f>0.142+0.012+0.175+0.0024+0.0716+0.1+0.0013+0.0192+0.0087</f>
        <v>0.53220000000000001</v>
      </c>
      <c r="E55" s="5">
        <f>(2*0.142+1.31*0.012+1.9*0.175+1.2*0.0024+1.88*0.0716+2*0.1+1.52*0.0013+3.28*0.0192+4.8*0.0087)/D55</f>
        <v>2.022585494175122</v>
      </c>
      <c r="N55" s="9">
        <f t="shared" si="3"/>
        <v>10.764200000000001</v>
      </c>
      <c r="T55" s="3" t="s">
        <v>45</v>
      </c>
      <c r="U55" s="3" t="s">
        <v>670</v>
      </c>
      <c r="V55" s="4" t="s">
        <v>700</v>
      </c>
      <c r="W55" s="4" t="s">
        <v>701</v>
      </c>
      <c r="X55" s="44" t="s">
        <v>623</v>
      </c>
      <c r="Y55" s="44" t="s">
        <v>986</v>
      </c>
      <c r="Z55" s="3" t="s">
        <v>593</v>
      </c>
    </row>
    <row r="56" spans="1:26" x14ac:dyDescent="0.25">
      <c r="A56" s="3" t="s">
        <v>139</v>
      </c>
      <c r="B56" s="3" t="s">
        <v>151</v>
      </c>
      <c r="C56" s="3" t="s">
        <v>145</v>
      </c>
      <c r="D56" s="3">
        <v>1.3</v>
      </c>
      <c r="E56" s="5">
        <v>0.2</v>
      </c>
      <c r="F56" s="5">
        <v>0.6</v>
      </c>
      <c r="G56" s="3">
        <v>0.21</v>
      </c>
      <c r="N56" s="9">
        <f t="shared" ref="N56" si="4">1000*D56*E56/100</f>
        <v>2.6</v>
      </c>
      <c r="O56" s="9">
        <f>1000*D56*F56/100</f>
        <v>7.8</v>
      </c>
      <c r="P56" s="9">
        <f>1000*D56*G56/100</f>
        <v>2.73</v>
      </c>
      <c r="T56" s="3" t="s">
        <v>45</v>
      </c>
      <c r="U56" s="3" t="s">
        <v>684</v>
      </c>
      <c r="V56" s="4" t="s">
        <v>685</v>
      </c>
      <c r="X56" s="44" t="s">
        <v>579</v>
      </c>
      <c r="Y56" s="44" t="s">
        <v>609</v>
      </c>
    </row>
    <row r="57" spans="1:26" x14ac:dyDescent="0.25">
      <c r="A57" s="3" t="s">
        <v>138</v>
      </c>
      <c r="B57" s="3" t="s">
        <v>125</v>
      </c>
      <c r="C57" s="3" t="s">
        <v>145</v>
      </c>
      <c r="D57" s="3">
        <v>8.5999999999999993E-2</v>
      </c>
      <c r="E57" s="3">
        <v>2</v>
      </c>
      <c r="N57" s="9">
        <f t="shared" si="3"/>
        <v>1.72</v>
      </c>
      <c r="T57" s="3" t="s">
        <v>45</v>
      </c>
      <c r="U57" s="3" t="s">
        <v>670</v>
      </c>
      <c r="V57" s="4" t="s">
        <v>702</v>
      </c>
      <c r="X57" s="44" t="s">
        <v>623</v>
      </c>
      <c r="Y57" s="44" t="s">
        <v>986</v>
      </c>
    </row>
    <row r="58" spans="1:26" x14ac:dyDescent="0.25">
      <c r="A58" s="3" t="s">
        <v>138</v>
      </c>
      <c r="B58" s="3" t="s">
        <v>120</v>
      </c>
      <c r="C58" s="3" t="s">
        <v>145</v>
      </c>
      <c r="D58" s="3">
        <v>0.22500000000000001</v>
      </c>
      <c r="E58" s="3">
        <v>0.65</v>
      </c>
      <c r="F58" s="3">
        <v>0.25</v>
      </c>
      <c r="G58" s="3">
        <v>3.3000000000000002E-2</v>
      </c>
      <c r="N58" s="9">
        <f t="shared" si="3"/>
        <v>1.4624999999999999</v>
      </c>
      <c r="O58" s="9">
        <f>1000*D58*F58/100</f>
        <v>0.5625</v>
      </c>
      <c r="P58" s="9">
        <f>1000*D58*G58/100</f>
        <v>7.425000000000001E-2</v>
      </c>
      <c r="T58" s="3" t="s">
        <v>45</v>
      </c>
      <c r="U58" s="3" t="s">
        <v>670</v>
      </c>
      <c r="V58" s="4" t="s">
        <v>703</v>
      </c>
      <c r="X58" s="44" t="s">
        <v>623</v>
      </c>
      <c r="Y58" s="44" t="s">
        <v>610</v>
      </c>
    </row>
    <row r="59" spans="1:26" x14ac:dyDescent="0.25">
      <c r="A59" s="3" t="s">
        <v>138</v>
      </c>
      <c r="B59" s="3" t="s">
        <v>121</v>
      </c>
      <c r="C59" s="3" t="s">
        <v>145</v>
      </c>
      <c r="D59" s="3">
        <v>0.1</v>
      </c>
      <c r="E59" s="3">
        <v>1.4</v>
      </c>
      <c r="N59" s="9">
        <f t="shared" si="3"/>
        <v>1.4</v>
      </c>
      <c r="T59" s="3" t="s">
        <v>45</v>
      </c>
      <c r="U59" s="3" t="s">
        <v>670</v>
      </c>
      <c r="V59" s="4" t="s">
        <v>122</v>
      </c>
      <c r="X59" s="44" t="s">
        <v>623</v>
      </c>
      <c r="Y59" s="44" t="s">
        <v>580</v>
      </c>
    </row>
    <row r="60" spans="1:26" x14ac:dyDescent="0.25">
      <c r="A60" s="3" t="s">
        <v>138</v>
      </c>
      <c r="B60" s="3" t="s">
        <v>739</v>
      </c>
      <c r="C60" s="3" t="s">
        <v>145</v>
      </c>
      <c r="D60" s="11">
        <f>0.835+0.038935+0.092605</f>
        <v>0.96653999999999995</v>
      </c>
      <c r="E60" s="5">
        <f>(0.7*0.835+2.94*0.038935+2.84*0.092605)/D60</f>
        <v>0.99526879384195155</v>
      </c>
      <c r="N60" s="9">
        <f t="shared" si="3"/>
        <v>9.6196709999999985</v>
      </c>
      <c r="T60" s="3" t="s">
        <v>45</v>
      </c>
      <c r="U60" s="3" t="s">
        <v>670</v>
      </c>
      <c r="V60" s="4" t="s">
        <v>737</v>
      </c>
      <c r="X60" s="44" t="s">
        <v>623</v>
      </c>
      <c r="Y60" s="44" t="s">
        <v>986</v>
      </c>
    </row>
    <row r="61" spans="1:26" x14ac:dyDescent="0.25">
      <c r="A61" s="3" t="s">
        <v>138</v>
      </c>
      <c r="B61" s="3" t="s">
        <v>123</v>
      </c>
      <c r="C61" s="3" t="s">
        <v>145</v>
      </c>
      <c r="D61" s="3">
        <v>0.02</v>
      </c>
      <c r="E61" s="3">
        <v>2.7</v>
      </c>
      <c r="F61" s="3">
        <v>0.15</v>
      </c>
      <c r="N61" s="9">
        <f t="shared" si="3"/>
        <v>0.54</v>
      </c>
      <c r="O61" s="9">
        <f>1000*D61*F61/100</f>
        <v>0.03</v>
      </c>
      <c r="T61" s="3" t="s">
        <v>45</v>
      </c>
      <c r="U61" s="3" t="s">
        <v>670</v>
      </c>
      <c r="V61" s="4" t="s">
        <v>124</v>
      </c>
      <c r="X61" s="44" t="s">
        <v>623</v>
      </c>
      <c r="Y61" s="44" t="s">
        <v>583</v>
      </c>
    </row>
    <row r="62" spans="1:26" x14ac:dyDescent="0.25">
      <c r="X62" s="44"/>
      <c r="Y62" s="44"/>
    </row>
    <row r="63" spans="1:26" x14ac:dyDescent="0.25">
      <c r="A63" s="26" t="s">
        <v>160</v>
      </c>
      <c r="B63" s="26" t="s">
        <v>160</v>
      </c>
      <c r="C63" s="26" t="s">
        <v>160</v>
      </c>
      <c r="D63" s="26" t="s">
        <v>160</v>
      </c>
      <c r="E63" s="26" t="s">
        <v>160</v>
      </c>
      <c r="F63" s="26" t="s">
        <v>160</v>
      </c>
      <c r="G63" s="26" t="s">
        <v>160</v>
      </c>
      <c r="H63" s="26" t="s">
        <v>160</v>
      </c>
      <c r="I63" s="26" t="s">
        <v>160</v>
      </c>
      <c r="J63" s="26" t="s">
        <v>160</v>
      </c>
      <c r="K63" s="26" t="s">
        <v>160</v>
      </c>
      <c r="L63" s="26" t="s">
        <v>160</v>
      </c>
      <c r="M63" s="26" t="s">
        <v>160</v>
      </c>
      <c r="N63" s="26" t="s">
        <v>160</v>
      </c>
      <c r="O63" s="26" t="s">
        <v>160</v>
      </c>
      <c r="P63" s="26" t="s">
        <v>160</v>
      </c>
      <c r="Q63" s="26" t="s">
        <v>160</v>
      </c>
      <c r="R63" s="26" t="s">
        <v>160</v>
      </c>
      <c r="S63" s="26" t="s">
        <v>160</v>
      </c>
      <c r="T63" s="26" t="s">
        <v>160</v>
      </c>
      <c r="U63" s="26" t="s">
        <v>160</v>
      </c>
      <c r="V63" s="26" t="s">
        <v>160</v>
      </c>
      <c r="W63" s="26" t="s">
        <v>160</v>
      </c>
      <c r="X63" s="44"/>
      <c r="Y63" s="44"/>
    </row>
    <row r="64" spans="1:26" x14ac:dyDescent="0.25">
      <c r="A64" s="39">
        <f>COUNT(D66:D79)</f>
        <v>14</v>
      </c>
      <c r="B64" s="49" t="s">
        <v>45</v>
      </c>
      <c r="C64" s="49" t="s">
        <v>45</v>
      </c>
      <c r="D64" s="19">
        <f>SUM(D66:D79)</f>
        <v>4492.6160534207656</v>
      </c>
      <c r="E64" s="14">
        <f>100*(N64/1000)/D64</f>
        <v>0.45535890377305477</v>
      </c>
      <c r="F64" s="14">
        <f>100*(O64/1000)/D64</f>
        <v>0.52617629054428272</v>
      </c>
      <c r="N64" s="19">
        <f>SUM(N66:N79)</f>
        <v>20457.527211589073</v>
      </c>
      <c r="O64" s="19">
        <f>SUM(O66:O79)</f>
        <v>23639.080498286337</v>
      </c>
      <c r="P64" s="19">
        <f>SUM(P66:P79)</f>
        <v>129.0753</v>
      </c>
      <c r="X64" s="44"/>
      <c r="Y64" s="44"/>
    </row>
    <row r="65" spans="1:26" x14ac:dyDescent="0.25">
      <c r="A65" s="1" t="s">
        <v>150</v>
      </c>
      <c r="B65" s="1" t="s">
        <v>134</v>
      </c>
      <c r="C65" s="1" t="s">
        <v>141</v>
      </c>
      <c r="D65" s="2" t="s">
        <v>0</v>
      </c>
      <c r="E65" s="2" t="s">
        <v>10</v>
      </c>
      <c r="F65" s="2" t="s">
        <v>2</v>
      </c>
      <c r="G65" s="2" t="s">
        <v>9</v>
      </c>
      <c r="H65" s="2" t="s">
        <v>1</v>
      </c>
      <c r="I65" s="2" t="s">
        <v>3</v>
      </c>
      <c r="J65" s="2" t="s">
        <v>162</v>
      </c>
      <c r="K65" s="2" t="s">
        <v>163</v>
      </c>
      <c r="L65" s="2" t="s">
        <v>653</v>
      </c>
      <c r="M65" s="2" t="s">
        <v>640</v>
      </c>
      <c r="N65" s="2" t="s">
        <v>11</v>
      </c>
      <c r="O65" s="2" t="s">
        <v>4</v>
      </c>
      <c r="P65" s="2" t="s">
        <v>12</v>
      </c>
      <c r="Q65" s="2" t="s">
        <v>857</v>
      </c>
      <c r="R65" s="2" t="s">
        <v>164</v>
      </c>
      <c r="S65" s="2" t="s">
        <v>165</v>
      </c>
      <c r="T65" s="2" t="s">
        <v>44</v>
      </c>
      <c r="U65" s="2" t="s">
        <v>639</v>
      </c>
      <c r="V65" s="8" t="s">
        <v>5</v>
      </c>
      <c r="W65" s="15" t="s">
        <v>64</v>
      </c>
      <c r="X65" s="44"/>
      <c r="Y65" s="44"/>
    </row>
    <row r="66" spans="1:26" x14ac:dyDescent="0.25">
      <c r="B66" s="3" t="s">
        <v>161</v>
      </c>
      <c r="C66" s="3" t="s">
        <v>145</v>
      </c>
      <c r="D66" s="3">
        <v>215</v>
      </c>
      <c r="E66" s="3">
        <v>0.33</v>
      </c>
      <c r="F66" s="3">
        <v>0.51</v>
      </c>
      <c r="G66" s="3">
        <v>1.6E-2</v>
      </c>
      <c r="H66" s="3">
        <v>0.19</v>
      </c>
      <c r="J66" s="3">
        <v>1.78</v>
      </c>
      <c r="K66" s="3">
        <v>4.5599999999999996</v>
      </c>
      <c r="N66" s="9">
        <f t="shared" ref="N66:N79" si="5">1000*D66*E66/100</f>
        <v>709.5</v>
      </c>
      <c r="O66" s="9">
        <f t="shared" ref="O66:O79" si="6">1000*D66*F66/100</f>
        <v>1096.5</v>
      </c>
      <c r="P66" s="9">
        <f>1000*D66*G66/100</f>
        <v>34.4</v>
      </c>
      <c r="Q66" s="10">
        <f>D66*J66</f>
        <v>382.7</v>
      </c>
      <c r="R66" s="10">
        <f>D66*K66</f>
        <v>980.39999999999986</v>
      </c>
      <c r="S66" s="10">
        <f>D66*H66</f>
        <v>40.85</v>
      </c>
      <c r="T66" s="50" t="s">
        <v>644</v>
      </c>
      <c r="U66" s="3" t="s">
        <v>648</v>
      </c>
      <c r="V66" s="4" t="s">
        <v>372</v>
      </c>
      <c r="X66" s="44" t="s">
        <v>623</v>
      </c>
      <c r="Y66" s="44" t="s">
        <v>595</v>
      </c>
      <c r="Z66" s="3" t="s">
        <v>597</v>
      </c>
    </row>
    <row r="67" spans="1:26" x14ac:dyDescent="0.25">
      <c r="B67" s="43" t="s">
        <v>1003</v>
      </c>
      <c r="C67" s="3" t="s">
        <v>145</v>
      </c>
      <c r="D67" s="3">
        <f>50.99+40.08</f>
        <v>91.07</v>
      </c>
      <c r="E67" s="5">
        <f>(0.56*50.99+0.51*40.08)/D67</f>
        <v>0.53799494894037558</v>
      </c>
      <c r="F67" s="5">
        <f>(0.34*50.99+0.29*40.08)/D67</f>
        <v>0.31799494894037555</v>
      </c>
      <c r="G67" s="11">
        <f>(0.019*50.99+0.019*40.08)/D67</f>
        <v>1.9E-2</v>
      </c>
      <c r="H67" s="5">
        <f>(0.14*50.99+0.12*40.08)/D67</f>
        <v>0.13119797957615023</v>
      </c>
      <c r="I67" s="5"/>
      <c r="J67" s="5">
        <f>(0.3*50.99+0.28*40.08)/D67</f>
        <v>0.29119797957615023</v>
      </c>
      <c r="K67" s="5">
        <f>(0.29*50.99+0.26*40.08)/D67</f>
        <v>0.27679696936422532</v>
      </c>
      <c r="M67" s="5"/>
      <c r="N67" s="9">
        <f t="shared" si="5"/>
        <v>489.95200000000006</v>
      </c>
      <c r="O67" s="9">
        <f t="shared" si="6"/>
        <v>289.59800000000001</v>
      </c>
      <c r="P67" s="9">
        <f>1000*D67*G67/100</f>
        <v>17.3033</v>
      </c>
      <c r="Q67" s="10">
        <f>D67*J67</f>
        <v>26.519400000000001</v>
      </c>
      <c r="R67" s="10">
        <f>D67*K67</f>
        <v>25.207899999999999</v>
      </c>
      <c r="S67" s="10">
        <f>D67*H67</f>
        <v>11.9482</v>
      </c>
      <c r="T67" s="50"/>
      <c r="U67" s="3" t="s">
        <v>868</v>
      </c>
      <c r="V67" s="4" t="s">
        <v>1006</v>
      </c>
      <c r="X67" s="44" t="s">
        <v>623</v>
      </c>
      <c r="Y67" s="44" t="s">
        <v>580</v>
      </c>
    </row>
    <row r="68" spans="1:26" x14ac:dyDescent="0.25">
      <c r="B68" s="43" t="s">
        <v>1004</v>
      </c>
      <c r="C68" s="3" t="s">
        <v>145</v>
      </c>
      <c r="D68" s="3">
        <f>66.15+106.86+17.61</f>
        <v>190.62</v>
      </c>
      <c r="E68" s="5">
        <f>(0.4*66.15+0.39*106.86+0.34*17.61)/D68</f>
        <v>0.38885111740635819</v>
      </c>
      <c r="F68" s="5">
        <f>(0.19*66.15+0.18*106.86+0.16*17.61)/D68</f>
        <v>0.18162259993704752</v>
      </c>
      <c r="G68" s="11">
        <f>(0.015*66.15+0.015*106.86+0.014*17.61)/D68</f>
        <v>1.4907617248977023E-2</v>
      </c>
      <c r="H68" s="5">
        <f>(0.09*66.15+0.06*106.86+0.06*17.61)/D68</f>
        <v>7.0410764872521237E-2</v>
      </c>
      <c r="I68" s="5"/>
      <c r="J68" s="5">
        <f>(0.29*66.15+0.21*106.86+0.2*17.61)/D68</f>
        <v>0.23683821214982687</v>
      </c>
      <c r="K68" s="5">
        <f>(0.3*66.15+0.2*106.86+0.21*17.61)/D68</f>
        <v>0.23562637708530057</v>
      </c>
      <c r="M68" s="5"/>
      <c r="N68" s="9">
        <f t="shared" ref="N68:N69" si="7">1000*D68*E68/100</f>
        <v>741.22800000000007</v>
      </c>
      <c r="O68" s="9">
        <f t="shared" ref="O68:O69" si="8">1000*D68*F68/100</f>
        <v>346.209</v>
      </c>
      <c r="P68" s="9">
        <f t="shared" ref="P68:P69" si="9">1000*D68*G68/100</f>
        <v>28.416900000000002</v>
      </c>
      <c r="Q68" s="10">
        <f t="shared" ref="Q68:Q69" si="10">D68*J68</f>
        <v>45.146099999999997</v>
      </c>
      <c r="R68" s="10">
        <f t="shared" ref="R68:R69" si="11">D68*K68</f>
        <v>44.915099999999995</v>
      </c>
      <c r="S68" s="10">
        <f t="shared" ref="S68:S69" si="12">D68*H68</f>
        <v>13.421699999999998</v>
      </c>
      <c r="T68" s="50"/>
      <c r="U68" s="3" t="s">
        <v>868</v>
      </c>
      <c r="V68" s="4" t="s">
        <v>1006</v>
      </c>
      <c r="X68" s="44" t="s">
        <v>623</v>
      </c>
      <c r="Y68" s="44" t="s">
        <v>580</v>
      </c>
    </row>
    <row r="69" spans="1:26" x14ac:dyDescent="0.25">
      <c r="B69" s="43" t="s">
        <v>1005</v>
      </c>
      <c r="C69" s="3" t="s">
        <v>145</v>
      </c>
      <c r="D69" s="3">
        <f>100.92+126.59+83.69</f>
        <v>311.2</v>
      </c>
      <c r="E69" s="5">
        <f>(0.44*100.92+0.35*126.59+0.3*83.69)/D69</f>
        <v>0.36574003856041132</v>
      </c>
      <c r="F69" s="5">
        <f>(0.19*100.92+0.14*126.59+0.1*83.69)/D69</f>
        <v>0.14545758354755786</v>
      </c>
      <c r="G69" s="11">
        <f>(0.016*100.92+0.016*126.59+0.015*83.69)/D69</f>
        <v>1.573107326478149E-2</v>
      </c>
      <c r="H69" s="5">
        <f>(0.11*100.92+0.06*126.59+0.05*83.69)/D69</f>
        <v>7.3525385604113119E-2</v>
      </c>
      <c r="I69" s="5"/>
      <c r="J69" s="5">
        <f>(0.3*100.92+0.13*126.59+0.11*83.69)/D69</f>
        <v>0.17975128534704371</v>
      </c>
      <c r="K69" s="5">
        <f>(0.33*100.92+0.12*126.59+0.08*83.69)/D69</f>
        <v>0.17734447300771208</v>
      </c>
      <c r="M69" s="5"/>
      <c r="N69" s="9">
        <f t="shared" si="7"/>
        <v>1138.183</v>
      </c>
      <c r="O69" s="9">
        <f t="shared" si="8"/>
        <v>452.6640000000001</v>
      </c>
      <c r="P69" s="9">
        <f t="shared" si="9"/>
        <v>48.955099999999995</v>
      </c>
      <c r="Q69" s="10">
        <f t="shared" si="10"/>
        <v>55.938600000000001</v>
      </c>
      <c r="R69" s="10">
        <f t="shared" si="11"/>
        <v>55.189599999999999</v>
      </c>
      <c r="S69" s="10">
        <f t="shared" si="12"/>
        <v>22.881100000000004</v>
      </c>
      <c r="T69" s="50"/>
      <c r="U69" s="3" t="s">
        <v>868</v>
      </c>
      <c r="V69" s="4" t="s">
        <v>1006</v>
      </c>
      <c r="X69" s="44" t="s">
        <v>623</v>
      </c>
      <c r="Y69" s="44" t="s">
        <v>580</v>
      </c>
    </row>
    <row r="70" spans="1:26" x14ac:dyDescent="0.25">
      <c r="B70" s="3" t="s">
        <v>1015</v>
      </c>
      <c r="C70" s="3" t="s">
        <v>142</v>
      </c>
      <c r="D70" s="27">
        <f>46.687+79.074+20.47+34.468+49.412+1.505+40.966+32.996+1332.722</f>
        <v>1638.3</v>
      </c>
      <c r="E70" s="5">
        <f>(2.71*46.687+2.55*79.074+4.23*20.47+1.04*34.468+0.79*49.412+0.8*1.505+0.45*40.966+0.37*32.996)/$D70</f>
        <v>0.31830433376060552</v>
      </c>
      <c r="F70" s="5">
        <f>(3.36*46.687+2.69*79.074+5.83*20.47+4.19*34.468+3.53*49.412+2.26*1.505+0.79*40.966+0.62*32.996)/$D70</f>
        <v>0.5273666117316731</v>
      </c>
      <c r="H70" s="5">
        <f>(0.15*46.687+0.14*79.074+0.51*20.47+0.7*34.468+0.56*49.412+0.41*1.505+0.19*40.966+0.19*32.996)/$D70</f>
        <v>5.7975498992858455E-2</v>
      </c>
      <c r="J70" s="5">
        <f>(1.33*46.687+0.89*79.074+2.54*20.47+2.37*34.468+1.93*49.412+1.91*1.505+1.29*40.966+0.76*32.996)/$D70</f>
        <v>0.26998433742293843</v>
      </c>
      <c r="K70" s="5">
        <f>(5.81*46.687+4.84*79.074+12.95*20.47+9.95*34.468+7.52*49.412+6.64*1.505+3.49*40.966+2.46*32.996)/$D70</f>
        <v>1.1400388634560215</v>
      </c>
      <c r="M70" s="5">
        <f>(7.54*46.687+6.3*79.074+15.91*20.47+12.44*34.468+9.67*49.412+8.74*1.505+4.97*40.966+3.47*32.996)/$D70</f>
        <v>1.4733020081792096</v>
      </c>
      <c r="N70" s="9">
        <f t="shared" si="5"/>
        <v>5214.7799000000005</v>
      </c>
      <c r="O70" s="9">
        <f t="shared" si="6"/>
        <v>8639.8472000000002</v>
      </c>
      <c r="Q70" s="9">
        <f>D70*J70</f>
        <v>442.31533999999999</v>
      </c>
      <c r="R70" s="9">
        <f>D70*K70</f>
        <v>1867.7256699999998</v>
      </c>
      <c r="S70" s="10">
        <f>D70*H70</f>
        <v>94.981260000000006</v>
      </c>
      <c r="T70" s="50"/>
      <c r="U70" s="3" t="s">
        <v>648</v>
      </c>
      <c r="V70" s="4" t="s">
        <v>372</v>
      </c>
      <c r="X70" s="44" t="s">
        <v>623</v>
      </c>
      <c r="Y70" s="44" t="s">
        <v>595</v>
      </c>
      <c r="Z70" s="3" t="s">
        <v>597</v>
      </c>
    </row>
    <row r="71" spans="1:26" x14ac:dyDescent="0.25">
      <c r="B71" s="3" t="s">
        <v>1016</v>
      </c>
      <c r="C71" s="3" t="s">
        <v>142</v>
      </c>
      <c r="D71" s="3">
        <f>22.306+25.802</f>
        <v>48.108000000000004</v>
      </c>
      <c r="E71" s="5">
        <f>(0.28*22.306+0.33*25.802)/$D71</f>
        <v>0.30681674565560824</v>
      </c>
      <c r="F71" s="5">
        <f>(0.36*22.306+0.45*25.802)/$D71</f>
        <v>0.40827014218009483</v>
      </c>
      <c r="H71" s="5">
        <f>(0.2*22.306+0.15*25.802)/$D71</f>
        <v>0.17318325434439177</v>
      </c>
      <c r="J71" s="5">
        <f>(1.75*22.306+1.67*25.802)/$D71</f>
        <v>1.7070932069510267</v>
      </c>
      <c r="K71" s="5">
        <f>(4.28*22.306+4.24*25.802)/$D71</f>
        <v>4.2585466034755131</v>
      </c>
      <c r="M71" s="5">
        <f>(6.37*22.306+6.3*25.802)/$D71</f>
        <v>6.332456556082148</v>
      </c>
      <c r="N71" s="9">
        <f t="shared" ref="N71:N72" si="13">1000*D71*E71/100</f>
        <v>147.60340000000005</v>
      </c>
      <c r="O71" s="9">
        <f t="shared" ref="O71:O72" si="14">1000*D71*F71/100</f>
        <v>196.41060000000004</v>
      </c>
      <c r="Q71" s="9">
        <f t="shared" ref="Q71:Q72" si="15">D71*J71</f>
        <v>82.124840000000006</v>
      </c>
      <c r="R71" s="9">
        <f t="shared" ref="R71:R72" si="16">D71*K71</f>
        <v>204.87016</v>
      </c>
      <c r="S71" s="10">
        <f t="shared" ref="S71:S72" si="17">D71*H71</f>
        <v>8.3315000000000001</v>
      </c>
      <c r="T71" s="50"/>
      <c r="U71" s="3" t="s">
        <v>648</v>
      </c>
      <c r="V71" s="4" t="s">
        <v>372</v>
      </c>
      <c r="X71" s="44" t="s">
        <v>623</v>
      </c>
      <c r="Y71" s="44" t="s">
        <v>595</v>
      </c>
      <c r="Z71" s="3" t="s">
        <v>597</v>
      </c>
    </row>
    <row r="72" spans="1:26" x14ac:dyDescent="0.25">
      <c r="B72" s="3" t="s">
        <v>1014</v>
      </c>
      <c r="C72" s="3" t="s">
        <v>142</v>
      </c>
      <c r="D72" s="3">
        <v>462.709</v>
      </c>
      <c r="E72" s="5">
        <v>0.89</v>
      </c>
      <c r="F72" s="5">
        <v>1.85</v>
      </c>
      <c r="H72" s="5">
        <v>0.26</v>
      </c>
      <c r="J72" s="5">
        <v>0.87</v>
      </c>
      <c r="K72" s="5">
        <v>3.07</v>
      </c>
      <c r="M72" s="5">
        <v>4.12</v>
      </c>
      <c r="N72" s="9">
        <f t="shared" si="13"/>
        <v>4118.1100999999999</v>
      </c>
      <c r="O72" s="9">
        <f t="shared" si="14"/>
        <v>8560.1165000000001</v>
      </c>
      <c r="Q72" s="9">
        <f t="shared" si="15"/>
        <v>402.55682999999999</v>
      </c>
      <c r="R72" s="9">
        <f t="shared" si="16"/>
        <v>1420.5166299999999</v>
      </c>
      <c r="S72" s="10">
        <f t="shared" si="17"/>
        <v>120.30434000000001</v>
      </c>
      <c r="T72" s="50"/>
      <c r="U72" s="3" t="s">
        <v>648</v>
      </c>
      <c r="V72" s="4" t="s">
        <v>372</v>
      </c>
      <c r="X72" s="44" t="s">
        <v>623</v>
      </c>
      <c r="Y72" s="44" t="s">
        <v>595</v>
      </c>
      <c r="Z72" s="3" t="s">
        <v>597</v>
      </c>
    </row>
    <row r="73" spans="1:26" x14ac:dyDescent="0.25">
      <c r="B73" s="3" t="s">
        <v>659</v>
      </c>
      <c r="C73" s="3" t="s">
        <v>145</v>
      </c>
      <c r="D73" s="3">
        <f>3.7+26.8+5.9</f>
        <v>36.4</v>
      </c>
      <c r="E73" s="5">
        <f>(0.61*3.7+0.42*26.8+0.49*5.9)/$D73</f>
        <v>0.45065934065934066</v>
      </c>
      <c r="F73" s="5">
        <f>(0.16*3.7+0.12*26.8+0.13*5.9)/$D73</f>
        <v>0.12568681318681318</v>
      </c>
      <c r="N73" s="9">
        <f t="shared" si="5"/>
        <v>164.04</v>
      </c>
      <c r="O73" s="9">
        <f t="shared" si="6"/>
        <v>45.75</v>
      </c>
      <c r="Q73" s="9"/>
      <c r="R73" s="9"/>
      <c r="S73" s="10"/>
      <c r="T73" s="50" t="s">
        <v>644</v>
      </c>
      <c r="U73" s="3" t="s">
        <v>649</v>
      </c>
      <c r="V73" s="4" t="s">
        <v>562</v>
      </c>
      <c r="X73" s="44" t="s">
        <v>623</v>
      </c>
      <c r="Y73" s="44" t="s">
        <v>580</v>
      </c>
      <c r="Z73" s="3" t="s">
        <v>613</v>
      </c>
    </row>
    <row r="74" spans="1:26" x14ac:dyDescent="0.25">
      <c r="B74" s="3" t="s">
        <v>658</v>
      </c>
      <c r="C74" s="3" t="s">
        <v>145</v>
      </c>
      <c r="D74" s="3">
        <v>5.9</v>
      </c>
      <c r="E74" s="3">
        <v>0.71</v>
      </c>
      <c r="F74" s="5">
        <v>0.2</v>
      </c>
      <c r="N74" s="9">
        <f t="shared" si="5"/>
        <v>41.89</v>
      </c>
      <c r="O74" s="9">
        <f t="shared" si="6"/>
        <v>11.8</v>
      </c>
      <c r="Q74" s="9"/>
      <c r="R74" s="9"/>
      <c r="S74" s="10"/>
      <c r="T74" s="50" t="s">
        <v>644</v>
      </c>
      <c r="U74" s="3" t="s">
        <v>649</v>
      </c>
      <c r="V74" s="4" t="s">
        <v>562</v>
      </c>
      <c r="X74" s="44" t="s">
        <v>623</v>
      </c>
      <c r="Y74" s="44" t="s">
        <v>580</v>
      </c>
    </row>
    <row r="75" spans="1:26" x14ac:dyDescent="0.25">
      <c r="B75" s="3" t="s">
        <v>657</v>
      </c>
      <c r="C75" s="3" t="s">
        <v>145</v>
      </c>
      <c r="D75" s="3">
        <f>15+11.2</f>
        <v>26.2</v>
      </c>
      <c r="E75" s="5">
        <f>(0.49*15+0.56*11.2)/$D75</f>
        <v>0.51992366412213742</v>
      </c>
      <c r="F75" s="5">
        <f>(0.13*15+0.16*11.2)/$D75</f>
        <v>0.14282442748091603</v>
      </c>
      <c r="N75" s="9">
        <f t="shared" si="5"/>
        <v>136.22</v>
      </c>
      <c r="O75" s="9">
        <f t="shared" si="6"/>
        <v>37.42</v>
      </c>
      <c r="Q75" s="9"/>
      <c r="R75" s="9"/>
      <c r="S75" s="10"/>
      <c r="T75" s="50" t="s">
        <v>644</v>
      </c>
      <c r="U75" s="3" t="s">
        <v>649</v>
      </c>
      <c r="V75" s="4" t="s">
        <v>562</v>
      </c>
      <c r="X75" s="44" t="s">
        <v>623</v>
      </c>
      <c r="Y75" s="44" t="s">
        <v>580</v>
      </c>
    </row>
    <row r="76" spans="1:26" x14ac:dyDescent="0.25">
      <c r="A76" s="48"/>
      <c r="B76" s="3" t="s">
        <v>971</v>
      </c>
      <c r="C76" s="3" t="s">
        <v>145</v>
      </c>
      <c r="D76" s="10">
        <f>(189.947+17.433)*0.9072*2</f>
        <v>376.27027199999998</v>
      </c>
      <c r="E76" s="5">
        <v>0.08</v>
      </c>
      <c r="F76" s="5">
        <v>0.14000000000000001</v>
      </c>
      <c r="J76" s="3">
        <v>0.31</v>
      </c>
      <c r="K76" s="3">
        <v>0.93</v>
      </c>
      <c r="L76" s="3">
        <v>1.84</v>
      </c>
      <c r="N76" s="9">
        <f t="shared" ref="N76" si="18">1000*D76*E76/100</f>
        <v>301.0162176</v>
      </c>
      <c r="O76" s="9">
        <f t="shared" ref="O76" si="19">1000*D76*F76/100</f>
        <v>526.77838080000004</v>
      </c>
      <c r="Q76" s="9">
        <f t="shared" ref="Q76" si="20">D76*J76</f>
        <v>116.64378431999999</v>
      </c>
      <c r="R76" s="9">
        <f t="shared" ref="R76" si="21">D76*K76</f>
        <v>349.93135295999997</v>
      </c>
      <c r="S76" s="10"/>
      <c r="T76" s="50" t="s">
        <v>974</v>
      </c>
      <c r="U76" s="3" t="s">
        <v>972</v>
      </c>
      <c r="V76" s="4" t="s">
        <v>1061</v>
      </c>
      <c r="X76" s="44" t="s">
        <v>623</v>
      </c>
      <c r="Y76" s="44" t="s">
        <v>580</v>
      </c>
    </row>
    <row r="77" spans="1:26" x14ac:dyDescent="0.25">
      <c r="A77" s="48"/>
      <c r="B77" s="3" t="s">
        <v>973</v>
      </c>
      <c r="C77" s="3" t="s">
        <v>145</v>
      </c>
      <c r="D77" s="10">
        <f>50.8/L77</f>
        <v>13.879781420765026</v>
      </c>
      <c r="E77" s="5">
        <v>0.14000000000000001</v>
      </c>
      <c r="F77" s="5">
        <v>0.17499999999999999</v>
      </c>
      <c r="L77" s="3">
        <f>(3.09+4.23)/2</f>
        <v>3.66</v>
      </c>
      <c r="N77" s="9">
        <f t="shared" ref="N77:N78" si="22">1000*D77*E77/100</f>
        <v>19.431693989071039</v>
      </c>
      <c r="O77" s="9">
        <f t="shared" ref="O77" si="23">1000*D77*F77/100</f>
        <v>24.289617486338795</v>
      </c>
      <c r="Q77" s="9"/>
      <c r="R77" s="9"/>
      <c r="S77" s="10"/>
      <c r="T77" s="50" t="s">
        <v>974</v>
      </c>
      <c r="U77" s="3" t="s">
        <v>972</v>
      </c>
      <c r="V77" s="4" t="s">
        <v>1061</v>
      </c>
      <c r="X77" s="44" t="s">
        <v>623</v>
      </c>
      <c r="Y77" s="44" t="s">
        <v>580</v>
      </c>
    </row>
    <row r="78" spans="1:26" x14ac:dyDescent="0.25">
      <c r="A78" s="48"/>
      <c r="B78" s="3" t="s">
        <v>975</v>
      </c>
      <c r="C78" s="3" t="s">
        <v>145</v>
      </c>
      <c r="D78" s="6">
        <v>47</v>
      </c>
      <c r="E78" s="6">
        <v>0.7</v>
      </c>
      <c r="F78" s="6"/>
      <c r="G78" s="6"/>
      <c r="H78" s="6"/>
      <c r="I78" s="6"/>
      <c r="J78" s="6"/>
      <c r="K78" s="6"/>
      <c r="L78" s="6"/>
      <c r="M78" s="6"/>
      <c r="N78" s="9">
        <f t="shared" si="22"/>
        <v>329</v>
      </c>
      <c r="O78" s="6"/>
      <c r="P78" s="6"/>
      <c r="Q78" s="6"/>
      <c r="R78" s="6"/>
      <c r="S78" s="6"/>
      <c r="T78" s="50" t="s">
        <v>644</v>
      </c>
      <c r="U78" s="3" t="s">
        <v>976</v>
      </c>
      <c r="V78" s="25" t="s">
        <v>102</v>
      </c>
      <c r="X78" s="44" t="s">
        <v>623</v>
      </c>
      <c r="Y78" s="44" t="s">
        <v>580</v>
      </c>
    </row>
    <row r="79" spans="1:26" x14ac:dyDescent="0.25">
      <c r="A79" s="48"/>
      <c r="B79" s="3" t="s">
        <v>652</v>
      </c>
      <c r="C79" s="3" t="s">
        <v>142</v>
      </c>
      <c r="D79" s="53">
        <f>85.371+78.899+160.729+560.08+144.88</f>
        <v>1029.9590000000001</v>
      </c>
      <c r="E79" s="5">
        <f>(0.5*85.371+0.57*78.899+0.64*160.729+0.73*560.08+0.63*144.88)/$D79</f>
        <v>0.6705677507551272</v>
      </c>
      <c r="F79" s="5">
        <f>(0.21*85.371+0.29*78.899+0.3*160.729+0.37*560.08+0.31*144.88)/$D79</f>
        <v>0.33124592338141617</v>
      </c>
      <c r="H79" s="5">
        <f>(0.01*85.371+0.01*78.899+0.01*160.729+0.04*560.08+0.01*144.88)/$D79</f>
        <v>2.6313659087400566E-2</v>
      </c>
      <c r="J79" s="5">
        <f>(0.02*85.371+0.02*78.899+0.02*160.729+0.06*560.08+0.02*144.88)/$D79</f>
        <v>4.1751545449867422E-2</v>
      </c>
      <c r="K79" s="5">
        <f>(0.03*85.371+0.03*78.899+0.04*160.729+0.08*560.08+0.04*144.88)/$D79</f>
        <v>6.0156627593913936E-2</v>
      </c>
      <c r="M79" s="5">
        <f>(0.05*85.371+0.06*78.899+0.05*160.729+0.16*560.08+0.6*144.88)/$D79</f>
        <v>0.18794897660974855</v>
      </c>
      <c r="N79" s="9">
        <f t="shared" si="5"/>
        <v>6906.5729000000019</v>
      </c>
      <c r="O79" s="9">
        <f t="shared" si="6"/>
        <v>3411.697200000001</v>
      </c>
      <c r="Q79" s="9">
        <f>D79*J79</f>
        <v>43.002380000000002</v>
      </c>
      <c r="R79" s="9">
        <f>D79*K79</f>
        <v>61.958860000000008</v>
      </c>
      <c r="S79" s="10">
        <f>D79*H79</f>
        <v>27.101990000000001</v>
      </c>
      <c r="T79" s="50" t="s">
        <v>651</v>
      </c>
      <c r="U79" s="3" t="s">
        <v>648</v>
      </c>
      <c r="V79" s="4" t="s">
        <v>372</v>
      </c>
      <c r="X79" s="44" t="s">
        <v>623</v>
      </c>
      <c r="Y79" s="44" t="s">
        <v>580</v>
      </c>
      <c r="Z79" s="3" t="s">
        <v>601</v>
      </c>
    </row>
    <row r="80" spans="1:26" x14ac:dyDescent="0.25">
      <c r="A80" s="48"/>
      <c r="X80" s="44"/>
      <c r="Y80" s="44"/>
    </row>
    <row r="81" spans="1:27" x14ac:dyDescent="0.25">
      <c r="A81" s="26" t="s">
        <v>166</v>
      </c>
      <c r="B81" s="26" t="s">
        <v>166</v>
      </c>
      <c r="C81" s="26" t="s">
        <v>166</v>
      </c>
      <c r="D81" s="26" t="s">
        <v>166</v>
      </c>
      <c r="E81" s="26" t="s">
        <v>166</v>
      </c>
      <c r="F81" s="26" t="s">
        <v>166</v>
      </c>
      <c r="G81" s="26" t="s">
        <v>166</v>
      </c>
      <c r="H81" s="26" t="s">
        <v>166</v>
      </c>
      <c r="I81" s="26" t="s">
        <v>166</v>
      </c>
      <c r="J81" s="26" t="s">
        <v>166</v>
      </c>
      <c r="K81" s="26" t="s">
        <v>166</v>
      </c>
      <c r="L81" s="26" t="s">
        <v>166</v>
      </c>
      <c r="M81" s="26" t="s">
        <v>166</v>
      </c>
      <c r="N81" s="26" t="s">
        <v>166</v>
      </c>
      <c r="O81" s="26" t="s">
        <v>166</v>
      </c>
      <c r="P81" s="26" t="s">
        <v>166</v>
      </c>
      <c r="Q81" s="26" t="s">
        <v>166</v>
      </c>
      <c r="R81" s="26" t="s">
        <v>166</v>
      </c>
      <c r="S81" s="26" t="s">
        <v>166</v>
      </c>
      <c r="T81" s="26" t="s">
        <v>166</v>
      </c>
      <c r="U81" s="26" t="s">
        <v>166</v>
      </c>
      <c r="V81" s="26" t="s">
        <v>166</v>
      </c>
      <c r="W81" s="26" t="s">
        <v>166</v>
      </c>
      <c r="X81" s="44"/>
      <c r="Y81" s="44"/>
    </row>
    <row r="82" spans="1:27" x14ac:dyDescent="0.25">
      <c r="A82" s="39">
        <f>COUNT(D84:D91)</f>
        <v>8</v>
      </c>
      <c r="B82" s="49" t="s">
        <v>45</v>
      </c>
      <c r="C82" s="49" t="s">
        <v>45</v>
      </c>
      <c r="D82" s="19">
        <f>SUM(D84:D91)</f>
        <v>476.02949100000001</v>
      </c>
      <c r="E82" s="14">
        <f>100*(N82/1000)/D82</f>
        <v>0.31121253521244546</v>
      </c>
      <c r="F82" s="14">
        <f>100*(O82/1000)/D82</f>
        <v>0.32219265299678668</v>
      </c>
      <c r="N82" s="19">
        <f>SUM(N84:N91)</f>
        <v>1481.4634472999999</v>
      </c>
      <c r="O82" s="19">
        <f>SUM(O84:O91)</f>
        <v>1533.7320460999999</v>
      </c>
      <c r="P82" s="19">
        <f>SUM(P84:P91)</f>
        <v>0</v>
      </c>
      <c r="X82" s="44"/>
      <c r="Y82" s="44"/>
    </row>
    <row r="83" spans="1:27" x14ac:dyDescent="0.25">
      <c r="A83" s="1" t="s">
        <v>150</v>
      </c>
      <c r="B83" s="1" t="s">
        <v>134</v>
      </c>
      <c r="C83" s="1" t="s">
        <v>141</v>
      </c>
      <c r="D83" s="2" t="s">
        <v>0</v>
      </c>
      <c r="E83" s="2" t="s">
        <v>10</v>
      </c>
      <c r="F83" s="2" t="s">
        <v>2</v>
      </c>
      <c r="G83" s="2" t="s">
        <v>9</v>
      </c>
      <c r="H83" s="2" t="s">
        <v>1</v>
      </c>
      <c r="I83" s="2" t="s">
        <v>3</v>
      </c>
      <c r="J83" s="2" t="s">
        <v>162</v>
      </c>
      <c r="K83" s="2" t="s">
        <v>163</v>
      </c>
      <c r="L83" s="2" t="s">
        <v>653</v>
      </c>
      <c r="M83" s="2" t="s">
        <v>640</v>
      </c>
      <c r="N83" s="2" t="s">
        <v>11</v>
      </c>
      <c r="O83" s="2" t="s">
        <v>4</v>
      </c>
      <c r="P83" s="2" t="s">
        <v>12</v>
      </c>
      <c r="Q83" s="2" t="s">
        <v>857</v>
      </c>
      <c r="R83" s="2" t="s">
        <v>164</v>
      </c>
      <c r="S83" s="2" t="s">
        <v>165</v>
      </c>
      <c r="T83" s="2" t="s">
        <v>44</v>
      </c>
      <c r="U83" s="2" t="s">
        <v>639</v>
      </c>
      <c r="V83" s="8" t="s">
        <v>5</v>
      </c>
      <c r="W83" s="15" t="s">
        <v>64</v>
      </c>
      <c r="X83" s="44"/>
      <c r="Y83" s="44"/>
    </row>
    <row r="84" spans="1:27" x14ac:dyDescent="0.25">
      <c r="B84" s="3" t="s">
        <v>207</v>
      </c>
      <c r="C84" s="3" t="s">
        <v>142</v>
      </c>
      <c r="D84" s="3">
        <f>124+11.3</f>
        <v>135.30000000000001</v>
      </c>
      <c r="E84" s="5">
        <f>(0.23*124+0.27*11.3)/$D84</f>
        <v>0.23334072431633407</v>
      </c>
      <c r="F84" s="5">
        <f>(0.27*124+0.3*11.3)/$D84</f>
        <v>0.27250554323725057</v>
      </c>
      <c r="L84" s="5">
        <f>(0.57*124+0.56*11.3)/$D84</f>
        <v>0.56916481892091642</v>
      </c>
      <c r="N84" s="9">
        <f>1000*D84*E84/100</f>
        <v>315.70999999999998</v>
      </c>
      <c r="O84" s="9">
        <f>1000*D84*F84/100</f>
        <v>368.7</v>
      </c>
      <c r="T84" s="50" t="s">
        <v>644</v>
      </c>
      <c r="U84" s="3" t="s">
        <v>648</v>
      </c>
      <c r="V84" s="4" t="s">
        <v>372</v>
      </c>
      <c r="X84" s="44" t="s">
        <v>623</v>
      </c>
      <c r="Y84" s="44" t="s">
        <v>580</v>
      </c>
      <c r="Z84" s="3" t="s">
        <v>614</v>
      </c>
    </row>
    <row r="85" spans="1:27" x14ac:dyDescent="0.25">
      <c r="B85" s="3" t="s">
        <v>208</v>
      </c>
      <c r="C85" s="3" t="s">
        <v>142</v>
      </c>
      <c r="D85" s="3">
        <f>45.555+190.3+6.9</f>
        <v>242.75500000000002</v>
      </c>
      <c r="E85" s="5">
        <f>(0.21*45.555+0.2*190.3+0.22*6.9)/$D85</f>
        <v>0.20244505777429919</v>
      </c>
      <c r="F85" s="5">
        <f>(0.15*45.555+0.18*190.3+0.2*6.9)/$D85</f>
        <v>0.17493872422813123</v>
      </c>
      <c r="N85" s="9">
        <f>1000*D85*E85/100</f>
        <v>491.44550000000004</v>
      </c>
      <c r="O85" s="9">
        <f>1000*D85*F85/100</f>
        <v>424.67250000000001</v>
      </c>
      <c r="T85" s="3" t="s">
        <v>45</v>
      </c>
      <c r="U85" s="3" t="s">
        <v>648</v>
      </c>
      <c r="V85" s="4" t="s">
        <v>372</v>
      </c>
      <c r="X85" s="44" t="s">
        <v>623</v>
      </c>
      <c r="Y85" s="44" t="s">
        <v>626</v>
      </c>
      <c r="Z85" s="3" t="s">
        <v>614</v>
      </c>
    </row>
    <row r="86" spans="1:27" x14ac:dyDescent="0.25">
      <c r="B86" s="3" t="s">
        <v>537</v>
      </c>
      <c r="C86" s="3" t="s">
        <v>145</v>
      </c>
      <c r="D86" s="3">
        <v>4.0999999999999996</v>
      </c>
      <c r="E86" s="3">
        <v>0.7</v>
      </c>
      <c r="F86" s="3">
        <v>0.5</v>
      </c>
      <c r="L86" s="3">
        <v>1.2</v>
      </c>
      <c r="N86" s="9">
        <f>1000*D86*E86/100</f>
        <v>28.7</v>
      </c>
      <c r="O86" s="9">
        <f>1000*D86*F86/100</f>
        <v>20.5</v>
      </c>
      <c r="T86" s="3" t="s">
        <v>45</v>
      </c>
      <c r="U86" s="3" t="s">
        <v>687</v>
      </c>
      <c r="V86" s="4" t="s">
        <v>538</v>
      </c>
      <c r="X86" s="44" t="s">
        <v>623</v>
      </c>
      <c r="Y86" s="44" t="s">
        <v>626</v>
      </c>
      <c r="Z86" s="3" t="s">
        <v>614</v>
      </c>
    </row>
    <row r="87" spans="1:27" x14ac:dyDescent="0.25">
      <c r="B87" s="3" t="s">
        <v>774</v>
      </c>
      <c r="C87" s="3" t="s">
        <v>142</v>
      </c>
      <c r="D87" s="11">
        <v>37.201155999999997</v>
      </c>
      <c r="E87" s="3">
        <v>0.46</v>
      </c>
      <c r="F87" s="3">
        <v>0.42</v>
      </c>
      <c r="N87" s="9">
        <f>1000*D87*E87/100</f>
        <v>171.12531759999999</v>
      </c>
      <c r="O87" s="9">
        <f>1000*D87*F87/100</f>
        <v>156.24485519999999</v>
      </c>
      <c r="T87" s="3" t="s">
        <v>45</v>
      </c>
      <c r="U87" s="3" t="s">
        <v>776</v>
      </c>
      <c r="V87" s="4" t="s">
        <v>775</v>
      </c>
      <c r="X87" s="44" t="s">
        <v>623</v>
      </c>
      <c r="Y87" s="44" t="s">
        <v>626</v>
      </c>
    </row>
    <row r="88" spans="1:27" x14ac:dyDescent="0.25">
      <c r="B88" s="3" t="s">
        <v>996</v>
      </c>
      <c r="C88" s="3" t="s">
        <v>142</v>
      </c>
      <c r="D88" s="11">
        <v>4.4675609999999999</v>
      </c>
      <c r="E88" s="3">
        <v>1.47</v>
      </c>
      <c r="F88" s="3">
        <v>1.19</v>
      </c>
      <c r="N88" s="9">
        <f t="shared" ref="N88:N91" si="24">1000*D88*E88/100</f>
        <v>65.673146700000004</v>
      </c>
      <c r="O88" s="9">
        <f t="shared" ref="O88:O91" si="25">1000*D88*F88/100</f>
        <v>53.163975899999997</v>
      </c>
      <c r="T88" s="3" t="s">
        <v>45</v>
      </c>
      <c r="U88" s="3" t="s">
        <v>776</v>
      </c>
      <c r="V88" s="4" t="s">
        <v>775</v>
      </c>
      <c r="X88" s="44" t="s">
        <v>623</v>
      </c>
      <c r="Y88" s="44" t="s">
        <v>626</v>
      </c>
    </row>
    <row r="89" spans="1:27" x14ac:dyDescent="0.25">
      <c r="B89" s="3" t="s">
        <v>777</v>
      </c>
      <c r="C89" s="3" t="s">
        <v>142</v>
      </c>
      <c r="D89" s="11">
        <v>26.753516999999999</v>
      </c>
      <c r="E89" s="3">
        <v>0.79</v>
      </c>
      <c r="F89" s="3">
        <v>1.1499999999999999</v>
      </c>
      <c r="N89" s="9">
        <f t="shared" si="24"/>
        <v>211.35278430000002</v>
      </c>
      <c r="O89" s="9">
        <f t="shared" si="25"/>
        <v>307.66544549999998</v>
      </c>
      <c r="T89" s="3" t="s">
        <v>45</v>
      </c>
      <c r="U89" s="3" t="s">
        <v>776</v>
      </c>
      <c r="V89" s="4" t="s">
        <v>775</v>
      </c>
      <c r="X89" s="44" t="s">
        <v>623</v>
      </c>
      <c r="Y89" s="44" t="s">
        <v>626</v>
      </c>
    </row>
    <row r="90" spans="1:27" x14ac:dyDescent="0.25">
      <c r="B90" s="3" t="s">
        <v>997</v>
      </c>
      <c r="C90" s="3" t="s">
        <v>142</v>
      </c>
      <c r="D90" s="11">
        <v>19.505586000000001</v>
      </c>
      <c r="E90" s="3">
        <v>0.68</v>
      </c>
      <c r="F90" s="3">
        <v>0.75</v>
      </c>
      <c r="N90" s="9">
        <f t="shared" si="24"/>
        <v>132.63798480000003</v>
      </c>
      <c r="O90" s="9">
        <f t="shared" si="25"/>
        <v>146.29189500000001</v>
      </c>
      <c r="T90" s="3" t="s">
        <v>45</v>
      </c>
      <c r="U90" s="3" t="s">
        <v>776</v>
      </c>
      <c r="V90" s="4" t="s">
        <v>775</v>
      </c>
      <c r="X90" s="44" t="s">
        <v>623</v>
      </c>
      <c r="Y90" s="44" t="s">
        <v>626</v>
      </c>
    </row>
    <row r="91" spans="1:27" x14ac:dyDescent="0.25">
      <c r="B91" s="3" t="s">
        <v>998</v>
      </c>
      <c r="C91" s="3" t="s">
        <v>142</v>
      </c>
      <c r="D91" s="11">
        <v>5.9466710000000003</v>
      </c>
      <c r="E91" s="3">
        <v>1.0900000000000001</v>
      </c>
      <c r="F91" s="3">
        <v>0.95</v>
      </c>
      <c r="N91" s="9">
        <f t="shared" si="24"/>
        <v>64.818713900000006</v>
      </c>
      <c r="O91" s="9">
        <f t="shared" si="25"/>
        <v>56.493374500000002</v>
      </c>
      <c r="T91" s="3" t="s">
        <v>45</v>
      </c>
      <c r="U91" s="3" t="s">
        <v>776</v>
      </c>
      <c r="V91" s="4" t="s">
        <v>775</v>
      </c>
      <c r="X91" s="44" t="s">
        <v>623</v>
      </c>
      <c r="Y91" s="44" t="s">
        <v>626</v>
      </c>
      <c r="Z91" s="3" t="s">
        <v>614</v>
      </c>
    </row>
    <row r="92" spans="1:27" x14ac:dyDescent="0.25">
      <c r="X92" s="44"/>
      <c r="Y92" s="44"/>
    </row>
    <row r="93" spans="1:27" x14ac:dyDescent="0.25">
      <c r="A93" s="26" t="s">
        <v>167</v>
      </c>
      <c r="B93" s="26" t="s">
        <v>168</v>
      </c>
      <c r="C93" s="26" t="s">
        <v>167</v>
      </c>
      <c r="D93" s="26" t="s">
        <v>168</v>
      </c>
      <c r="E93" s="26" t="s">
        <v>167</v>
      </c>
      <c r="F93" s="26" t="s">
        <v>168</v>
      </c>
      <c r="G93" s="26" t="s">
        <v>167</v>
      </c>
      <c r="H93" s="26" t="s">
        <v>168</v>
      </c>
      <c r="I93" s="26" t="s">
        <v>167</v>
      </c>
      <c r="J93" s="26" t="s">
        <v>168</v>
      </c>
      <c r="K93" s="26" t="s">
        <v>167</v>
      </c>
      <c r="L93" s="26" t="s">
        <v>168</v>
      </c>
      <c r="M93" s="26" t="s">
        <v>168</v>
      </c>
      <c r="N93" s="26" t="s">
        <v>167</v>
      </c>
      <c r="O93" s="26" t="s">
        <v>168</v>
      </c>
      <c r="P93" s="26" t="s">
        <v>167</v>
      </c>
      <c r="Q93" s="26" t="s">
        <v>168</v>
      </c>
      <c r="R93" s="26" t="s">
        <v>167</v>
      </c>
      <c r="S93" s="26" t="s">
        <v>168</v>
      </c>
      <c r="T93" s="26" t="s">
        <v>167</v>
      </c>
      <c r="U93" s="26" t="s">
        <v>168</v>
      </c>
      <c r="V93" s="26" t="s">
        <v>167</v>
      </c>
      <c r="W93" s="26" t="s">
        <v>168</v>
      </c>
      <c r="X93" s="44"/>
      <c r="Y93" s="44"/>
    </row>
    <row r="94" spans="1:27" x14ac:dyDescent="0.25">
      <c r="A94" s="39">
        <f>COUNT(D96:D140)</f>
        <v>45</v>
      </c>
      <c r="B94" s="49" t="s">
        <v>45</v>
      </c>
      <c r="C94" s="49" t="s">
        <v>45</v>
      </c>
      <c r="D94" s="19">
        <f>SUM(D96:D140)</f>
        <v>18361.514852167944</v>
      </c>
      <c r="E94" s="14">
        <f>100*(N94/1000)/D94</f>
        <v>0.18090167048666708</v>
      </c>
      <c r="F94" s="14">
        <f>100*(O94/1000)/D94</f>
        <v>7.4545012341336911E-2</v>
      </c>
      <c r="N94" s="19">
        <f t="shared" ref="N94:S94" si="26">SUM(N96:N140)</f>
        <v>33216.287094229294</v>
      </c>
      <c r="O94" s="19">
        <f t="shared" si="26"/>
        <v>13687.593512605003</v>
      </c>
      <c r="P94" s="19">
        <f t="shared" si="26"/>
        <v>0</v>
      </c>
      <c r="Q94" s="19">
        <f t="shared" si="26"/>
        <v>17.263849999999998</v>
      </c>
      <c r="R94" s="19">
        <f t="shared" si="26"/>
        <v>26.452600000000004</v>
      </c>
      <c r="S94" s="19">
        <f t="shared" si="26"/>
        <v>1.5459500000000002</v>
      </c>
      <c r="X94" s="44"/>
      <c r="Y94" s="44"/>
    </row>
    <row r="95" spans="1:27" x14ac:dyDescent="0.25">
      <c r="A95" s="1" t="s">
        <v>150</v>
      </c>
      <c r="B95" s="1" t="s">
        <v>134</v>
      </c>
      <c r="C95" s="1" t="s">
        <v>141</v>
      </c>
      <c r="D95" s="2" t="s">
        <v>0</v>
      </c>
      <c r="E95" s="2" t="s">
        <v>10</v>
      </c>
      <c r="F95" s="2" t="s">
        <v>2</v>
      </c>
      <c r="G95" s="2" t="s">
        <v>9</v>
      </c>
      <c r="H95" s="2" t="s">
        <v>1</v>
      </c>
      <c r="I95" s="2" t="s">
        <v>3</v>
      </c>
      <c r="J95" s="2" t="s">
        <v>162</v>
      </c>
      <c r="K95" s="2" t="s">
        <v>163</v>
      </c>
      <c r="L95" s="2" t="s">
        <v>653</v>
      </c>
      <c r="M95" s="2" t="s">
        <v>640</v>
      </c>
      <c r="N95" s="2" t="s">
        <v>11</v>
      </c>
      <c r="O95" s="2" t="s">
        <v>4</v>
      </c>
      <c r="P95" s="2" t="s">
        <v>12</v>
      </c>
      <c r="Q95" s="2" t="s">
        <v>857</v>
      </c>
      <c r="R95" s="2" t="s">
        <v>164</v>
      </c>
      <c r="S95" s="2" t="s">
        <v>165</v>
      </c>
      <c r="T95" s="2" t="s">
        <v>44</v>
      </c>
      <c r="U95" s="2" t="s">
        <v>639</v>
      </c>
      <c r="V95" s="8" t="s">
        <v>5</v>
      </c>
      <c r="W95" s="15" t="s">
        <v>64</v>
      </c>
      <c r="X95" s="44"/>
      <c r="Y95" s="44"/>
    </row>
    <row r="96" spans="1:27" x14ac:dyDescent="0.25">
      <c r="B96" s="31" t="s">
        <v>794</v>
      </c>
      <c r="C96" s="31" t="s">
        <v>142</v>
      </c>
      <c r="D96" s="5">
        <v>593.67346938775518</v>
      </c>
      <c r="E96" s="5">
        <v>0.1854004812650395</v>
      </c>
      <c r="F96" s="5">
        <v>7.1550360948779659E-2</v>
      </c>
      <c r="N96" s="32">
        <f t="shared" ref="N96:N127" si="27">1000*D96*E96/100</f>
        <v>1100.6734693877549</v>
      </c>
      <c r="O96" s="32">
        <f t="shared" ref="O96:O123" si="28">1000*D96*F96/100</f>
        <v>424.77551020408174</v>
      </c>
      <c r="P96" s="31"/>
      <c r="Q96" s="32">
        <f>D96*J96</f>
        <v>0</v>
      </c>
      <c r="R96" s="32">
        <f>D96*K96</f>
        <v>0</v>
      </c>
      <c r="S96" s="32">
        <f>D96*H96</f>
        <v>0</v>
      </c>
      <c r="T96" s="3" t="s">
        <v>45</v>
      </c>
      <c r="U96" s="3" t="s">
        <v>649</v>
      </c>
      <c r="V96" s="4" t="s">
        <v>1001</v>
      </c>
      <c r="X96" s="44" t="s">
        <v>623</v>
      </c>
      <c r="Y96" s="44" t="s">
        <v>580</v>
      </c>
      <c r="Z96" s="3" t="s">
        <v>618</v>
      </c>
      <c r="AA96" s="3" t="s">
        <v>615</v>
      </c>
    </row>
    <row r="97" spans="2:27" x14ac:dyDescent="0.25">
      <c r="B97" s="31" t="s">
        <v>795</v>
      </c>
      <c r="C97" s="48" t="s">
        <v>145</v>
      </c>
      <c r="D97" s="6">
        <v>835.98</v>
      </c>
      <c r="E97" s="5">
        <v>0.13520190674418051</v>
      </c>
      <c r="F97" s="5">
        <v>4.4448838488959058E-2</v>
      </c>
      <c r="N97" s="32">
        <f t="shared" si="27"/>
        <v>1130.2609000000002</v>
      </c>
      <c r="O97" s="32">
        <f t="shared" si="28"/>
        <v>371.58339999999998</v>
      </c>
      <c r="P97" s="31"/>
      <c r="Q97" s="31"/>
      <c r="R97" s="31"/>
      <c r="S97" s="31"/>
      <c r="T97" s="3" t="s">
        <v>45</v>
      </c>
      <c r="U97" s="3" t="s">
        <v>649</v>
      </c>
      <c r="V97" s="4" t="s">
        <v>813</v>
      </c>
      <c r="X97" s="44" t="s">
        <v>623</v>
      </c>
      <c r="Y97" s="44" t="s">
        <v>580</v>
      </c>
      <c r="Z97" s="3" t="s">
        <v>618</v>
      </c>
      <c r="AA97" s="3" t="s">
        <v>608</v>
      </c>
    </row>
    <row r="98" spans="2:27" x14ac:dyDescent="0.25">
      <c r="B98" s="31" t="s">
        <v>308</v>
      </c>
      <c r="C98" s="48" t="s">
        <v>145</v>
      </c>
      <c r="D98" s="6">
        <v>300</v>
      </c>
      <c r="E98" s="5">
        <v>0.19147619047619047</v>
      </c>
      <c r="F98" s="5">
        <v>6.3700680272108845E-2</v>
      </c>
      <c r="N98" s="32">
        <f t="shared" si="27"/>
        <v>574.42857142857133</v>
      </c>
      <c r="O98" s="32">
        <f t="shared" si="28"/>
        <v>191.10204081632656</v>
      </c>
      <c r="P98" s="31"/>
      <c r="Q98" s="32">
        <f t="shared" ref="Q98:Q104" si="29">D98*J98</f>
        <v>0</v>
      </c>
      <c r="R98" s="32">
        <f t="shared" ref="R98:R104" si="30">D98*K98</f>
        <v>0</v>
      </c>
      <c r="S98" s="32">
        <f t="shared" ref="S98:S104" si="31">D98*H98</f>
        <v>0</v>
      </c>
      <c r="T98" s="3" t="s">
        <v>45</v>
      </c>
      <c r="U98" s="3" t="s">
        <v>649</v>
      </c>
      <c r="V98" s="4" t="s">
        <v>1001</v>
      </c>
      <c r="X98" s="44" t="s">
        <v>623</v>
      </c>
      <c r="Y98" s="44" t="s">
        <v>580</v>
      </c>
      <c r="Z98" s="3" t="s">
        <v>607</v>
      </c>
      <c r="AA98" s="3" t="s">
        <v>616</v>
      </c>
    </row>
    <row r="99" spans="2:27" x14ac:dyDescent="0.25">
      <c r="B99" s="31" t="s">
        <v>359</v>
      </c>
      <c r="C99" s="48" t="s">
        <v>145</v>
      </c>
      <c r="D99" s="6">
        <v>605.79</v>
      </c>
      <c r="E99" s="5">
        <v>9.290888756829925E-2</v>
      </c>
      <c r="F99" s="5">
        <v>4.33055415242906E-2</v>
      </c>
      <c r="N99" s="32">
        <f t="shared" ref="N99" si="32">1000*D99*E99/100</f>
        <v>562.83275000000003</v>
      </c>
      <c r="O99" s="32">
        <f t="shared" ref="O99" si="33">1000*D99*F99/100</f>
        <v>262.34064000000001</v>
      </c>
      <c r="P99" s="31"/>
      <c r="Q99" s="32">
        <f t="shared" si="29"/>
        <v>0</v>
      </c>
      <c r="R99" s="32">
        <f t="shared" si="30"/>
        <v>0</v>
      </c>
      <c r="S99" s="32">
        <f t="shared" si="31"/>
        <v>0</v>
      </c>
      <c r="T99" s="3" t="s">
        <v>45</v>
      </c>
      <c r="U99" s="3" t="s">
        <v>649</v>
      </c>
      <c r="V99" s="4" t="s">
        <v>361</v>
      </c>
      <c r="X99" s="44" t="s">
        <v>623</v>
      </c>
      <c r="Y99" s="44" t="s">
        <v>580</v>
      </c>
      <c r="Z99" s="3" t="s">
        <v>607</v>
      </c>
    </row>
    <row r="100" spans="2:27" x14ac:dyDescent="0.25">
      <c r="B100" s="31" t="s">
        <v>304</v>
      </c>
      <c r="C100" s="48" t="s">
        <v>145</v>
      </c>
      <c r="D100" s="6">
        <v>581.59999999999991</v>
      </c>
      <c r="E100" s="5">
        <v>0.14281808803301238</v>
      </c>
      <c r="F100" s="5">
        <v>4.4176409903713895E-2</v>
      </c>
      <c r="N100" s="32">
        <f t="shared" ref="N100:N101" si="34">1000*D100*E100/100</f>
        <v>830.62999999999988</v>
      </c>
      <c r="O100" s="32">
        <f t="shared" ref="O100:O101" si="35">1000*D100*F100/100</f>
        <v>256.92999999999995</v>
      </c>
      <c r="P100" s="31"/>
      <c r="Q100" s="32">
        <f t="shared" si="29"/>
        <v>0</v>
      </c>
      <c r="R100" s="32">
        <f t="shared" si="30"/>
        <v>0</v>
      </c>
      <c r="S100" s="32">
        <f t="shared" si="31"/>
        <v>0</v>
      </c>
      <c r="T100" s="3" t="s">
        <v>45</v>
      </c>
      <c r="U100" s="3" t="s">
        <v>649</v>
      </c>
      <c r="V100" s="4" t="s">
        <v>306</v>
      </c>
      <c r="X100" s="44" t="s">
        <v>623</v>
      </c>
      <c r="Y100" s="44" t="s">
        <v>580</v>
      </c>
      <c r="Z100" s="3" t="s">
        <v>607</v>
      </c>
    </row>
    <row r="101" spans="2:27" x14ac:dyDescent="0.25">
      <c r="B101" s="31" t="s">
        <v>796</v>
      </c>
      <c r="C101" s="31" t="s">
        <v>142</v>
      </c>
      <c r="D101" s="6">
        <v>483.79999999999995</v>
      </c>
      <c r="E101" s="5">
        <v>0.13431583298883837</v>
      </c>
      <c r="F101" s="5">
        <v>3.8631665977676727E-2</v>
      </c>
      <c r="N101" s="32">
        <f t="shared" si="34"/>
        <v>649.81999999999994</v>
      </c>
      <c r="O101" s="32">
        <f t="shared" si="35"/>
        <v>186.9</v>
      </c>
      <c r="P101" s="31"/>
      <c r="Q101" s="32">
        <f t="shared" si="29"/>
        <v>0</v>
      </c>
      <c r="R101" s="32">
        <f t="shared" si="30"/>
        <v>0</v>
      </c>
      <c r="S101" s="32">
        <f t="shared" si="31"/>
        <v>0</v>
      </c>
      <c r="T101" s="3" t="s">
        <v>45</v>
      </c>
      <c r="U101" s="3" t="s">
        <v>649</v>
      </c>
      <c r="V101" s="4" t="s">
        <v>814</v>
      </c>
      <c r="X101" s="44" t="s">
        <v>623</v>
      </c>
      <c r="Y101" s="44" t="s">
        <v>580</v>
      </c>
      <c r="Z101" s="3" t="s">
        <v>607</v>
      </c>
    </row>
    <row r="102" spans="2:27" x14ac:dyDescent="0.25">
      <c r="B102" s="31" t="s">
        <v>302</v>
      </c>
      <c r="C102" s="31" t="s">
        <v>142</v>
      </c>
      <c r="D102" s="6">
        <v>380.6</v>
      </c>
      <c r="E102" s="5">
        <v>0.18852338413032055</v>
      </c>
      <c r="F102" s="5">
        <v>5.8544403573305301E-2</v>
      </c>
      <c r="N102" s="32">
        <f t="shared" si="27"/>
        <v>717.52</v>
      </c>
      <c r="O102" s="32">
        <f t="shared" si="28"/>
        <v>222.81999999999996</v>
      </c>
      <c r="P102" s="31"/>
      <c r="Q102" s="32">
        <f t="shared" si="29"/>
        <v>0</v>
      </c>
      <c r="R102" s="32">
        <f t="shared" si="30"/>
        <v>0</v>
      </c>
      <c r="S102" s="32">
        <f t="shared" si="31"/>
        <v>0</v>
      </c>
      <c r="T102" s="3" t="s">
        <v>45</v>
      </c>
      <c r="U102" s="3" t="s">
        <v>649</v>
      </c>
      <c r="V102" s="4" t="s">
        <v>306</v>
      </c>
      <c r="X102" s="44" t="s">
        <v>623</v>
      </c>
      <c r="Y102" s="44" t="s">
        <v>580</v>
      </c>
      <c r="Z102" s="3" t="s">
        <v>607</v>
      </c>
      <c r="AA102" s="3" t="s">
        <v>619</v>
      </c>
    </row>
    <row r="103" spans="2:27" x14ac:dyDescent="0.25">
      <c r="B103" s="31" t="s">
        <v>366</v>
      </c>
      <c r="C103" s="48" t="s">
        <v>145</v>
      </c>
      <c r="D103" s="5">
        <v>132.480493</v>
      </c>
      <c r="E103" s="5">
        <v>0.12176819130647408</v>
      </c>
      <c r="F103" s="5">
        <v>7.7653716241831927E-2</v>
      </c>
      <c r="N103" s="32">
        <f t="shared" si="27"/>
        <v>161.31910015999998</v>
      </c>
      <c r="O103" s="32">
        <f t="shared" si="28"/>
        <v>102.87602611</v>
      </c>
      <c r="P103" s="31"/>
      <c r="Q103" s="32">
        <f t="shared" si="29"/>
        <v>0</v>
      </c>
      <c r="R103" s="32">
        <f t="shared" si="30"/>
        <v>0</v>
      </c>
      <c r="S103" s="32">
        <f t="shared" si="31"/>
        <v>0</v>
      </c>
      <c r="T103" s="3" t="s">
        <v>45</v>
      </c>
      <c r="U103" s="3" t="s">
        <v>649</v>
      </c>
      <c r="V103" s="4" t="s">
        <v>367</v>
      </c>
      <c r="X103" s="44" t="s">
        <v>623</v>
      </c>
      <c r="Y103" s="44" t="s">
        <v>580</v>
      </c>
      <c r="Z103" s="3" t="s">
        <v>607</v>
      </c>
      <c r="AA103" s="3" t="s">
        <v>617</v>
      </c>
    </row>
    <row r="104" spans="2:27" x14ac:dyDescent="0.25">
      <c r="B104" s="31" t="s">
        <v>797</v>
      </c>
      <c r="C104" s="31" t="s">
        <v>142</v>
      </c>
      <c r="D104" s="5">
        <v>264.26829268292687</v>
      </c>
      <c r="E104" s="5">
        <v>0.14563451776649747</v>
      </c>
      <c r="F104" s="5">
        <v>9.3756345177664957E-2</v>
      </c>
      <c r="N104" s="32">
        <f t="shared" si="27"/>
        <v>384.86585365853665</v>
      </c>
      <c r="O104" s="32">
        <f t="shared" si="28"/>
        <v>247.76829268292681</v>
      </c>
      <c r="P104" s="31"/>
      <c r="Q104" s="32">
        <f t="shared" si="29"/>
        <v>0</v>
      </c>
      <c r="R104" s="32">
        <f t="shared" si="30"/>
        <v>0</v>
      </c>
      <c r="S104" s="32">
        <f t="shared" si="31"/>
        <v>0</v>
      </c>
      <c r="T104" s="3" t="s">
        <v>45</v>
      </c>
      <c r="U104" s="3" t="s">
        <v>649</v>
      </c>
      <c r="V104" s="4" t="s">
        <v>815</v>
      </c>
      <c r="X104" s="44" t="s">
        <v>623</v>
      </c>
      <c r="Y104" s="44" t="s">
        <v>580</v>
      </c>
      <c r="Z104" s="3" t="s">
        <v>607</v>
      </c>
      <c r="AA104" s="3" t="s">
        <v>616</v>
      </c>
    </row>
    <row r="105" spans="2:27" x14ac:dyDescent="0.25">
      <c r="B105" s="31" t="s">
        <v>798</v>
      </c>
      <c r="C105" s="31" t="s">
        <v>142</v>
      </c>
      <c r="D105" s="5">
        <v>151.21951219512195</v>
      </c>
      <c r="E105" s="5">
        <v>0.15509677419354842</v>
      </c>
      <c r="F105" s="5">
        <v>0.10006451612903226</v>
      </c>
      <c r="L105" s="5">
        <f>(0.83*148.559+0.85*287.2)/$D105</f>
        <v>2.4297391564516126</v>
      </c>
      <c r="N105" s="32">
        <f t="shared" si="27"/>
        <v>234.53658536585371</v>
      </c>
      <c r="O105" s="32">
        <f t="shared" si="28"/>
        <v>151.31707317073173</v>
      </c>
      <c r="P105" s="31"/>
      <c r="Q105" s="31"/>
      <c r="R105" s="31"/>
      <c r="S105" s="31"/>
      <c r="T105" s="50" t="s">
        <v>644</v>
      </c>
      <c r="U105" s="3" t="s">
        <v>649</v>
      </c>
      <c r="V105" s="4" t="s">
        <v>816</v>
      </c>
      <c r="X105" s="44" t="s">
        <v>623</v>
      </c>
      <c r="Y105" s="44" t="s">
        <v>580</v>
      </c>
      <c r="Z105" s="3" t="s">
        <v>620</v>
      </c>
    </row>
    <row r="106" spans="2:27" x14ac:dyDescent="0.25">
      <c r="B106" s="31" t="s">
        <v>799</v>
      </c>
      <c r="C106" s="48" t="s">
        <v>145</v>
      </c>
      <c r="D106" s="5">
        <v>121.42099999999999</v>
      </c>
      <c r="E106" s="5">
        <v>0.13174304856655766</v>
      </c>
      <c r="F106" s="5">
        <v>9.215851211899094E-2</v>
      </c>
      <c r="N106" s="32">
        <f t="shared" si="27"/>
        <v>159.96372699999995</v>
      </c>
      <c r="O106" s="32">
        <f t="shared" si="28"/>
        <v>111.89978699999998</v>
      </c>
      <c r="P106" s="31"/>
      <c r="Q106" s="32">
        <f t="shared" ref="Q106:Q113" si="36">D106*J106</f>
        <v>0</v>
      </c>
      <c r="R106" s="32">
        <f t="shared" ref="R106:R113" si="37">D106*K106</f>
        <v>0</v>
      </c>
      <c r="S106" s="32">
        <f t="shared" ref="S106:S113" si="38">D106*H106</f>
        <v>0</v>
      </c>
      <c r="T106" s="3" t="s">
        <v>45</v>
      </c>
      <c r="U106" s="3" t="s">
        <v>649</v>
      </c>
      <c r="V106" s="4" t="s">
        <v>817</v>
      </c>
      <c r="X106" s="44" t="s">
        <v>623</v>
      </c>
      <c r="Y106" s="44" t="s">
        <v>580</v>
      </c>
      <c r="Z106" s="3" t="s">
        <v>607</v>
      </c>
      <c r="AA106" s="3" t="s">
        <v>616</v>
      </c>
    </row>
    <row r="107" spans="2:27" x14ac:dyDescent="0.25">
      <c r="B107" s="31" t="s">
        <v>800</v>
      </c>
      <c r="C107" s="48" t="s">
        <v>145</v>
      </c>
      <c r="D107" s="5">
        <v>24.634146341463417</v>
      </c>
      <c r="E107" s="5">
        <v>0.19360000000000002</v>
      </c>
      <c r="F107" s="5">
        <v>8.5300000000000015E-2</v>
      </c>
      <c r="N107" s="32">
        <f t="shared" ref="N107" si="39">1000*D107*E107/100</f>
        <v>47.691707317073181</v>
      </c>
      <c r="O107" s="32">
        <f t="shared" ref="O107" si="40">1000*D107*F107/100</f>
        <v>21.012926829268299</v>
      </c>
      <c r="P107" s="31"/>
      <c r="Q107" s="32">
        <f t="shared" si="36"/>
        <v>0</v>
      </c>
      <c r="R107" s="32">
        <f t="shared" si="37"/>
        <v>0</v>
      </c>
      <c r="S107" s="32">
        <f t="shared" si="38"/>
        <v>0</v>
      </c>
      <c r="T107" s="3" t="s">
        <v>45</v>
      </c>
      <c r="U107" s="3" t="s">
        <v>649</v>
      </c>
      <c r="V107" s="4" t="s">
        <v>818</v>
      </c>
      <c r="X107" s="44" t="s">
        <v>623</v>
      </c>
      <c r="Y107" s="44" t="s">
        <v>580</v>
      </c>
      <c r="Z107" s="3" t="s">
        <v>607</v>
      </c>
      <c r="AA107" s="3" t="s">
        <v>599</v>
      </c>
    </row>
    <row r="108" spans="2:27" x14ac:dyDescent="0.25">
      <c r="B108" s="31" t="s">
        <v>801</v>
      </c>
      <c r="C108" s="48" t="s">
        <v>145</v>
      </c>
      <c r="D108" s="5">
        <v>20.478999999999999</v>
      </c>
      <c r="E108" s="5">
        <v>2.3979168904731677E-2</v>
      </c>
      <c r="F108" s="5">
        <v>1.0737550661653401E-2</v>
      </c>
      <c r="N108" s="32">
        <f t="shared" si="27"/>
        <v>4.9106940000000003</v>
      </c>
      <c r="O108" s="32">
        <f t="shared" si="28"/>
        <v>2.1989429999999999</v>
      </c>
      <c r="P108" s="31"/>
      <c r="Q108" s="32">
        <f t="shared" si="36"/>
        <v>0</v>
      </c>
      <c r="R108" s="32">
        <f t="shared" si="37"/>
        <v>0</v>
      </c>
      <c r="S108" s="32">
        <f t="shared" si="38"/>
        <v>0</v>
      </c>
      <c r="T108" s="3" t="s">
        <v>45</v>
      </c>
      <c r="U108" s="3" t="s">
        <v>649</v>
      </c>
      <c r="V108" s="4" t="s">
        <v>817</v>
      </c>
      <c r="X108" s="44" t="s">
        <v>623</v>
      </c>
      <c r="Y108" s="44" t="s">
        <v>580</v>
      </c>
      <c r="Z108" s="3" t="s">
        <v>607</v>
      </c>
      <c r="AA108" s="3" t="s">
        <v>616</v>
      </c>
    </row>
    <row r="109" spans="2:27" x14ac:dyDescent="0.25">
      <c r="B109" s="31" t="s">
        <v>958</v>
      </c>
      <c r="C109" s="48" t="s">
        <v>145</v>
      </c>
      <c r="D109" s="5">
        <v>1.075</v>
      </c>
      <c r="E109" s="5">
        <v>9.8000000000000004E-2</v>
      </c>
      <c r="F109" s="5">
        <v>1.0999999999999999E-2</v>
      </c>
      <c r="N109" s="32">
        <f t="shared" ref="N109" si="41">1000*D109*E109/100</f>
        <v>1.0535000000000001</v>
      </c>
      <c r="O109" s="32">
        <f t="shared" ref="O109" si="42">1000*D109*F109/100</f>
        <v>0.11824999999999999</v>
      </c>
      <c r="P109" s="31"/>
      <c r="Q109" s="32">
        <f t="shared" si="36"/>
        <v>0</v>
      </c>
      <c r="R109" s="32">
        <f t="shared" si="37"/>
        <v>0</v>
      </c>
      <c r="S109" s="32">
        <f t="shared" si="38"/>
        <v>0</v>
      </c>
      <c r="T109" s="3" t="s">
        <v>45</v>
      </c>
      <c r="U109" s="3" t="s">
        <v>649</v>
      </c>
      <c r="V109" s="4" t="s">
        <v>817</v>
      </c>
      <c r="X109" s="44" t="s">
        <v>623</v>
      </c>
      <c r="Y109" s="44" t="s">
        <v>580</v>
      </c>
      <c r="Z109" s="3" t="s">
        <v>607</v>
      </c>
    </row>
    <row r="110" spans="2:27" x14ac:dyDescent="0.25">
      <c r="B110" s="31" t="s">
        <v>360</v>
      </c>
      <c r="C110" s="48" t="s">
        <v>145</v>
      </c>
      <c r="D110" s="6">
        <v>15.89</v>
      </c>
      <c r="E110" s="5">
        <v>7.0000000000000007E-2</v>
      </c>
      <c r="F110" s="5">
        <v>2.5999999999999999E-2</v>
      </c>
      <c r="N110" s="32">
        <f t="shared" ref="N110" si="43">1000*D110*E110/100</f>
        <v>11.123000000000001</v>
      </c>
      <c r="O110" s="32">
        <f t="shared" ref="O110" si="44">1000*D110*F110/100</f>
        <v>4.1314000000000002</v>
      </c>
      <c r="P110" s="31"/>
      <c r="Q110" s="32">
        <f t="shared" si="36"/>
        <v>0</v>
      </c>
      <c r="R110" s="32">
        <f t="shared" si="37"/>
        <v>0</v>
      </c>
      <c r="S110" s="32">
        <f t="shared" si="38"/>
        <v>0</v>
      </c>
      <c r="T110" s="3" t="s">
        <v>45</v>
      </c>
      <c r="U110" s="3" t="s">
        <v>649</v>
      </c>
      <c r="V110" s="4" t="s">
        <v>361</v>
      </c>
      <c r="X110" s="44" t="s">
        <v>623</v>
      </c>
      <c r="Y110" s="44" t="s">
        <v>580</v>
      </c>
      <c r="Z110" s="3" t="s">
        <v>607</v>
      </c>
    </row>
    <row r="111" spans="2:27" x14ac:dyDescent="0.25">
      <c r="B111" s="31" t="s">
        <v>374</v>
      </c>
      <c r="C111" s="48" t="s">
        <v>145</v>
      </c>
      <c r="D111" s="6">
        <v>196.68</v>
      </c>
      <c r="E111" s="5">
        <v>0.22291234492576772</v>
      </c>
      <c r="F111" s="5">
        <v>9.6199918649583077E-2</v>
      </c>
      <c r="N111" s="32">
        <f t="shared" ref="N111" si="45">1000*D111*E111/100</f>
        <v>438.42399999999992</v>
      </c>
      <c r="O111" s="32">
        <f t="shared" ref="O111" si="46">1000*D111*F111/100</f>
        <v>189.20599999999999</v>
      </c>
      <c r="P111" s="31"/>
      <c r="Q111" s="32">
        <f t="shared" si="36"/>
        <v>0</v>
      </c>
      <c r="R111" s="32">
        <f t="shared" si="37"/>
        <v>0</v>
      </c>
      <c r="S111" s="32">
        <f t="shared" si="38"/>
        <v>0</v>
      </c>
      <c r="T111" s="3" t="s">
        <v>45</v>
      </c>
      <c r="U111" s="3" t="s">
        <v>649</v>
      </c>
      <c r="V111" s="4" t="s">
        <v>375</v>
      </c>
      <c r="X111" s="44" t="s">
        <v>623</v>
      </c>
      <c r="Y111" s="44" t="s">
        <v>580</v>
      </c>
      <c r="Z111" s="3" t="s">
        <v>607</v>
      </c>
    </row>
    <row r="112" spans="2:27" x14ac:dyDescent="0.25">
      <c r="B112" s="31" t="s">
        <v>802</v>
      </c>
      <c r="C112" s="31" t="s">
        <v>142</v>
      </c>
      <c r="D112" s="5">
        <v>890.97560975609758</v>
      </c>
      <c r="E112" s="5">
        <v>8.8554612647139319E-2</v>
      </c>
      <c r="F112" s="5">
        <v>4.51327675882836E-2</v>
      </c>
      <c r="N112" s="32">
        <f t="shared" si="27"/>
        <v>788.99999999999989</v>
      </c>
      <c r="O112" s="32">
        <f t="shared" si="28"/>
        <v>402.1219512195122</v>
      </c>
      <c r="P112" s="31"/>
      <c r="Q112" s="32">
        <f t="shared" si="36"/>
        <v>0</v>
      </c>
      <c r="R112" s="32">
        <f t="shared" si="37"/>
        <v>0</v>
      </c>
      <c r="S112" s="32">
        <f t="shared" si="38"/>
        <v>0</v>
      </c>
      <c r="T112" s="3" t="s">
        <v>45</v>
      </c>
      <c r="U112" s="3" t="s">
        <v>649</v>
      </c>
      <c r="V112" s="4" t="s">
        <v>815</v>
      </c>
      <c r="X112" s="44" t="s">
        <v>623</v>
      </c>
      <c r="Y112" s="44" t="s">
        <v>580</v>
      </c>
      <c r="Z112" s="3" t="s">
        <v>607</v>
      </c>
      <c r="AA112" s="3" t="s">
        <v>599</v>
      </c>
    </row>
    <row r="113" spans="2:27" x14ac:dyDescent="0.25">
      <c r="B113" s="31" t="s">
        <v>299</v>
      </c>
      <c r="C113" s="31" t="s">
        <v>142</v>
      </c>
      <c r="D113" s="6">
        <v>448.69999999999993</v>
      </c>
      <c r="E113" s="5">
        <v>0.16343213728549144</v>
      </c>
      <c r="F113" s="5">
        <v>3.7920659683530207E-2</v>
      </c>
      <c r="N113" s="32">
        <f t="shared" ref="N113" si="47">1000*D113*E113/100</f>
        <v>733.32</v>
      </c>
      <c r="O113" s="32">
        <f t="shared" ref="O113" si="48">1000*D113*F113/100</f>
        <v>170.15</v>
      </c>
      <c r="P113" s="31"/>
      <c r="Q113" s="32">
        <f t="shared" si="36"/>
        <v>0</v>
      </c>
      <c r="R113" s="32">
        <f t="shared" si="37"/>
        <v>0</v>
      </c>
      <c r="S113" s="32">
        <f t="shared" si="38"/>
        <v>0</v>
      </c>
      <c r="T113" s="3" t="s">
        <v>45</v>
      </c>
      <c r="U113" s="3" t="s">
        <v>649</v>
      </c>
      <c r="V113" s="4" t="s">
        <v>306</v>
      </c>
      <c r="X113" s="44" t="s">
        <v>623</v>
      </c>
      <c r="Y113" s="44" t="s">
        <v>580</v>
      </c>
      <c r="Z113" s="3" t="s">
        <v>607</v>
      </c>
      <c r="AA113" s="3" t="s">
        <v>599</v>
      </c>
    </row>
    <row r="114" spans="2:27" x14ac:dyDescent="0.25">
      <c r="B114" s="31" t="s">
        <v>301</v>
      </c>
      <c r="C114" s="31" t="s">
        <v>142</v>
      </c>
      <c r="D114" s="5">
        <v>390.60606060606062</v>
      </c>
      <c r="E114" s="5">
        <v>0.16293250581846391</v>
      </c>
      <c r="F114" s="5">
        <v>5.3568657874321184E-2</v>
      </c>
      <c r="N114" s="32">
        <f t="shared" si="27"/>
        <v>636.42424242424238</v>
      </c>
      <c r="O114" s="32">
        <f t="shared" si="28"/>
        <v>209.24242424242428</v>
      </c>
      <c r="P114" s="31"/>
      <c r="Q114" s="31"/>
      <c r="R114" s="31"/>
      <c r="S114" s="31"/>
      <c r="T114" s="3" t="s">
        <v>45</v>
      </c>
      <c r="U114" s="3" t="s">
        <v>649</v>
      </c>
      <c r="V114" s="4" t="s">
        <v>819</v>
      </c>
      <c r="X114" s="44" t="s">
        <v>623</v>
      </c>
      <c r="Y114" s="44" t="s">
        <v>580</v>
      </c>
      <c r="Z114" s="3" t="s">
        <v>618</v>
      </c>
      <c r="AA114" s="3" t="s">
        <v>615</v>
      </c>
    </row>
    <row r="115" spans="2:27" x14ac:dyDescent="0.25">
      <c r="B115" s="31" t="s">
        <v>778</v>
      </c>
      <c r="C115" s="31" t="s">
        <v>142</v>
      </c>
      <c r="D115" s="5">
        <v>252.94117647058823</v>
      </c>
      <c r="E115" s="5">
        <v>0.15642790697674416</v>
      </c>
      <c r="F115" s="5">
        <v>2.9897674418604653E-2</v>
      </c>
      <c r="N115" s="32">
        <f t="shared" si="27"/>
        <v>395.67058823529408</v>
      </c>
      <c r="O115" s="32">
        <f t="shared" si="28"/>
        <v>75.623529411764707</v>
      </c>
      <c r="P115" s="31"/>
      <c r="Q115" s="32">
        <f t="shared" ref="Q115:Q123" si="49">D115*J115</f>
        <v>0</v>
      </c>
      <c r="R115" s="32">
        <f t="shared" ref="R115:R123" si="50">D115*K115</f>
        <v>0</v>
      </c>
      <c r="S115" s="32">
        <f t="shared" ref="S115:S123" si="51">D115*H115</f>
        <v>0</v>
      </c>
      <c r="T115" s="3" t="s">
        <v>45</v>
      </c>
      <c r="U115" s="3" t="s">
        <v>649</v>
      </c>
      <c r="V115" s="4" t="s">
        <v>306</v>
      </c>
      <c r="X115" s="44" t="s">
        <v>623</v>
      </c>
      <c r="Y115" s="44" t="s">
        <v>580</v>
      </c>
      <c r="Z115" s="3" t="s">
        <v>607</v>
      </c>
      <c r="AA115" s="3" t="s">
        <v>617</v>
      </c>
    </row>
    <row r="116" spans="2:27" x14ac:dyDescent="0.25">
      <c r="B116" s="31" t="s">
        <v>300</v>
      </c>
      <c r="C116" s="31" t="s">
        <v>142</v>
      </c>
      <c r="D116" s="6">
        <v>179.6</v>
      </c>
      <c r="E116" s="5">
        <v>0.14757238307349668</v>
      </c>
      <c r="F116" s="5">
        <v>2.6102449888641431E-2</v>
      </c>
      <c r="N116" s="32">
        <f t="shared" si="27"/>
        <v>265.04000000000002</v>
      </c>
      <c r="O116" s="32">
        <f t="shared" si="28"/>
        <v>46.88000000000001</v>
      </c>
      <c r="P116" s="31"/>
      <c r="Q116" s="32">
        <f t="shared" si="49"/>
        <v>0</v>
      </c>
      <c r="R116" s="32">
        <f t="shared" si="50"/>
        <v>0</v>
      </c>
      <c r="S116" s="32">
        <f t="shared" si="51"/>
        <v>0</v>
      </c>
      <c r="T116" s="3" t="s">
        <v>45</v>
      </c>
      <c r="U116" s="3" t="s">
        <v>649</v>
      </c>
      <c r="V116" s="4" t="s">
        <v>306</v>
      </c>
      <c r="X116" s="44" t="s">
        <v>623</v>
      </c>
      <c r="Y116" s="44" t="s">
        <v>580</v>
      </c>
      <c r="Z116" s="3" t="s">
        <v>607</v>
      </c>
      <c r="AA116" s="3" t="s">
        <v>599</v>
      </c>
    </row>
    <row r="117" spans="2:27" x14ac:dyDescent="0.25">
      <c r="B117" s="31" t="s">
        <v>779</v>
      </c>
      <c r="C117" s="31" t="s">
        <v>142</v>
      </c>
      <c r="D117" s="5">
        <v>171.54662840746056</v>
      </c>
      <c r="E117" s="5">
        <v>0.03</v>
      </c>
      <c r="F117" s="5">
        <v>0.01</v>
      </c>
      <c r="N117" s="32">
        <f t="shared" si="27"/>
        <v>51.463988522238161</v>
      </c>
      <c r="O117" s="32">
        <f t="shared" si="28"/>
        <v>17.154662840746056</v>
      </c>
      <c r="P117" s="31"/>
      <c r="Q117" s="32">
        <f t="shared" si="49"/>
        <v>0</v>
      </c>
      <c r="R117" s="32">
        <f t="shared" si="50"/>
        <v>0</v>
      </c>
      <c r="S117" s="32">
        <f t="shared" si="51"/>
        <v>0</v>
      </c>
      <c r="T117" s="3" t="s">
        <v>45</v>
      </c>
      <c r="U117" s="3" t="s">
        <v>649</v>
      </c>
      <c r="V117" s="4" t="s">
        <v>820</v>
      </c>
      <c r="X117" s="44" t="s">
        <v>623</v>
      </c>
      <c r="Y117" s="44" t="s">
        <v>580</v>
      </c>
      <c r="Z117" s="3" t="s">
        <v>607</v>
      </c>
      <c r="AA117" s="3" t="s">
        <v>599</v>
      </c>
    </row>
    <row r="118" spans="2:27" x14ac:dyDescent="0.25">
      <c r="B118" s="31" t="s">
        <v>298</v>
      </c>
      <c r="C118" s="31" t="s">
        <v>142</v>
      </c>
      <c r="D118" s="6">
        <v>135.5</v>
      </c>
      <c r="E118" s="5">
        <v>0.13044280442804426</v>
      </c>
      <c r="F118" s="5">
        <v>3.232472324723247E-2</v>
      </c>
      <c r="N118" s="32">
        <f t="shared" si="27"/>
        <v>176.74999999999997</v>
      </c>
      <c r="O118" s="32">
        <f t="shared" si="28"/>
        <v>43.8</v>
      </c>
      <c r="P118" s="31"/>
      <c r="Q118" s="32">
        <f t="shared" si="49"/>
        <v>0</v>
      </c>
      <c r="R118" s="32">
        <f t="shared" si="50"/>
        <v>0</v>
      </c>
      <c r="S118" s="32">
        <f t="shared" si="51"/>
        <v>0</v>
      </c>
      <c r="T118" s="3" t="s">
        <v>45</v>
      </c>
      <c r="U118" s="3" t="s">
        <v>649</v>
      </c>
      <c r="V118" s="4" t="s">
        <v>306</v>
      </c>
      <c r="X118" s="44" t="s">
        <v>623</v>
      </c>
      <c r="Y118" s="44" t="s">
        <v>580</v>
      </c>
      <c r="Z118" s="3" t="s">
        <v>607</v>
      </c>
      <c r="AA118" s="3" t="s">
        <v>599</v>
      </c>
    </row>
    <row r="119" spans="2:27" x14ac:dyDescent="0.25">
      <c r="B119" s="31" t="s">
        <v>803</v>
      </c>
      <c r="C119" s="31" t="s">
        <v>142</v>
      </c>
      <c r="D119" s="6">
        <v>55.900000000000006</v>
      </c>
      <c r="E119" s="5">
        <v>0.16232558139534886</v>
      </c>
      <c r="F119" s="5">
        <v>5.3148479427549189E-2</v>
      </c>
      <c r="N119" s="32">
        <f t="shared" ref="N119" si="52">1000*D119*E119/100</f>
        <v>90.740000000000023</v>
      </c>
      <c r="O119" s="32">
        <f t="shared" ref="O119" si="53">1000*D119*F119/100</f>
        <v>29.71</v>
      </c>
      <c r="P119" s="31"/>
      <c r="Q119" s="32">
        <f t="shared" ref="Q119" si="54">D119*J119</f>
        <v>0</v>
      </c>
      <c r="R119" s="32">
        <f t="shared" ref="R119" si="55">D119*K119</f>
        <v>0</v>
      </c>
      <c r="S119" s="32">
        <f t="shared" ref="S119" si="56">D119*H119</f>
        <v>0</v>
      </c>
      <c r="T119" s="3" t="s">
        <v>45</v>
      </c>
      <c r="U119" s="3" t="s">
        <v>649</v>
      </c>
      <c r="V119" s="4" t="s">
        <v>306</v>
      </c>
      <c r="X119" s="44" t="s">
        <v>623</v>
      </c>
      <c r="Y119" s="44" t="s">
        <v>580</v>
      </c>
      <c r="Z119" s="3" t="s">
        <v>607</v>
      </c>
      <c r="AA119" s="3" t="s">
        <v>599</v>
      </c>
    </row>
    <row r="120" spans="2:27" x14ac:dyDescent="0.25">
      <c r="B120" s="31" t="s">
        <v>296</v>
      </c>
      <c r="C120" s="31" t="s">
        <v>142</v>
      </c>
      <c r="D120" s="6">
        <v>101.6</v>
      </c>
      <c r="E120" s="5">
        <v>0.13251968503937012</v>
      </c>
      <c r="F120" s="5">
        <v>3.090551181102362E-2</v>
      </c>
      <c r="N120" s="32">
        <f t="shared" si="27"/>
        <v>134.64000000000004</v>
      </c>
      <c r="O120" s="32">
        <f t="shared" si="28"/>
        <v>31.4</v>
      </c>
      <c r="P120" s="31"/>
      <c r="Q120" s="32">
        <f t="shared" si="49"/>
        <v>0</v>
      </c>
      <c r="R120" s="32">
        <f t="shared" si="50"/>
        <v>0</v>
      </c>
      <c r="S120" s="32">
        <f t="shared" si="51"/>
        <v>0</v>
      </c>
      <c r="T120" s="3" t="s">
        <v>45</v>
      </c>
      <c r="U120" s="3" t="s">
        <v>649</v>
      </c>
      <c r="V120" s="4" t="s">
        <v>306</v>
      </c>
      <c r="X120" s="44" t="s">
        <v>623</v>
      </c>
      <c r="Y120" s="44" t="s">
        <v>580</v>
      </c>
      <c r="Z120" s="3" t="s">
        <v>607</v>
      </c>
      <c r="AA120" s="3" t="s">
        <v>599</v>
      </c>
    </row>
    <row r="121" spans="2:27" x14ac:dyDescent="0.25">
      <c r="B121" s="31" t="s">
        <v>295</v>
      </c>
      <c r="C121" s="31" t="s">
        <v>142</v>
      </c>
      <c r="D121" s="6">
        <v>85.4</v>
      </c>
      <c r="E121" s="5">
        <v>0.13151053864168619</v>
      </c>
      <c r="F121" s="5">
        <v>3.1814988290398132E-2</v>
      </c>
      <c r="N121" s="32">
        <f t="shared" si="27"/>
        <v>112.31</v>
      </c>
      <c r="O121" s="32">
        <f t="shared" si="28"/>
        <v>27.170000000000005</v>
      </c>
      <c r="P121" s="31"/>
      <c r="Q121" s="32">
        <f t="shared" si="49"/>
        <v>0</v>
      </c>
      <c r="R121" s="32">
        <f t="shared" si="50"/>
        <v>0</v>
      </c>
      <c r="S121" s="32">
        <f t="shared" si="51"/>
        <v>0</v>
      </c>
      <c r="T121" s="3" t="s">
        <v>45</v>
      </c>
      <c r="U121" s="3" t="s">
        <v>649</v>
      </c>
      <c r="V121" s="4" t="s">
        <v>306</v>
      </c>
      <c r="X121" s="44" t="s">
        <v>623</v>
      </c>
      <c r="Y121" s="44" t="s">
        <v>580</v>
      </c>
      <c r="Z121" s="3" t="s">
        <v>607</v>
      </c>
      <c r="AA121" s="3" t="s">
        <v>599</v>
      </c>
    </row>
    <row r="122" spans="2:27" x14ac:dyDescent="0.25">
      <c r="B122" s="31" t="s">
        <v>804</v>
      </c>
      <c r="C122" s="31" t="s">
        <v>142</v>
      </c>
      <c r="D122" s="5">
        <v>104.16200000000001</v>
      </c>
      <c r="E122" s="5">
        <v>7.4109094487433039E-2</v>
      </c>
      <c r="F122" s="5">
        <v>1.9098587776732394E-2</v>
      </c>
      <c r="N122" s="32">
        <f t="shared" si="27"/>
        <v>77.193514999999991</v>
      </c>
      <c r="O122" s="32">
        <f t="shared" si="28"/>
        <v>19.893470999999995</v>
      </c>
      <c r="P122" s="31"/>
      <c r="Q122" s="32">
        <f t="shared" si="49"/>
        <v>0</v>
      </c>
      <c r="R122" s="32">
        <f t="shared" si="50"/>
        <v>0</v>
      </c>
      <c r="S122" s="32">
        <f t="shared" si="51"/>
        <v>0</v>
      </c>
      <c r="T122" s="3" t="s">
        <v>45</v>
      </c>
      <c r="U122" s="3" t="s">
        <v>649</v>
      </c>
      <c r="V122" s="4" t="s">
        <v>821</v>
      </c>
      <c r="X122" s="44" t="s">
        <v>623</v>
      </c>
      <c r="Y122" s="44" t="s">
        <v>580</v>
      </c>
      <c r="Z122" s="3" t="s">
        <v>618</v>
      </c>
      <c r="AA122" s="3" t="s">
        <v>615</v>
      </c>
    </row>
    <row r="123" spans="2:27" x14ac:dyDescent="0.25">
      <c r="B123" s="31" t="s">
        <v>805</v>
      </c>
      <c r="C123" s="48" t="s">
        <v>145</v>
      </c>
      <c r="D123" s="5">
        <v>5.1340000000000003</v>
      </c>
      <c r="E123" s="5">
        <v>5.1199999999999996E-2</v>
      </c>
      <c r="F123" s="5">
        <v>2.7100000000000003E-2</v>
      </c>
      <c r="N123" s="32">
        <f t="shared" si="27"/>
        <v>2.6286079999999998</v>
      </c>
      <c r="O123" s="32">
        <f t="shared" si="28"/>
        <v>1.3913140000000002</v>
      </c>
      <c r="P123" s="31"/>
      <c r="Q123" s="32">
        <f t="shared" si="49"/>
        <v>0</v>
      </c>
      <c r="R123" s="32">
        <f t="shared" si="50"/>
        <v>0</v>
      </c>
      <c r="S123" s="32">
        <f t="shared" si="51"/>
        <v>0</v>
      </c>
      <c r="T123" s="3" t="s">
        <v>45</v>
      </c>
      <c r="U123" s="3" t="s">
        <v>649</v>
      </c>
      <c r="V123" s="4" t="s">
        <v>817</v>
      </c>
      <c r="X123" s="44" t="s">
        <v>623</v>
      </c>
      <c r="Y123" s="44" t="s">
        <v>580</v>
      </c>
      <c r="Z123" s="3" t="s">
        <v>607</v>
      </c>
      <c r="AA123" s="3" t="s">
        <v>599</v>
      </c>
    </row>
    <row r="124" spans="2:27" x14ac:dyDescent="0.25">
      <c r="B124" s="3" t="s">
        <v>806</v>
      </c>
      <c r="C124" s="48" t="s">
        <v>145</v>
      </c>
      <c r="D124" s="5">
        <v>16.331</v>
      </c>
      <c r="E124" s="5">
        <v>8.9399999999999993E-2</v>
      </c>
      <c r="F124" s="5">
        <v>3.1399999999999997E-2</v>
      </c>
      <c r="N124" s="32">
        <f t="shared" si="27"/>
        <v>14.599913999999998</v>
      </c>
      <c r="T124" s="3" t="s">
        <v>45</v>
      </c>
      <c r="U124" s="3" t="s">
        <v>649</v>
      </c>
      <c r="V124" s="4" t="s">
        <v>817</v>
      </c>
      <c r="X124" s="44" t="s">
        <v>623</v>
      </c>
      <c r="Y124" s="44" t="s">
        <v>986</v>
      </c>
      <c r="Z124" s="3" t="s">
        <v>578</v>
      </c>
    </row>
    <row r="125" spans="2:27" x14ac:dyDescent="0.25">
      <c r="B125" s="3" t="s">
        <v>297</v>
      </c>
      <c r="C125" s="31" t="s">
        <v>142</v>
      </c>
      <c r="D125" s="6">
        <v>83</v>
      </c>
      <c r="E125" s="5">
        <v>0.11404819277108436</v>
      </c>
      <c r="F125" s="5">
        <v>2.149397590361446E-2</v>
      </c>
      <c r="N125" s="32">
        <f t="shared" si="27"/>
        <v>94.660000000000025</v>
      </c>
      <c r="O125" s="32">
        <f>1000*D125*F125/100</f>
        <v>17.840000000000003</v>
      </c>
      <c r="P125" s="31"/>
      <c r="Q125" s="32">
        <f>D125*J125</f>
        <v>0</v>
      </c>
      <c r="R125" s="32">
        <f>D125*K125</f>
        <v>0</v>
      </c>
      <c r="S125" s="32">
        <f>D125*H125</f>
        <v>0</v>
      </c>
      <c r="T125" s="3" t="s">
        <v>45</v>
      </c>
      <c r="U125" s="3" t="s">
        <v>649</v>
      </c>
      <c r="V125" s="4" t="s">
        <v>306</v>
      </c>
      <c r="X125" s="44" t="s">
        <v>623</v>
      </c>
      <c r="Y125" s="44" t="s">
        <v>580</v>
      </c>
      <c r="Z125" s="3" t="s">
        <v>607</v>
      </c>
      <c r="AA125" s="3" t="s">
        <v>616</v>
      </c>
    </row>
    <row r="126" spans="2:27" x14ac:dyDescent="0.25">
      <c r="B126" s="3" t="s">
        <v>807</v>
      </c>
      <c r="C126" s="31" t="s">
        <v>143</v>
      </c>
      <c r="D126" s="5">
        <v>79.004999999999995</v>
      </c>
      <c r="E126" s="5">
        <v>0.16388304537687487</v>
      </c>
      <c r="F126" s="5">
        <v>3.6486804632618192E-2</v>
      </c>
      <c r="N126" s="32">
        <f t="shared" si="27"/>
        <v>129.47579999999999</v>
      </c>
      <c r="O126" s="32">
        <f>1000*D126*F126/100</f>
        <v>28.826400000000003</v>
      </c>
      <c r="P126" s="31"/>
      <c r="Q126" s="32">
        <f>D126*J126</f>
        <v>0</v>
      </c>
      <c r="R126" s="32">
        <f>D126*K126</f>
        <v>0</v>
      </c>
      <c r="S126" s="32">
        <f>D126*H126</f>
        <v>0</v>
      </c>
      <c r="T126" s="3" t="s">
        <v>45</v>
      </c>
      <c r="U126" s="3" t="s">
        <v>649</v>
      </c>
      <c r="V126" s="4" t="s">
        <v>822</v>
      </c>
      <c r="X126" s="44" t="s">
        <v>623</v>
      </c>
      <c r="Y126" s="44" t="s">
        <v>580</v>
      </c>
      <c r="Z126" s="3" t="s">
        <v>607</v>
      </c>
      <c r="AA126" s="3" t="s">
        <v>616</v>
      </c>
    </row>
    <row r="127" spans="2:27" x14ac:dyDescent="0.25">
      <c r="B127" s="3" t="s">
        <v>303</v>
      </c>
      <c r="C127" s="31" t="s">
        <v>142</v>
      </c>
      <c r="D127" s="6">
        <v>48.6</v>
      </c>
      <c r="E127" s="5">
        <v>9.629629629629631E-2</v>
      </c>
      <c r="F127" s="5">
        <v>9.6296296296296303E-3</v>
      </c>
      <c r="N127" s="32">
        <f t="shared" si="27"/>
        <v>46.800000000000011</v>
      </c>
      <c r="O127" s="32">
        <f>1000*D127*F127/100</f>
        <v>4.6800000000000006</v>
      </c>
      <c r="T127" s="3" t="s">
        <v>45</v>
      </c>
      <c r="U127" s="3" t="s">
        <v>649</v>
      </c>
      <c r="V127" s="4" t="s">
        <v>306</v>
      </c>
      <c r="X127" s="44" t="s">
        <v>623</v>
      </c>
      <c r="Y127" s="44" t="s">
        <v>580</v>
      </c>
      <c r="Z127" s="3" t="s">
        <v>607</v>
      </c>
      <c r="AA127" s="3" t="s">
        <v>616</v>
      </c>
    </row>
    <row r="128" spans="2:27" x14ac:dyDescent="0.25">
      <c r="B128" s="48" t="s">
        <v>808</v>
      </c>
      <c r="C128" s="48" t="s">
        <v>145</v>
      </c>
      <c r="D128" s="6">
        <f>0.07+0.61+2.14+0.39+3.46+0.43+0.8+7.41+2.12+4.96+6.44</f>
        <v>28.830000000000002</v>
      </c>
      <c r="E128" s="58">
        <f>(0.3237*0.07+0.2565*0.61+0.2909*2.14+0.1724*0.39+0.1393*3.46+0.1574*0.43+0.1645*0.8+0.1413*7.41+0.1202*2.12+0.1212*4.96+0.1225*6.44)/$D128</f>
        <v>0.14714030523759974</v>
      </c>
      <c r="F128" s="58">
        <f>(0.1602*0.07+0.1288*0.61+0.1449*2.14+0.0432*0.39+0.0561*3.46+0.0288*0.43+0.0286*0.8+0.0219*7.41+0.002*2.12+0.0021*4.96+0.0016*6.44)/$D128</f>
        <v>2.8904786680541101E-2</v>
      </c>
      <c r="G128" s="48"/>
      <c r="H128" s="58"/>
      <c r="I128" s="48"/>
      <c r="J128" s="58"/>
      <c r="K128" s="58"/>
      <c r="L128" s="48"/>
      <c r="M128" s="48"/>
      <c r="N128" s="32">
        <f t="shared" ref="N128:N140" si="57">1000*D128*E128/100</f>
        <v>42.420550000000013</v>
      </c>
      <c r="O128" s="32">
        <f t="shared" ref="O128:O140" si="58">1000*D128*F128/100</f>
        <v>8.3332499999999996</v>
      </c>
      <c r="P128" s="48"/>
      <c r="Q128" s="57">
        <f>D128*J128</f>
        <v>0</v>
      </c>
      <c r="R128" s="57">
        <f>D128*K128</f>
        <v>0</v>
      </c>
      <c r="S128" s="57">
        <f>D128*H128</f>
        <v>0</v>
      </c>
      <c r="T128" s="3" t="s">
        <v>45</v>
      </c>
      <c r="U128" s="3" t="s">
        <v>649</v>
      </c>
      <c r="V128" s="52" t="s">
        <v>823</v>
      </c>
      <c r="X128" s="44" t="s">
        <v>623</v>
      </c>
      <c r="Y128" s="44" t="s">
        <v>580</v>
      </c>
      <c r="Z128" s="3" t="s">
        <v>607</v>
      </c>
    </row>
    <row r="129" spans="1:28" x14ac:dyDescent="0.25">
      <c r="B129" s="48" t="s">
        <v>809</v>
      </c>
      <c r="C129" s="31" t="s">
        <v>142</v>
      </c>
      <c r="D129" s="9">
        <v>3510.8</v>
      </c>
      <c r="E129" s="58">
        <v>0.17999999999999997</v>
      </c>
      <c r="F129" s="58">
        <v>0.1</v>
      </c>
      <c r="G129" s="48"/>
      <c r="H129" s="58"/>
      <c r="I129" s="48"/>
      <c r="J129" s="58"/>
      <c r="K129" s="58"/>
      <c r="L129" s="48"/>
      <c r="M129" s="48"/>
      <c r="N129" s="32">
        <f t="shared" si="57"/>
        <v>6319.4399999999987</v>
      </c>
      <c r="O129" s="32">
        <f t="shared" si="58"/>
        <v>3510.8</v>
      </c>
      <c r="P129" s="48"/>
      <c r="Q129" s="57"/>
      <c r="R129" s="57"/>
      <c r="S129" s="57"/>
      <c r="T129" s="3" t="s">
        <v>45</v>
      </c>
      <c r="U129" s="3" t="s">
        <v>649</v>
      </c>
      <c r="V129" s="4" t="s">
        <v>306</v>
      </c>
      <c r="X129" s="44" t="s">
        <v>623</v>
      </c>
      <c r="Y129" s="44" t="s">
        <v>580</v>
      </c>
      <c r="Z129" s="3" t="s">
        <v>618</v>
      </c>
      <c r="AA129" s="3" t="s">
        <v>615</v>
      </c>
      <c r="AB129" s="3" t="s">
        <v>990</v>
      </c>
    </row>
    <row r="130" spans="1:28" x14ac:dyDescent="0.25">
      <c r="B130" s="48" t="s">
        <v>810</v>
      </c>
      <c r="C130" s="48" t="s">
        <v>145</v>
      </c>
      <c r="D130" s="5">
        <v>291.89189189189187</v>
      </c>
      <c r="E130" s="58">
        <v>0.25</v>
      </c>
      <c r="F130" s="58">
        <v>0.14000000000000001</v>
      </c>
      <c r="G130" s="48"/>
      <c r="H130" s="58"/>
      <c r="I130" s="48"/>
      <c r="J130" s="58"/>
      <c r="K130" s="58"/>
      <c r="L130" s="48"/>
      <c r="M130" s="48"/>
      <c r="N130" s="32">
        <f t="shared" si="57"/>
        <v>729.72972972972968</v>
      </c>
      <c r="O130" s="32">
        <f t="shared" si="58"/>
        <v>408.64864864864865</v>
      </c>
      <c r="P130" s="48"/>
      <c r="Q130" s="57"/>
      <c r="R130" s="57"/>
      <c r="S130" s="57"/>
      <c r="T130" s="3" t="s">
        <v>45</v>
      </c>
      <c r="U130" s="3" t="s">
        <v>649</v>
      </c>
      <c r="V130" s="52" t="s">
        <v>824</v>
      </c>
      <c r="X130" s="44" t="s">
        <v>623</v>
      </c>
      <c r="Y130" s="44" t="s">
        <v>580</v>
      </c>
      <c r="Z130" s="3" t="s">
        <v>607</v>
      </c>
    </row>
    <row r="131" spans="1:28" x14ac:dyDescent="0.25">
      <c r="B131" s="48" t="s">
        <v>811</v>
      </c>
      <c r="C131" s="48" t="s">
        <v>145</v>
      </c>
      <c r="D131" s="5">
        <v>46.965000000000003</v>
      </c>
      <c r="E131" s="58">
        <v>0.13</v>
      </c>
      <c r="F131" s="58">
        <v>0.1</v>
      </c>
      <c r="G131" s="48"/>
      <c r="H131" s="58"/>
      <c r="I131" s="48"/>
      <c r="J131" s="58"/>
      <c r="K131" s="58"/>
      <c r="L131" s="48"/>
      <c r="M131" s="48"/>
      <c r="N131" s="32">
        <f t="shared" si="57"/>
        <v>61.054499999999997</v>
      </c>
      <c r="O131" s="32">
        <f t="shared" si="58"/>
        <v>46.965000000000003</v>
      </c>
      <c r="P131" s="48"/>
      <c r="Q131" s="57"/>
      <c r="R131" s="57"/>
      <c r="S131" s="57"/>
      <c r="T131" s="3" t="s">
        <v>45</v>
      </c>
      <c r="U131" s="3" t="s">
        <v>649</v>
      </c>
      <c r="V131" s="52" t="s">
        <v>817</v>
      </c>
      <c r="X131" s="44" t="s">
        <v>623</v>
      </c>
      <c r="Y131" s="44" t="s">
        <v>580</v>
      </c>
      <c r="Z131" s="3" t="s">
        <v>607</v>
      </c>
    </row>
    <row r="132" spans="1:28" x14ac:dyDescent="0.25">
      <c r="B132" s="48" t="s">
        <v>812</v>
      </c>
      <c r="C132" s="48" t="s">
        <v>145</v>
      </c>
      <c r="D132" s="7">
        <v>3610</v>
      </c>
      <c r="E132" s="58">
        <v>0.21975069252077561</v>
      </c>
      <c r="F132" s="58">
        <v>0.12024930747922437</v>
      </c>
      <c r="G132" s="48"/>
      <c r="H132" s="58"/>
      <c r="I132" s="48"/>
      <c r="J132" s="58"/>
      <c r="K132" s="58"/>
      <c r="L132" s="48"/>
      <c r="M132" s="48"/>
      <c r="N132" s="32">
        <f t="shared" si="57"/>
        <v>7933</v>
      </c>
      <c r="O132" s="32">
        <f t="shared" si="58"/>
        <v>4340.9999999999991</v>
      </c>
      <c r="P132" s="48"/>
      <c r="Q132" s="57"/>
      <c r="R132" s="57"/>
      <c r="S132" s="57"/>
      <c r="T132" s="3" t="s">
        <v>45</v>
      </c>
      <c r="U132" s="48" t="s">
        <v>780</v>
      </c>
      <c r="V132" s="52" t="s">
        <v>698</v>
      </c>
      <c r="X132" s="44" t="s">
        <v>623</v>
      </c>
      <c r="Y132" s="44" t="s">
        <v>580</v>
      </c>
      <c r="Z132" s="3" t="s">
        <v>607</v>
      </c>
    </row>
    <row r="133" spans="1:28" x14ac:dyDescent="0.25">
      <c r="B133" s="48" t="s">
        <v>307</v>
      </c>
      <c r="C133" s="48" t="s">
        <v>145</v>
      </c>
      <c r="D133" s="6">
        <f>176.4+104</f>
        <v>280.39999999999998</v>
      </c>
      <c r="E133" s="58">
        <f>(0.13*176.4+0.14*104)/D133</f>
        <v>0.13370898716119831</v>
      </c>
      <c r="F133" s="58">
        <f>(0.08*176.4+0.09*104)/D133</f>
        <v>8.3708987161198303E-2</v>
      </c>
      <c r="G133" s="48"/>
      <c r="H133" s="58"/>
      <c r="I133" s="48"/>
      <c r="J133" s="58"/>
      <c r="K133" s="58"/>
      <c r="L133" s="58">
        <f>(1.35*176.4+1.23*104)/D133</f>
        <v>1.3054921540656206</v>
      </c>
      <c r="M133" s="48"/>
      <c r="N133" s="32">
        <f t="shared" si="57"/>
        <v>374.92000000000007</v>
      </c>
      <c r="O133" s="32">
        <f t="shared" si="58"/>
        <v>234.72000000000003</v>
      </c>
      <c r="P133" s="48"/>
      <c r="Q133" s="57"/>
      <c r="R133" s="57"/>
      <c r="S133" s="57"/>
      <c r="T133" s="3" t="s">
        <v>45</v>
      </c>
      <c r="U133" s="3" t="s">
        <v>1002</v>
      </c>
      <c r="V133" s="52" t="s">
        <v>1001</v>
      </c>
      <c r="X133" s="44" t="s">
        <v>623</v>
      </c>
      <c r="Y133" s="44" t="s">
        <v>580</v>
      </c>
      <c r="Z133" s="3" t="s">
        <v>618</v>
      </c>
    </row>
    <row r="134" spans="1:28" x14ac:dyDescent="0.25">
      <c r="B134" s="48" t="s">
        <v>835</v>
      </c>
      <c r="C134" s="48" t="s">
        <v>145</v>
      </c>
      <c r="D134" s="3">
        <f>12.791+5.337</f>
        <v>18.128</v>
      </c>
      <c r="E134" s="5">
        <f>(0.2*12.791+0.15*5.337)/D134</f>
        <v>0.18527967784642543</v>
      </c>
      <c r="F134" s="5">
        <f>(0.12*12.791+0.1*5.337)/D134</f>
        <v>0.11411187113857017</v>
      </c>
      <c r="H134" s="5">
        <f>(0.1*12.791+0.05*5.337)/D134</f>
        <v>8.5279677846425428E-2</v>
      </c>
      <c r="J134" s="3">
        <f>(0.42*12.791+0.59*5.337)/D134</f>
        <v>0.4700490953221535</v>
      </c>
      <c r="K134" s="5">
        <f>(0.83*12.791+0.51*5.337)/D134</f>
        <v>0.73578993821712269</v>
      </c>
      <c r="N134" s="9">
        <f t="shared" ref="N134:N139" si="59">1000*D134*E134/100</f>
        <v>33.587500000000006</v>
      </c>
      <c r="O134" s="9">
        <f>1000*D134*F134/100</f>
        <v>20.686199999999999</v>
      </c>
      <c r="P134" s="9">
        <f>1000*D134*G134/100</f>
        <v>0</v>
      </c>
      <c r="Q134" s="9">
        <f>D134*J134</f>
        <v>8.5210499999999989</v>
      </c>
      <c r="R134" s="9">
        <f>D134*K134</f>
        <v>13.3384</v>
      </c>
      <c r="S134" s="9">
        <f>D134*H134</f>
        <v>1.5459500000000002</v>
      </c>
      <c r="T134" s="3" t="s">
        <v>45</v>
      </c>
      <c r="U134" s="3" t="s">
        <v>696</v>
      </c>
      <c r="V134" s="4" t="s">
        <v>334</v>
      </c>
      <c r="X134" s="44" t="s">
        <v>623</v>
      </c>
      <c r="Y134" s="44" t="s">
        <v>580</v>
      </c>
      <c r="Z134" s="3" t="s">
        <v>607</v>
      </c>
    </row>
    <row r="135" spans="1:28" x14ac:dyDescent="0.25">
      <c r="B135" s="48" t="s">
        <v>278</v>
      </c>
      <c r="C135" s="48" t="s">
        <v>145</v>
      </c>
      <c r="D135" s="3">
        <v>39.74</v>
      </c>
      <c r="E135" s="6">
        <v>0.14599999999999999</v>
      </c>
      <c r="F135" s="6">
        <v>8.5000000000000006E-2</v>
      </c>
      <c r="H135" s="5"/>
      <c r="J135" s="48">
        <v>0.22</v>
      </c>
      <c r="K135" s="48">
        <v>0.33</v>
      </c>
      <c r="N135" s="9">
        <f t="shared" si="59"/>
        <v>58.020400000000002</v>
      </c>
      <c r="O135" s="9">
        <f>1000*D135*F135/100</f>
        <v>33.779000000000003</v>
      </c>
      <c r="P135" s="9"/>
      <c r="Q135" s="9">
        <f>D135*J135</f>
        <v>8.7428000000000008</v>
      </c>
      <c r="R135" s="9">
        <f>D135*K135</f>
        <v>13.114200000000002</v>
      </c>
      <c r="S135" s="9"/>
      <c r="T135" s="3" t="s">
        <v>45</v>
      </c>
      <c r="U135" s="3" t="s">
        <v>992</v>
      </c>
      <c r="V135" s="4" t="s">
        <v>991</v>
      </c>
      <c r="X135" s="44" t="s">
        <v>623</v>
      </c>
      <c r="Y135" s="44" t="s">
        <v>580</v>
      </c>
      <c r="Z135" s="3" t="s">
        <v>618</v>
      </c>
      <c r="AA135" s="3" t="s">
        <v>615</v>
      </c>
    </row>
    <row r="136" spans="1:28" x14ac:dyDescent="0.25">
      <c r="B136" s="48" t="s">
        <v>993</v>
      </c>
      <c r="C136" s="48" t="s">
        <v>145</v>
      </c>
      <c r="D136" s="9">
        <f>485.4+1115.1</f>
        <v>1600.5</v>
      </c>
      <c r="E136" s="6">
        <f>(0.245*485.4+0.248*1115.1)/D136</f>
        <v>0.24709015932521083</v>
      </c>
      <c r="F136" s="6"/>
      <c r="H136" s="5"/>
      <c r="J136" s="48"/>
      <c r="K136" s="48"/>
      <c r="N136" s="9">
        <f t="shared" si="59"/>
        <v>3954.6779999999994</v>
      </c>
      <c r="O136" s="9"/>
      <c r="P136" s="9"/>
      <c r="Q136" s="9"/>
      <c r="R136" s="9"/>
      <c r="S136" s="9"/>
      <c r="T136" s="3" t="s">
        <v>45</v>
      </c>
      <c r="U136" s="3" t="s">
        <v>994</v>
      </c>
      <c r="V136" s="4" t="s">
        <v>995</v>
      </c>
      <c r="X136" s="44" t="s">
        <v>623</v>
      </c>
      <c r="Y136" s="44" t="s">
        <v>626</v>
      </c>
      <c r="Z136" s="3" t="s">
        <v>1000</v>
      </c>
    </row>
    <row r="137" spans="1:28" x14ac:dyDescent="0.25">
      <c r="B137" s="48" t="s">
        <v>279</v>
      </c>
      <c r="C137" s="48" t="s">
        <v>145</v>
      </c>
      <c r="D137" s="9">
        <f>(28+34+149.9)/0.35</f>
        <v>605.42857142857144</v>
      </c>
      <c r="E137" s="5">
        <f>(0.2*28+0.18*34+0.19*149.9)/(28+34+149.9)</f>
        <v>0.1897168475696083</v>
      </c>
      <c r="F137" s="5">
        <f>(0.07*28+0.07*34+0.08*149.9)/(28+34+149.9)</f>
        <v>7.7074091552619156E-2</v>
      </c>
      <c r="H137" s="5"/>
      <c r="J137" s="48"/>
      <c r="K137" s="48"/>
      <c r="L137" s="5">
        <f>(0.88*28+0.85*34+0.96*149.9)/(28+34+149.9)</f>
        <v>0.93177914110429438</v>
      </c>
      <c r="N137" s="9">
        <f t="shared" si="59"/>
        <v>1148.5999999999999</v>
      </c>
      <c r="O137" s="32">
        <f t="shared" si="58"/>
        <v>466.62857142857143</v>
      </c>
      <c r="P137" s="9"/>
      <c r="Q137" s="9"/>
      <c r="R137" s="9"/>
      <c r="S137" s="9"/>
      <c r="T137" s="3" t="s">
        <v>45</v>
      </c>
      <c r="U137" s="3" t="s">
        <v>649</v>
      </c>
      <c r="V137" s="4" t="s">
        <v>306</v>
      </c>
      <c r="X137" s="44" t="s">
        <v>623</v>
      </c>
      <c r="Y137" s="44" t="s">
        <v>580</v>
      </c>
      <c r="Z137" s="3" t="s">
        <v>618</v>
      </c>
      <c r="AA137" s="3" t="s">
        <v>608</v>
      </c>
    </row>
    <row r="138" spans="1:28" x14ac:dyDescent="0.25">
      <c r="B138" s="48" t="s">
        <v>1111</v>
      </c>
      <c r="C138" s="48" t="s">
        <v>145</v>
      </c>
      <c r="D138" s="82">
        <f>107.76+6.42</f>
        <v>114.18</v>
      </c>
      <c r="E138" s="58">
        <f>(0.25*107.76+0.19*6.42)/D138</f>
        <v>0.24662637940094587</v>
      </c>
      <c r="F138" s="58">
        <f>(0.17*107.76+0.13*6.42)/D138</f>
        <v>0.1677509196006306</v>
      </c>
      <c r="G138" s="82"/>
      <c r="H138" s="82"/>
      <c r="I138" s="82"/>
      <c r="J138" s="82"/>
      <c r="K138" s="82"/>
      <c r="L138" s="82"/>
      <c r="M138" s="82"/>
      <c r="N138" s="55">
        <f t="shared" si="59"/>
        <v>281.59800000000001</v>
      </c>
      <c r="O138" s="57">
        <f t="shared" ref="O138" si="60">1000*D138*F138/100</f>
        <v>191.53800000000004</v>
      </c>
      <c r="P138" s="82"/>
      <c r="Q138" s="82"/>
      <c r="R138" s="82"/>
      <c r="S138" s="6"/>
      <c r="T138" s="3" t="s">
        <v>45</v>
      </c>
      <c r="U138" s="3" t="s">
        <v>1136</v>
      </c>
      <c r="V138" s="17" t="s">
        <v>1140</v>
      </c>
      <c r="X138" s="44" t="s">
        <v>623</v>
      </c>
      <c r="Y138" s="44" t="s">
        <v>626</v>
      </c>
    </row>
    <row r="139" spans="1:28" x14ac:dyDescent="0.25">
      <c r="B139" s="48" t="s">
        <v>1138</v>
      </c>
      <c r="C139" s="48" t="s">
        <v>145</v>
      </c>
      <c r="D139" s="82">
        <f>11.9+2.27+2.28+2.35+1.5</f>
        <v>20.3</v>
      </c>
      <c r="E139" s="58">
        <f>(0.32*11.9+0.6*2.27+0.45*2.28+0.37*2.35+0.72*1.5)/D139</f>
        <v>0.40125615763546796</v>
      </c>
      <c r="F139" s="82"/>
      <c r="G139" s="82"/>
      <c r="H139" s="82"/>
      <c r="I139" s="82"/>
      <c r="J139" s="82"/>
      <c r="K139" s="82"/>
      <c r="L139" s="82"/>
      <c r="M139" s="82"/>
      <c r="N139" s="55">
        <f t="shared" si="59"/>
        <v>81.454999999999998</v>
      </c>
      <c r="P139" s="6"/>
      <c r="Q139" s="6"/>
      <c r="R139" s="6"/>
      <c r="S139" s="6"/>
      <c r="T139" s="3" t="s">
        <v>45</v>
      </c>
      <c r="U139" s="67" t="s">
        <v>1137</v>
      </c>
      <c r="V139" s="17" t="s">
        <v>1139</v>
      </c>
      <c r="X139" s="44" t="s">
        <v>623</v>
      </c>
      <c r="Y139" s="44" t="s">
        <v>986</v>
      </c>
    </row>
    <row r="140" spans="1:28" x14ac:dyDescent="0.25">
      <c r="B140" s="31" t="s">
        <v>169</v>
      </c>
      <c r="C140" s="31" t="s">
        <v>142</v>
      </c>
      <c r="D140" s="3">
        <f>148.559+287.2</f>
        <v>435.75900000000001</v>
      </c>
      <c r="E140" s="5">
        <f>(0.31*148.559+0.34*287.2)/$D140</f>
        <v>0.32977239712777018</v>
      </c>
      <c r="F140" s="5">
        <f>(0.12*148.559+0.13*287.2)/$D140</f>
        <v>0.12659079904259005</v>
      </c>
      <c r="L140" s="5">
        <f>(0.83*148.559+0.85*287.2)/$D140</f>
        <v>0.8431815980851799</v>
      </c>
      <c r="N140" s="32">
        <f t="shared" si="57"/>
        <v>1437.0129000000002</v>
      </c>
      <c r="O140" s="32">
        <f t="shared" si="58"/>
        <v>551.63079999999991</v>
      </c>
      <c r="T140" s="3" t="s">
        <v>45</v>
      </c>
      <c r="U140" s="3" t="s">
        <v>655</v>
      </c>
      <c r="V140" s="4" t="s">
        <v>312</v>
      </c>
      <c r="X140" s="44" t="s">
        <v>623</v>
      </c>
      <c r="Y140" s="44" t="s">
        <v>580</v>
      </c>
      <c r="Z140" s="3" t="s">
        <v>607</v>
      </c>
      <c r="AA140" s="3" t="s">
        <v>616</v>
      </c>
    </row>
    <row r="141" spans="1:28" x14ac:dyDescent="0.25">
      <c r="X141" s="44"/>
      <c r="Y141" s="44"/>
    </row>
    <row r="142" spans="1:28" x14ac:dyDescent="0.25">
      <c r="A142" s="26" t="s">
        <v>170</v>
      </c>
      <c r="B142" s="26" t="s">
        <v>170</v>
      </c>
      <c r="C142" s="26" t="s">
        <v>170</v>
      </c>
      <c r="D142" s="26" t="s">
        <v>170</v>
      </c>
      <c r="E142" s="26" t="s">
        <v>170</v>
      </c>
      <c r="F142" s="26" t="s">
        <v>170</v>
      </c>
      <c r="G142" s="26" t="s">
        <v>170</v>
      </c>
      <c r="H142" s="26" t="s">
        <v>170</v>
      </c>
      <c r="I142" s="26" t="s">
        <v>170</v>
      </c>
      <c r="J142" s="26" t="s">
        <v>170</v>
      </c>
      <c r="K142" s="26" t="s">
        <v>170</v>
      </c>
      <c r="L142" s="26" t="s">
        <v>170</v>
      </c>
      <c r="M142" s="26" t="s">
        <v>170</v>
      </c>
      <c r="N142" s="26" t="s">
        <v>170</v>
      </c>
      <c r="O142" s="26" t="s">
        <v>170</v>
      </c>
      <c r="P142" s="26" t="s">
        <v>170</v>
      </c>
      <c r="Q142" s="26" t="s">
        <v>170</v>
      </c>
      <c r="R142" s="26" t="s">
        <v>170</v>
      </c>
      <c r="S142" s="26" t="s">
        <v>170</v>
      </c>
      <c r="T142" s="26" t="s">
        <v>170</v>
      </c>
      <c r="U142" s="26" t="s">
        <v>170</v>
      </c>
      <c r="V142" s="26" t="s">
        <v>170</v>
      </c>
      <c r="W142" s="26" t="s">
        <v>170</v>
      </c>
      <c r="X142" s="44"/>
      <c r="Y142" s="44"/>
    </row>
    <row r="143" spans="1:28" x14ac:dyDescent="0.25">
      <c r="A143" s="39">
        <f>COUNT(D145:D178)</f>
        <v>33</v>
      </c>
      <c r="B143" s="49" t="s">
        <v>45</v>
      </c>
      <c r="C143" s="49" t="s">
        <v>45</v>
      </c>
      <c r="D143" s="19">
        <f>SUM(D145:D178)</f>
        <v>2108.5000000000005</v>
      </c>
      <c r="E143" s="14">
        <f>100*(N143/1000)/D143</f>
        <v>0.22747254574341952</v>
      </c>
      <c r="F143" s="14">
        <f>100*(O143/1000)/D143</f>
        <v>0.43327130196822361</v>
      </c>
      <c r="G143" s="30">
        <f>100*(P143/1000)/D143</f>
        <v>1.6377455916528331E-2</v>
      </c>
      <c r="N143" s="19">
        <f>SUM(N145:N178)</f>
        <v>4796.2586270000011</v>
      </c>
      <c r="O143" s="19">
        <f t="shared" ref="O143:S143" si="61">SUM(O145:O178)</f>
        <v>9135.5254019999975</v>
      </c>
      <c r="P143" s="19">
        <f t="shared" si="61"/>
        <v>345.31865799999991</v>
      </c>
      <c r="Q143" s="19">
        <f t="shared" si="61"/>
        <v>112.74785685438863</v>
      </c>
      <c r="R143" s="19">
        <f t="shared" si="61"/>
        <v>289.00708969051243</v>
      </c>
      <c r="S143" s="19">
        <f t="shared" si="61"/>
        <v>60.099246255098933</v>
      </c>
      <c r="X143" s="44"/>
      <c r="Y143" s="44"/>
    </row>
    <row r="144" spans="1:28" x14ac:dyDescent="0.25">
      <c r="A144" s="1" t="s">
        <v>150</v>
      </c>
      <c r="B144" s="1" t="s">
        <v>134</v>
      </c>
      <c r="C144" s="1" t="s">
        <v>141</v>
      </c>
      <c r="D144" s="2" t="s">
        <v>0</v>
      </c>
      <c r="E144" s="2" t="s">
        <v>10</v>
      </c>
      <c r="F144" s="2" t="s">
        <v>2</v>
      </c>
      <c r="G144" s="2" t="s">
        <v>9</v>
      </c>
      <c r="H144" s="2" t="s">
        <v>1</v>
      </c>
      <c r="I144" s="2" t="s">
        <v>3</v>
      </c>
      <c r="J144" s="2" t="s">
        <v>162</v>
      </c>
      <c r="K144" s="2" t="s">
        <v>163</v>
      </c>
      <c r="L144" s="2" t="s">
        <v>653</v>
      </c>
      <c r="M144" s="2" t="s">
        <v>640</v>
      </c>
      <c r="N144" s="2" t="s">
        <v>11</v>
      </c>
      <c r="O144" s="2" t="s">
        <v>4</v>
      </c>
      <c r="P144" s="2" t="s">
        <v>12</v>
      </c>
      <c r="Q144" s="2" t="s">
        <v>857</v>
      </c>
      <c r="R144" s="2" t="s">
        <v>164</v>
      </c>
      <c r="S144" s="2" t="s">
        <v>165</v>
      </c>
      <c r="T144" s="2" t="s">
        <v>44</v>
      </c>
      <c r="U144" s="2" t="s">
        <v>639</v>
      </c>
      <c r="V144" s="8" t="s">
        <v>5</v>
      </c>
      <c r="W144" s="15" t="s">
        <v>64</v>
      </c>
      <c r="X144" s="44"/>
      <c r="Y144" s="44"/>
    </row>
    <row r="145" spans="2:27" x14ac:dyDescent="0.25">
      <c r="B145" s="3" t="s">
        <v>171</v>
      </c>
      <c r="C145" s="3" t="s">
        <v>143</v>
      </c>
      <c r="D145" s="3">
        <f>90+151+34</f>
        <v>275</v>
      </c>
      <c r="E145" s="5">
        <f>(0.29*90+0.32*151+0.29*34)/$D145</f>
        <v>0.30647272727272729</v>
      </c>
      <c r="F145" s="5">
        <f>(0.27*90+0.3*151+0.27*34)/$D145</f>
        <v>0.28647272727272727</v>
      </c>
      <c r="H145" s="5">
        <f>(0.12*90+0.11*151+0.09*34)/$D145</f>
        <v>0.11079999999999998</v>
      </c>
      <c r="J145" s="5">
        <f>(0.23*90+0.19*151+0.14*34)/$D145</f>
        <v>0.19690909090909089</v>
      </c>
      <c r="K145" s="5">
        <f>(0.17*90+0.34*151+0.1*34)/$D145</f>
        <v>0.25469090909090913</v>
      </c>
      <c r="N145" s="9">
        <f t="shared" ref="N145:N178" si="62">1000*D145*E145/100</f>
        <v>842.8</v>
      </c>
      <c r="O145" s="9">
        <f t="shared" ref="O145:O169" si="63">1000*D145*F145/100</f>
        <v>787.8</v>
      </c>
      <c r="Q145" s="9">
        <f>D145*J145</f>
        <v>54.15</v>
      </c>
      <c r="R145" s="9">
        <f>D145*K145</f>
        <v>70.040000000000006</v>
      </c>
      <c r="S145" s="10">
        <f>D145*H145</f>
        <v>30.469999999999995</v>
      </c>
      <c r="T145" s="3" t="s">
        <v>45</v>
      </c>
      <c r="U145" s="3" t="s">
        <v>696</v>
      </c>
      <c r="V145" s="4" t="s">
        <v>373</v>
      </c>
      <c r="X145" s="44" t="s">
        <v>623</v>
      </c>
      <c r="Y145" s="44" t="s">
        <v>623</v>
      </c>
      <c r="Z145" s="3" t="s">
        <v>600</v>
      </c>
    </row>
    <row r="146" spans="2:27" x14ac:dyDescent="0.25">
      <c r="B146" s="3" t="s">
        <v>761</v>
      </c>
      <c r="C146" s="3" t="s">
        <v>145</v>
      </c>
      <c r="D146" s="5">
        <f>2.61+0.14</f>
        <v>2.75</v>
      </c>
      <c r="E146" s="5">
        <f>(0.49*2.61+0.45*0.14)/$D146</f>
        <v>0.48796363636363632</v>
      </c>
      <c r="F146" s="5">
        <f>(0.04*2.61+0.04*0.14)/$D146</f>
        <v>3.9999999999999994E-2</v>
      </c>
      <c r="G146" s="5">
        <f>(0.01*2.61+0.01*0.14)/$D146</f>
        <v>9.9999999999999985E-3</v>
      </c>
      <c r="J146" s="5">
        <f>(0.11*2.61+0.1*0.14)/$D146</f>
        <v>0.10949090909090908</v>
      </c>
      <c r="K146" s="5">
        <f>(0.28*2.61+0.24*0.14)/$D146</f>
        <v>0.27796363636363636</v>
      </c>
      <c r="N146" s="9">
        <f t="shared" si="62"/>
        <v>13.418999999999999</v>
      </c>
      <c r="O146" s="9">
        <f t="shared" si="63"/>
        <v>1.0999999999999999</v>
      </c>
      <c r="P146" s="9">
        <f>1000*D146*G146/100</f>
        <v>0.27499999999999997</v>
      </c>
      <c r="Q146" s="9">
        <f>D146*J146</f>
        <v>0.30109999999999998</v>
      </c>
      <c r="R146" s="9">
        <f>D146*K146</f>
        <v>0.76439999999999997</v>
      </c>
      <c r="T146" s="3" t="s">
        <v>45</v>
      </c>
      <c r="U146" s="3" t="s">
        <v>760</v>
      </c>
      <c r="V146" s="4" t="s">
        <v>126</v>
      </c>
      <c r="X146" s="44" t="s">
        <v>623</v>
      </c>
      <c r="Y146" s="44" t="s">
        <v>986</v>
      </c>
    </row>
    <row r="147" spans="2:27" x14ac:dyDescent="0.25">
      <c r="B147" s="3" t="s">
        <v>762</v>
      </c>
      <c r="C147" s="3" t="s">
        <v>145</v>
      </c>
      <c r="D147" s="5">
        <f>0.4+0.09</f>
        <v>0.49</v>
      </c>
      <c r="E147" s="5">
        <f>(0.63*0.4+0.48*0.09)/$D147</f>
        <v>0.60244897959183674</v>
      </c>
      <c r="F147" s="5">
        <f>(0.29*0.4+0.23*0.09)/$D147</f>
        <v>0.27897959183673465</v>
      </c>
      <c r="G147" s="5">
        <f>(0.04*0.4+0.03*0.09)/$D147</f>
        <v>3.8163265306122456E-2</v>
      </c>
      <c r="J147" s="5">
        <f>(0.28*0.4+0.21*0.09)/$D147</f>
        <v>0.26714285714285718</v>
      </c>
      <c r="K147" s="5">
        <f>(0.62*0.4+0.42*0.09)/$D147</f>
        <v>0.58326530612244898</v>
      </c>
      <c r="N147" s="9">
        <f t="shared" si="62"/>
        <v>2.952</v>
      </c>
      <c r="O147" s="9">
        <f t="shared" si="63"/>
        <v>1.367</v>
      </c>
      <c r="P147" s="9">
        <f>1000*D147*G147/100</f>
        <v>0.18700000000000003</v>
      </c>
      <c r="Q147" s="9">
        <f>D147*J147</f>
        <v>0.13090000000000002</v>
      </c>
      <c r="R147" s="9">
        <f>D147*K147</f>
        <v>0.2858</v>
      </c>
      <c r="T147" s="3" t="s">
        <v>45</v>
      </c>
      <c r="U147" s="3" t="s">
        <v>760</v>
      </c>
      <c r="V147" s="4" t="s">
        <v>126</v>
      </c>
      <c r="X147" s="44" t="s">
        <v>579</v>
      </c>
      <c r="Y147" s="44" t="s">
        <v>624</v>
      </c>
      <c r="Z147" s="3" t="s">
        <v>624</v>
      </c>
    </row>
    <row r="148" spans="2:27" x14ac:dyDescent="0.25">
      <c r="B148" s="3" t="s">
        <v>771</v>
      </c>
      <c r="C148" s="3" t="s">
        <v>145</v>
      </c>
      <c r="D148" s="5">
        <f>0.85+0.24</f>
        <v>1.0899999999999999</v>
      </c>
      <c r="E148" s="5">
        <f>(0.85*0.85+0.59*0.24)/$D148</f>
        <v>0.7927522935779816</v>
      </c>
      <c r="F148" s="5">
        <f>(0.44*0.85+0.27*0.24)/$D148</f>
        <v>0.40256880733944955</v>
      </c>
      <c r="G148" s="5">
        <f>(0.06*0.85+0.04*0.24)/$D148</f>
        <v>5.5596330275229359E-2</v>
      </c>
      <c r="J148" s="5">
        <f>(0.53*0.85+0.34*0.24)/$D148</f>
        <v>0.488165137614679</v>
      </c>
      <c r="K148" s="5">
        <f>(1.25*0.85+0.89*0.24)/$D148</f>
        <v>1.1707339449541285</v>
      </c>
      <c r="N148" s="9">
        <f t="shared" ref="N148:N150" si="64">1000*D148*E148/100</f>
        <v>8.6409999999999982</v>
      </c>
      <c r="O148" s="9">
        <f t="shared" ref="O148:O149" si="65">1000*D148*F148/100</f>
        <v>4.387999999999999</v>
      </c>
      <c r="P148" s="9">
        <f t="shared" ref="P148" si="66">1000*D148*G148/100</f>
        <v>0.60599999999999987</v>
      </c>
      <c r="Q148" s="9">
        <f>D148*J148</f>
        <v>0.53210000000000002</v>
      </c>
      <c r="R148" s="9">
        <f>D148*K148</f>
        <v>1.2761</v>
      </c>
      <c r="T148" s="3" t="s">
        <v>45</v>
      </c>
      <c r="U148" s="3" t="s">
        <v>760</v>
      </c>
      <c r="V148" s="4" t="s">
        <v>126</v>
      </c>
      <c r="X148" s="44" t="s">
        <v>623</v>
      </c>
      <c r="Y148" s="44" t="s">
        <v>986</v>
      </c>
    </row>
    <row r="149" spans="2:27" x14ac:dyDescent="0.25">
      <c r="B149" s="3" t="s">
        <v>772</v>
      </c>
      <c r="C149" s="3" t="s">
        <v>145</v>
      </c>
      <c r="D149" s="3">
        <v>0.17</v>
      </c>
      <c r="E149" s="3">
        <v>0.66</v>
      </c>
      <c r="F149" s="3">
        <v>0.01</v>
      </c>
      <c r="N149" s="9">
        <f t="shared" si="64"/>
        <v>1.1220000000000001</v>
      </c>
      <c r="O149" s="9">
        <f t="shared" si="65"/>
        <v>1.7000000000000001E-2</v>
      </c>
      <c r="T149" s="3" t="s">
        <v>45</v>
      </c>
      <c r="U149" s="3" t="s">
        <v>760</v>
      </c>
      <c r="V149" s="4" t="s">
        <v>126</v>
      </c>
      <c r="X149" s="44" t="s">
        <v>623</v>
      </c>
      <c r="Y149" s="44" t="s">
        <v>989</v>
      </c>
      <c r="Z149" s="3" t="s">
        <v>980</v>
      </c>
    </row>
    <row r="150" spans="2:27" x14ac:dyDescent="0.25">
      <c r="B150" s="3" t="s">
        <v>773</v>
      </c>
      <c r="C150" s="3" t="s">
        <v>145</v>
      </c>
      <c r="D150" s="5">
        <v>1.5</v>
      </c>
      <c r="E150" s="3">
        <v>0.46</v>
      </c>
      <c r="N150" s="9">
        <f t="shared" si="64"/>
        <v>6.9</v>
      </c>
      <c r="T150" s="3" t="s">
        <v>45</v>
      </c>
      <c r="U150" s="3" t="s">
        <v>760</v>
      </c>
      <c r="V150" s="4" t="s">
        <v>126</v>
      </c>
      <c r="X150" s="44" t="s">
        <v>623</v>
      </c>
      <c r="Y150" s="44" t="s">
        <v>989</v>
      </c>
      <c r="Z150" s="3" t="s">
        <v>980</v>
      </c>
    </row>
    <row r="151" spans="2:27" x14ac:dyDescent="0.25">
      <c r="B151" s="3" t="s">
        <v>763</v>
      </c>
      <c r="C151" s="3" t="s">
        <v>142</v>
      </c>
      <c r="D151" s="5">
        <f>0.62+7.47+0.31</f>
        <v>8.4</v>
      </c>
      <c r="E151" s="5">
        <f>(0.17*0.62+0.2*7.47+0.18*0.31)/$D151</f>
        <v>0.19704761904761903</v>
      </c>
      <c r="F151" s="5">
        <f>(1.35*0.62+1.25*7.47+0.97*0.31)/$D151</f>
        <v>1.2470476190476192</v>
      </c>
      <c r="G151" s="5">
        <f>(0.27*0.62+0.24*7.47+0.24*0.31)/$D151</f>
        <v>0.24221428571428566</v>
      </c>
      <c r="H151" s="5">
        <f>(0.6*0.62+0.7*7.47+0.57*0.31)/$D151</f>
        <v>0.68782142857142847</v>
      </c>
      <c r="L151" s="3" t="s">
        <v>758</v>
      </c>
      <c r="N151" s="9">
        <f t="shared" si="62"/>
        <v>16.552</v>
      </c>
      <c r="O151" s="9">
        <f t="shared" si="63"/>
        <v>104.75200000000001</v>
      </c>
      <c r="P151" s="9">
        <f>1000*D151*G151/100</f>
        <v>20.345999999999993</v>
      </c>
      <c r="S151" s="10">
        <f>D151*H151</f>
        <v>5.7776999999999994</v>
      </c>
      <c r="T151" s="3" t="s">
        <v>45</v>
      </c>
      <c r="U151" s="3" t="s">
        <v>760</v>
      </c>
      <c r="V151" s="4" t="s">
        <v>126</v>
      </c>
      <c r="X151" s="44" t="s">
        <v>579</v>
      </c>
      <c r="Y151" s="44" t="s">
        <v>624</v>
      </c>
      <c r="Z151" s="3" t="s">
        <v>624</v>
      </c>
    </row>
    <row r="152" spans="2:27" x14ac:dyDescent="0.25">
      <c r="B152" s="3" t="s">
        <v>764</v>
      </c>
      <c r="C152" s="3" t="s">
        <v>145</v>
      </c>
      <c r="D152" s="5">
        <v>3.4</v>
      </c>
      <c r="E152" s="5">
        <v>0.05</v>
      </c>
      <c r="F152" s="5">
        <v>0.71</v>
      </c>
      <c r="G152" s="5">
        <v>0.09</v>
      </c>
      <c r="H152" s="5"/>
      <c r="L152" s="3" t="s">
        <v>758</v>
      </c>
      <c r="N152" s="9">
        <f t="shared" ref="N152" si="67">1000*D152*E152/100</f>
        <v>1.7</v>
      </c>
      <c r="O152" s="9">
        <f t="shared" ref="O152" si="68">1000*D152*F152/100</f>
        <v>24.14</v>
      </c>
      <c r="P152" s="9">
        <f>1000*D152*G152/100</f>
        <v>3.06</v>
      </c>
      <c r="T152" s="3" t="s">
        <v>45</v>
      </c>
      <c r="U152" s="3" t="s">
        <v>760</v>
      </c>
      <c r="V152" s="4" t="s">
        <v>126</v>
      </c>
      <c r="X152" s="44" t="s">
        <v>579</v>
      </c>
      <c r="Y152" s="44" t="s">
        <v>624</v>
      </c>
    </row>
    <row r="153" spans="2:27" x14ac:dyDescent="0.25">
      <c r="B153" s="3" t="s">
        <v>765</v>
      </c>
      <c r="C153" s="3" t="s">
        <v>145</v>
      </c>
      <c r="D153" s="5">
        <f>1.03+1.23+0.9</f>
        <v>3.1599999999999997</v>
      </c>
      <c r="E153" s="5">
        <f>(0.47*1.03+0.42*1.23+0.4*0.9)/$D153</f>
        <v>0.43060126582278485</v>
      </c>
      <c r="F153" s="5">
        <f>(0.47*1.03+0.3*1.23+0.3*0.9)/$D153</f>
        <v>0.35541139240506331</v>
      </c>
      <c r="G153" s="5">
        <f>(0.13*1.03+0.11*1.23+0.1*0.9)/$D153</f>
        <v>0.11367088607594938</v>
      </c>
      <c r="L153" s="3" t="s">
        <v>758</v>
      </c>
      <c r="N153" s="9">
        <f t="shared" ref="N153:N158" si="69">1000*D153*E153/100</f>
        <v>13.607000000000001</v>
      </c>
      <c r="O153" s="9">
        <f t="shared" ref="O153:O158" si="70">1000*D153*F153/100</f>
        <v>11.231</v>
      </c>
      <c r="P153" s="9">
        <f t="shared" ref="P153:P158" si="71">1000*D153*G153/100</f>
        <v>3.5920000000000001</v>
      </c>
      <c r="T153" s="3" t="s">
        <v>45</v>
      </c>
      <c r="U153" s="3" t="s">
        <v>760</v>
      </c>
      <c r="V153" s="4" t="s">
        <v>126</v>
      </c>
      <c r="X153" s="44" t="s">
        <v>579</v>
      </c>
      <c r="Y153" s="44" t="s">
        <v>984</v>
      </c>
    </row>
    <row r="154" spans="2:27" x14ac:dyDescent="0.25">
      <c r="B154" s="3" t="s">
        <v>766</v>
      </c>
      <c r="C154" s="3" t="s">
        <v>145</v>
      </c>
      <c r="D154" s="3">
        <v>0.14000000000000001</v>
      </c>
      <c r="E154" s="3">
        <v>0.16</v>
      </c>
      <c r="F154" s="3">
        <v>1.69</v>
      </c>
      <c r="G154" s="3">
        <v>0.04</v>
      </c>
      <c r="N154" s="9">
        <f t="shared" si="69"/>
        <v>0.22400000000000003</v>
      </c>
      <c r="O154" s="9">
        <f t="shared" si="70"/>
        <v>2.3660000000000001</v>
      </c>
      <c r="P154" s="9">
        <f t="shared" si="71"/>
        <v>5.6000000000000008E-2</v>
      </c>
      <c r="T154" s="3" t="s">
        <v>45</v>
      </c>
      <c r="U154" s="3" t="s">
        <v>760</v>
      </c>
      <c r="V154" s="4" t="s">
        <v>126</v>
      </c>
      <c r="X154" s="44" t="s">
        <v>579</v>
      </c>
      <c r="Y154" s="44" t="s">
        <v>624</v>
      </c>
    </row>
    <row r="155" spans="2:27" x14ac:dyDescent="0.25">
      <c r="B155" s="3" t="s">
        <v>767</v>
      </c>
      <c r="C155" s="3" t="s">
        <v>145</v>
      </c>
      <c r="D155" s="3">
        <v>1.54</v>
      </c>
      <c r="E155" s="3">
        <v>0.71</v>
      </c>
      <c r="F155" s="3">
        <v>0.28999999999999998</v>
      </c>
      <c r="G155" s="3">
        <v>0.03</v>
      </c>
      <c r="N155" s="9">
        <f t="shared" si="69"/>
        <v>10.933999999999999</v>
      </c>
      <c r="O155" s="9">
        <f t="shared" si="70"/>
        <v>4.4659999999999993</v>
      </c>
      <c r="P155" s="9">
        <f t="shared" si="71"/>
        <v>0.46199999999999997</v>
      </c>
      <c r="T155" s="3" t="s">
        <v>45</v>
      </c>
      <c r="U155" s="3" t="s">
        <v>760</v>
      </c>
      <c r="V155" s="4" t="s">
        <v>126</v>
      </c>
      <c r="X155" s="44" t="s">
        <v>623</v>
      </c>
      <c r="Y155" s="44" t="s">
        <v>580</v>
      </c>
      <c r="Z155" s="3" t="s">
        <v>618</v>
      </c>
    </row>
    <row r="156" spans="2:27" x14ac:dyDescent="0.25">
      <c r="B156" s="3" t="s">
        <v>768</v>
      </c>
      <c r="C156" s="3" t="s">
        <v>145</v>
      </c>
      <c r="D156" s="5">
        <v>0.1</v>
      </c>
      <c r="E156" s="5">
        <v>0.7</v>
      </c>
      <c r="F156" s="3">
        <v>0.35</v>
      </c>
      <c r="G156" s="3">
        <v>0.05</v>
      </c>
      <c r="N156" s="9">
        <f t="shared" si="69"/>
        <v>0.7</v>
      </c>
      <c r="O156" s="9">
        <f t="shared" si="70"/>
        <v>0.35</v>
      </c>
      <c r="P156" s="9">
        <f t="shared" si="71"/>
        <v>0.05</v>
      </c>
      <c r="T156" s="3" t="s">
        <v>45</v>
      </c>
      <c r="U156" s="3" t="s">
        <v>760</v>
      </c>
      <c r="V156" s="4" t="s">
        <v>126</v>
      </c>
      <c r="X156" s="44" t="s">
        <v>623</v>
      </c>
      <c r="Y156" s="44" t="s">
        <v>626</v>
      </c>
    </row>
    <row r="157" spans="2:27" x14ac:dyDescent="0.25">
      <c r="B157" s="3" t="s">
        <v>769</v>
      </c>
      <c r="C157" s="3" t="s">
        <v>145</v>
      </c>
      <c r="D157" s="3">
        <v>0.19</v>
      </c>
      <c r="E157" s="3">
        <v>1.02</v>
      </c>
      <c r="F157" s="3">
        <v>0.33</v>
      </c>
      <c r="N157" s="9">
        <f t="shared" si="69"/>
        <v>1.9380000000000002</v>
      </c>
      <c r="O157" s="9">
        <f t="shared" si="70"/>
        <v>0.627</v>
      </c>
      <c r="T157" s="3" t="s">
        <v>45</v>
      </c>
      <c r="U157" s="3" t="s">
        <v>760</v>
      </c>
      <c r="V157" s="4" t="s">
        <v>126</v>
      </c>
      <c r="X157" s="44" t="s">
        <v>623</v>
      </c>
      <c r="Y157" s="44" t="s">
        <v>626</v>
      </c>
    </row>
    <row r="158" spans="2:27" x14ac:dyDescent="0.25">
      <c r="B158" s="3" t="s">
        <v>770</v>
      </c>
      <c r="C158" s="3" t="s">
        <v>145</v>
      </c>
      <c r="D158" s="5">
        <f>0.08+0.02</f>
        <v>0.1</v>
      </c>
      <c r="E158" s="5">
        <f>(1.13*0.08+0.89*0.02)/$D158</f>
        <v>1.0819999999999999</v>
      </c>
      <c r="F158" s="5">
        <f>(0.33*0.08+0.3*0.02)/$D158</f>
        <v>0.32400000000000001</v>
      </c>
      <c r="G158" s="5">
        <f>(0.04*0.08+0.03*0.02)/$D158</f>
        <v>3.7999999999999999E-2</v>
      </c>
      <c r="N158" s="9">
        <f t="shared" si="69"/>
        <v>1.0819999999999999</v>
      </c>
      <c r="O158" s="9">
        <f t="shared" si="70"/>
        <v>0.32400000000000001</v>
      </c>
      <c r="P158" s="9">
        <f t="shared" si="71"/>
        <v>3.7999999999999999E-2</v>
      </c>
      <c r="T158" s="3" t="s">
        <v>45</v>
      </c>
      <c r="U158" s="3" t="s">
        <v>760</v>
      </c>
      <c r="V158" s="4" t="s">
        <v>126</v>
      </c>
      <c r="X158" s="44" t="s">
        <v>623</v>
      </c>
      <c r="Y158" s="44" t="s">
        <v>580</v>
      </c>
    </row>
    <row r="159" spans="2:27" x14ac:dyDescent="0.25">
      <c r="B159" s="3" t="s">
        <v>172</v>
      </c>
      <c r="C159" s="3" t="s">
        <v>142</v>
      </c>
      <c r="D159" s="3">
        <f>0.312+0.444+4.775+0.49</f>
        <v>6.0210000000000008</v>
      </c>
      <c r="E159" s="5">
        <f>(0.61*0.312+0.59*0.444+0.5*4.775+0.67*0.49)/D159</f>
        <v>0.52617173227038694</v>
      </c>
      <c r="F159" s="5">
        <f>(0.24*0.312+0.22*0.444+0.16*4.775+0.2*0.49)/D159</f>
        <v>0.1718252781929912</v>
      </c>
      <c r="N159" s="9">
        <f t="shared" si="62"/>
        <v>31.680800000000005</v>
      </c>
      <c r="O159" s="9">
        <f t="shared" si="63"/>
        <v>10.345600000000001</v>
      </c>
      <c r="T159" s="3" t="s">
        <v>45</v>
      </c>
      <c r="U159" s="3" t="s">
        <v>649</v>
      </c>
      <c r="V159" s="4" t="s">
        <v>781</v>
      </c>
      <c r="X159" s="44" t="s">
        <v>623</v>
      </c>
      <c r="Y159" s="44" t="s">
        <v>626</v>
      </c>
    </row>
    <row r="160" spans="2:27" x14ac:dyDescent="0.25">
      <c r="B160" s="3" t="s">
        <v>1017</v>
      </c>
      <c r="C160" s="3" t="s">
        <v>142</v>
      </c>
      <c r="D160" s="7">
        <f>890+660</f>
        <v>1550</v>
      </c>
      <c r="E160" s="3">
        <f>(0.22*890+0.23*660)/D160</f>
        <v>0.22425806451612904</v>
      </c>
      <c r="F160" s="3">
        <f>(0.49*890+0.49*660)/D160</f>
        <v>0.49</v>
      </c>
      <c r="G160" s="3">
        <f>(0.02*890+0.02*660)/D160</f>
        <v>0.02</v>
      </c>
      <c r="L160" s="3" t="s">
        <v>758</v>
      </c>
      <c r="M160" s="3" t="s">
        <v>759</v>
      </c>
      <c r="N160" s="9">
        <f t="shared" si="62"/>
        <v>3476</v>
      </c>
      <c r="O160" s="9">
        <f t="shared" si="63"/>
        <v>7595</v>
      </c>
      <c r="P160" s="9">
        <f>1000*D160*G160/100</f>
        <v>310</v>
      </c>
      <c r="T160" s="3" t="s">
        <v>45</v>
      </c>
      <c r="U160" s="3" t="s">
        <v>649</v>
      </c>
      <c r="V160" s="4" t="s">
        <v>201</v>
      </c>
      <c r="X160" s="44" t="s">
        <v>579</v>
      </c>
      <c r="Y160" s="44" t="s">
        <v>977</v>
      </c>
      <c r="Z160" s="3" t="s">
        <v>978</v>
      </c>
      <c r="AA160" s="3" t="s">
        <v>581</v>
      </c>
    </row>
    <row r="161" spans="2:27" x14ac:dyDescent="0.25">
      <c r="B161" s="3" t="s">
        <v>782</v>
      </c>
      <c r="C161" s="3" t="s">
        <v>145</v>
      </c>
      <c r="D161" s="3">
        <v>2.6960000000000002</v>
      </c>
      <c r="E161" s="3">
        <v>0.47</v>
      </c>
      <c r="F161" s="3">
        <v>0.34</v>
      </c>
      <c r="N161" s="9">
        <f t="shared" si="62"/>
        <v>12.671199999999999</v>
      </c>
      <c r="O161" s="9">
        <f t="shared" si="63"/>
        <v>9.1664000000000012</v>
      </c>
      <c r="P161" s="9"/>
      <c r="T161" s="3" t="s">
        <v>45</v>
      </c>
      <c r="U161" s="3" t="s">
        <v>649</v>
      </c>
      <c r="V161" s="4" t="s">
        <v>353</v>
      </c>
      <c r="X161" s="44" t="s">
        <v>623</v>
      </c>
      <c r="Y161" s="44" t="s">
        <v>626</v>
      </c>
    </row>
    <row r="162" spans="2:27" x14ac:dyDescent="0.25">
      <c r="B162" s="3" t="s">
        <v>789</v>
      </c>
      <c r="C162" s="3" t="s">
        <v>145</v>
      </c>
      <c r="D162" s="3">
        <v>3.5</v>
      </c>
      <c r="E162" s="3">
        <v>0.32</v>
      </c>
      <c r="F162" s="3">
        <v>0.28000000000000003</v>
      </c>
      <c r="N162" s="9">
        <f t="shared" ref="N162" si="72">1000*D162*E162/100</f>
        <v>11.2</v>
      </c>
      <c r="O162" s="9">
        <f t="shared" ref="O162" si="73">1000*D162*F162/100</f>
        <v>9.8000000000000007</v>
      </c>
      <c r="P162" s="9"/>
      <c r="T162" s="3" t="s">
        <v>45</v>
      </c>
      <c r="U162" s="3" t="s">
        <v>793</v>
      </c>
      <c r="V162" s="25" t="s">
        <v>102</v>
      </c>
      <c r="X162" s="44" t="s">
        <v>623</v>
      </c>
      <c r="Y162" s="44" t="s">
        <v>626</v>
      </c>
    </row>
    <row r="163" spans="2:27" x14ac:dyDescent="0.25">
      <c r="B163" s="3" t="s">
        <v>535</v>
      </c>
      <c r="C163" s="3" t="s">
        <v>145</v>
      </c>
      <c r="N163" s="9">
        <f t="shared" si="62"/>
        <v>0</v>
      </c>
      <c r="O163" s="9">
        <f t="shared" si="63"/>
        <v>0</v>
      </c>
      <c r="P163" s="9"/>
      <c r="T163" s="3" t="s">
        <v>45</v>
      </c>
      <c r="V163" s="4" t="s">
        <v>536</v>
      </c>
      <c r="X163" s="44" t="s">
        <v>579</v>
      </c>
      <c r="Y163" s="44" t="s">
        <v>977</v>
      </c>
      <c r="Z163" s="3" t="s">
        <v>978</v>
      </c>
      <c r="AA163" s="3" t="s">
        <v>581</v>
      </c>
    </row>
    <row r="164" spans="2:27" x14ac:dyDescent="0.25">
      <c r="B164" s="3" t="s">
        <v>790</v>
      </c>
      <c r="C164" s="3" t="s">
        <v>145</v>
      </c>
      <c r="D164" s="3">
        <v>34.4</v>
      </c>
      <c r="E164" s="3">
        <v>0.19</v>
      </c>
      <c r="F164" s="5">
        <v>0.1</v>
      </c>
      <c r="L164" s="3" t="s">
        <v>758</v>
      </c>
      <c r="N164" s="9">
        <f t="shared" ref="N164" si="74">1000*D164*E164/100</f>
        <v>65.36</v>
      </c>
      <c r="O164" s="9">
        <f t="shared" ref="O164" si="75">1000*D164*F164/100</f>
        <v>34.4</v>
      </c>
      <c r="P164" s="9"/>
      <c r="T164" s="3" t="s">
        <v>45</v>
      </c>
      <c r="U164" s="3" t="s">
        <v>791</v>
      </c>
      <c r="V164" s="4" t="s">
        <v>792</v>
      </c>
      <c r="X164" s="44" t="s">
        <v>579</v>
      </c>
      <c r="Y164" s="44" t="s">
        <v>985</v>
      </c>
    </row>
    <row r="165" spans="2:27" x14ac:dyDescent="0.25">
      <c r="B165" s="3" t="s">
        <v>783</v>
      </c>
      <c r="C165" s="3" t="s">
        <v>145</v>
      </c>
      <c r="D165" s="3">
        <f>2.887+9.225</f>
        <v>12.112</v>
      </c>
      <c r="E165" s="5">
        <f>(0.1158*2.887+0.1047*9.225)/$D165</f>
        <v>0.10734578104359313</v>
      </c>
      <c r="F165" s="5">
        <f>(0.1698*2.887+0.1546*9.225)/$D165</f>
        <v>0.15822305151915453</v>
      </c>
      <c r="G165" s="29">
        <f>(0.0065*2.887+0.0055*9.225)/$D165</f>
        <v>5.7383586525759575E-3</v>
      </c>
      <c r="H165" s="5">
        <f>(0.07*2.887+0.08*9.225)/$D165</f>
        <v>7.761641347424042E-2</v>
      </c>
      <c r="J165" s="5">
        <f>(0.21*2.887+0.26*9.225)/$D165</f>
        <v>0.24808206737120209</v>
      </c>
      <c r="K165" s="5">
        <f>(0.65*2.887+0.73*9.225)/$D165</f>
        <v>0.71093130779392333</v>
      </c>
      <c r="N165" s="9">
        <f t="shared" si="62"/>
        <v>13.001721</v>
      </c>
      <c r="O165" s="9">
        <f t="shared" si="63"/>
        <v>19.163975999999995</v>
      </c>
      <c r="P165" s="9">
        <f>1000*D165*G165/100</f>
        <v>0.69503000000000004</v>
      </c>
      <c r="Q165" s="9">
        <f>D165*J165</f>
        <v>3.0047699999999997</v>
      </c>
      <c r="R165" s="9">
        <f>D165*K165</f>
        <v>8.6107999999999993</v>
      </c>
      <c r="S165" s="10">
        <f>D165*H165</f>
        <v>0.94008999999999998</v>
      </c>
      <c r="T165" s="3" t="s">
        <v>45</v>
      </c>
      <c r="U165" s="3" t="s">
        <v>785</v>
      </c>
      <c r="V165" s="4" t="s">
        <v>788</v>
      </c>
      <c r="X165" s="44" t="s">
        <v>623</v>
      </c>
      <c r="Y165" s="44" t="s">
        <v>580</v>
      </c>
      <c r="Z165" s="3" t="s">
        <v>618</v>
      </c>
    </row>
    <row r="166" spans="2:27" x14ac:dyDescent="0.25">
      <c r="B166" s="3" t="s">
        <v>784</v>
      </c>
      <c r="C166" s="3" t="s">
        <v>145</v>
      </c>
      <c r="D166" s="3">
        <f>18.179+2.542</f>
        <v>20.720999999999997</v>
      </c>
      <c r="E166" s="5">
        <f>(0.15*18.179+0.1593*2.542)/$D166</f>
        <v>0.15114090053568843</v>
      </c>
      <c r="F166" s="5">
        <f>(0.2404*18.179+0.2205*2.542)/$D166</f>
        <v>0.23795871820858067</v>
      </c>
      <c r="G166" s="29">
        <f>(0.0056*18.179+0.0062*2.542)/$D166</f>
        <v>5.6736064861734473E-3</v>
      </c>
      <c r="H166" s="29">
        <f>(0.0056*18.179+0.0062*2.542)/$D166</f>
        <v>5.6736064861734473E-3</v>
      </c>
      <c r="I166" s="6"/>
      <c r="J166" s="5">
        <f>(0.09*18.179+0.04*2.542)/$D166</f>
        <v>8.3866126152212728E-2</v>
      </c>
      <c r="K166" s="5">
        <f>(0.26*18.179+0.12*2.542)/$D166</f>
        <v>0.24282515322619569</v>
      </c>
      <c r="L166" s="6"/>
      <c r="M166" s="6"/>
      <c r="N166" s="9">
        <f t="shared" ref="N166" si="76">1000*D166*E166/100</f>
        <v>31.317905999999994</v>
      </c>
      <c r="O166" s="9">
        <f t="shared" ref="O166" si="77">1000*D166*F166/100</f>
        <v>49.307425999999985</v>
      </c>
      <c r="P166" s="9">
        <f>1000*D166*G166/100</f>
        <v>1.1756279999999999</v>
      </c>
      <c r="Q166" s="9">
        <f>D166*J166</f>
        <v>1.7377899999999997</v>
      </c>
      <c r="R166" s="9">
        <f>D166*K166</f>
        <v>5.0315799999999999</v>
      </c>
      <c r="S166" s="10">
        <f>D166*H166</f>
        <v>0.11756279999999998</v>
      </c>
      <c r="T166" s="3" t="s">
        <v>45</v>
      </c>
      <c r="U166" s="3" t="s">
        <v>785</v>
      </c>
      <c r="V166" s="4" t="s">
        <v>788</v>
      </c>
      <c r="X166" s="44" t="s">
        <v>623</v>
      </c>
      <c r="Y166" s="44" t="s">
        <v>580</v>
      </c>
      <c r="Z166" s="3" t="s">
        <v>618</v>
      </c>
    </row>
    <row r="167" spans="2:27" x14ac:dyDescent="0.25">
      <c r="B167" s="3" t="s">
        <v>519</v>
      </c>
      <c r="C167" s="3" t="s">
        <v>145</v>
      </c>
      <c r="D167" s="6">
        <v>0.2</v>
      </c>
      <c r="E167" s="6">
        <v>0.15</v>
      </c>
      <c r="F167" s="6">
        <v>0.5</v>
      </c>
      <c r="G167" s="6"/>
      <c r="H167" s="6"/>
      <c r="I167" s="6"/>
      <c r="J167" s="6"/>
      <c r="K167" s="6"/>
      <c r="N167" s="9">
        <f t="shared" si="62"/>
        <v>0.3</v>
      </c>
      <c r="O167" s="9">
        <f t="shared" si="63"/>
        <v>1</v>
      </c>
      <c r="P167" s="9"/>
      <c r="T167" s="3" t="s">
        <v>45</v>
      </c>
      <c r="V167" s="25" t="s">
        <v>102</v>
      </c>
      <c r="W167" s="17" t="s">
        <v>520</v>
      </c>
      <c r="X167" s="44" t="s">
        <v>579</v>
      </c>
      <c r="Y167" s="44" t="s">
        <v>624</v>
      </c>
      <c r="Z167" s="3" t="s">
        <v>624</v>
      </c>
    </row>
    <row r="168" spans="2:27" x14ac:dyDescent="0.25">
      <c r="B168" s="3" t="s">
        <v>521</v>
      </c>
      <c r="C168" s="3" t="s">
        <v>145</v>
      </c>
      <c r="D168" s="6">
        <v>0.4</v>
      </c>
      <c r="E168" s="6">
        <v>0.18</v>
      </c>
      <c r="F168" s="6">
        <v>0.44</v>
      </c>
      <c r="G168" s="6">
        <v>7.0000000000000007E-2</v>
      </c>
      <c r="H168" s="6"/>
      <c r="I168" s="6"/>
      <c r="J168" s="6"/>
      <c r="K168" s="6"/>
      <c r="N168" s="9">
        <f t="shared" si="62"/>
        <v>0.72</v>
      </c>
      <c r="O168" s="9">
        <f t="shared" si="63"/>
        <v>1.76</v>
      </c>
      <c r="P168" s="9">
        <f>1000*D168*G168/100</f>
        <v>0.28000000000000003</v>
      </c>
      <c r="T168" s="3" t="s">
        <v>45</v>
      </c>
      <c r="V168" s="25" t="s">
        <v>102</v>
      </c>
      <c r="W168" s="17" t="s">
        <v>520</v>
      </c>
      <c r="X168" s="44" t="s">
        <v>579</v>
      </c>
      <c r="Y168" s="44" t="s">
        <v>624</v>
      </c>
      <c r="Z168" s="3" t="s">
        <v>624</v>
      </c>
    </row>
    <row r="169" spans="2:27" x14ac:dyDescent="0.25">
      <c r="B169" s="3" t="s">
        <v>522</v>
      </c>
      <c r="C169" s="3" t="s">
        <v>145</v>
      </c>
      <c r="D169" s="6">
        <v>1.32</v>
      </c>
      <c r="E169" s="6">
        <v>0.15</v>
      </c>
      <c r="F169" s="6">
        <v>2.15</v>
      </c>
      <c r="G169" s="6">
        <v>0.16</v>
      </c>
      <c r="H169" s="6"/>
      <c r="I169" s="6"/>
      <c r="J169" s="6"/>
      <c r="K169" s="6"/>
      <c r="N169" s="9">
        <f t="shared" si="62"/>
        <v>1.98</v>
      </c>
      <c r="O169" s="9">
        <f t="shared" si="63"/>
        <v>28.38</v>
      </c>
      <c r="P169" s="9">
        <f>1000*D169*G169/100</f>
        <v>2.1120000000000001</v>
      </c>
      <c r="T169" s="3" t="s">
        <v>45</v>
      </c>
      <c r="V169" s="25" t="s">
        <v>102</v>
      </c>
      <c r="W169" s="17" t="s">
        <v>520</v>
      </c>
      <c r="X169" s="44" t="s">
        <v>579</v>
      </c>
      <c r="Y169" s="44" t="s">
        <v>624</v>
      </c>
      <c r="Z169" s="3" t="s">
        <v>624</v>
      </c>
    </row>
    <row r="170" spans="2:27" x14ac:dyDescent="0.25">
      <c r="B170" s="3" t="s">
        <v>523</v>
      </c>
      <c r="C170" s="3" t="s">
        <v>145</v>
      </c>
      <c r="D170" s="6">
        <v>4.2</v>
      </c>
      <c r="E170" s="6">
        <v>0.52</v>
      </c>
      <c r="F170" s="6"/>
      <c r="G170" s="6"/>
      <c r="H170" s="6"/>
      <c r="I170" s="6"/>
      <c r="J170" s="6"/>
      <c r="K170" s="6"/>
      <c r="N170" s="9">
        <f t="shared" si="62"/>
        <v>21.84</v>
      </c>
      <c r="T170" s="3" t="s">
        <v>45</v>
      </c>
      <c r="V170" s="25" t="s">
        <v>102</v>
      </c>
      <c r="W170" s="17" t="s">
        <v>520</v>
      </c>
      <c r="X170" s="44" t="s">
        <v>623</v>
      </c>
      <c r="Y170" s="44" t="s">
        <v>986</v>
      </c>
    </row>
    <row r="171" spans="2:27" x14ac:dyDescent="0.25">
      <c r="B171" s="3" t="s">
        <v>524</v>
      </c>
      <c r="C171" s="3" t="s">
        <v>145</v>
      </c>
      <c r="D171" s="6">
        <v>6.98</v>
      </c>
      <c r="E171" s="6">
        <v>0.24</v>
      </c>
      <c r="F171" s="6">
        <v>0.38</v>
      </c>
      <c r="G171" s="6"/>
      <c r="H171" s="6">
        <v>0.2</v>
      </c>
      <c r="I171" s="6"/>
      <c r="J171" s="6">
        <v>0.6</v>
      </c>
      <c r="K171" s="6">
        <v>0.2</v>
      </c>
      <c r="N171" s="9">
        <f t="shared" si="62"/>
        <v>16.751999999999999</v>
      </c>
      <c r="O171" s="9">
        <f t="shared" ref="O171:O178" si="78">1000*D171*F171/100</f>
        <v>26.524000000000001</v>
      </c>
      <c r="Q171" s="9">
        <f>D171*J171</f>
        <v>4.1879999999999997</v>
      </c>
      <c r="R171" s="9">
        <f>D171*K171</f>
        <v>1.3960000000000001</v>
      </c>
      <c r="S171" s="10">
        <f>D171*H171</f>
        <v>1.3960000000000001</v>
      </c>
      <c r="T171" s="3" t="s">
        <v>45</v>
      </c>
      <c r="V171" s="25" t="s">
        <v>102</v>
      </c>
      <c r="W171" s="17" t="s">
        <v>520</v>
      </c>
      <c r="X171" s="44" t="s">
        <v>623</v>
      </c>
      <c r="Y171" s="44" t="s">
        <v>580</v>
      </c>
      <c r="Z171" s="3" t="s">
        <v>618</v>
      </c>
    </row>
    <row r="172" spans="2:27" x14ac:dyDescent="0.25">
      <c r="B172" s="3" t="s">
        <v>525</v>
      </c>
      <c r="C172" s="3" t="s">
        <v>145</v>
      </c>
      <c r="D172" s="3">
        <v>0.85</v>
      </c>
      <c r="E172" s="3">
        <v>0.67</v>
      </c>
      <c r="F172" s="3">
        <v>0.49</v>
      </c>
      <c r="G172" s="6"/>
      <c r="H172" s="6"/>
      <c r="I172" s="6"/>
      <c r="J172" s="6">
        <v>0.68</v>
      </c>
      <c r="K172" s="6">
        <v>0.27</v>
      </c>
      <c r="N172" s="9">
        <f t="shared" si="62"/>
        <v>5.6950000000000003</v>
      </c>
      <c r="O172" s="9">
        <f t="shared" si="78"/>
        <v>4.165</v>
      </c>
      <c r="Q172" s="9">
        <f>D172*J172</f>
        <v>0.57800000000000007</v>
      </c>
      <c r="R172" s="9">
        <f>D172*K172</f>
        <v>0.22950000000000001</v>
      </c>
      <c r="S172" s="10"/>
      <c r="T172" s="3" t="s">
        <v>45</v>
      </c>
      <c r="V172" s="25" t="s">
        <v>102</v>
      </c>
      <c r="W172" s="17" t="s">
        <v>520</v>
      </c>
      <c r="X172" s="44" t="s">
        <v>623</v>
      </c>
      <c r="Y172" s="44" t="s">
        <v>580</v>
      </c>
      <c r="Z172" s="3" t="s">
        <v>618</v>
      </c>
    </row>
    <row r="173" spans="2:27" x14ac:dyDescent="0.25">
      <c r="B173" s="3" t="s">
        <v>526</v>
      </c>
      <c r="C173" s="3" t="s">
        <v>145</v>
      </c>
      <c r="D173" s="3">
        <v>1.3</v>
      </c>
      <c r="E173" s="5">
        <v>0.95</v>
      </c>
      <c r="F173" s="5">
        <v>0.16</v>
      </c>
      <c r="G173" s="6">
        <v>0.05</v>
      </c>
      <c r="H173" s="6"/>
      <c r="I173" s="6"/>
      <c r="J173" s="6"/>
      <c r="K173" s="6"/>
      <c r="N173" s="9">
        <f t="shared" si="62"/>
        <v>12.35</v>
      </c>
      <c r="O173" s="9">
        <f t="shared" si="78"/>
        <v>2.08</v>
      </c>
      <c r="P173" s="9">
        <f>1000*D173*G173/100</f>
        <v>0.65</v>
      </c>
      <c r="Q173" s="9"/>
      <c r="R173" s="9"/>
      <c r="S173" s="10"/>
      <c r="T173" s="3" t="s">
        <v>45</v>
      </c>
      <c r="V173" s="25" t="s">
        <v>102</v>
      </c>
      <c r="W173" s="17" t="s">
        <v>520</v>
      </c>
      <c r="X173" s="44" t="s">
        <v>623</v>
      </c>
      <c r="Y173" s="44" t="s">
        <v>625</v>
      </c>
    </row>
    <row r="174" spans="2:27" x14ac:dyDescent="0.25">
      <c r="B174" s="3" t="s">
        <v>527</v>
      </c>
      <c r="C174" s="3" t="s">
        <v>145</v>
      </c>
      <c r="D174" s="3">
        <v>1.2</v>
      </c>
      <c r="E174" s="5">
        <v>0.47</v>
      </c>
      <c r="F174" s="5">
        <v>0.31</v>
      </c>
      <c r="G174" s="6"/>
      <c r="H174" s="6"/>
      <c r="I174" s="6"/>
      <c r="J174" s="6"/>
      <c r="K174" s="6"/>
      <c r="N174" s="9">
        <f t="shared" si="62"/>
        <v>5.64</v>
      </c>
      <c r="O174" s="9">
        <f t="shared" si="78"/>
        <v>3.72</v>
      </c>
      <c r="Q174" s="9"/>
      <c r="R174" s="9"/>
      <c r="S174" s="10"/>
      <c r="T174" s="3" t="s">
        <v>45</v>
      </c>
      <c r="V174" s="25" t="s">
        <v>102</v>
      </c>
      <c r="W174" s="17" t="s">
        <v>520</v>
      </c>
      <c r="X174" s="44" t="s">
        <v>623</v>
      </c>
      <c r="Y174" s="44" t="s">
        <v>626</v>
      </c>
    </row>
    <row r="175" spans="2:27" x14ac:dyDescent="0.25">
      <c r="B175" s="3" t="s">
        <v>999</v>
      </c>
      <c r="C175" s="3" t="s">
        <v>145</v>
      </c>
      <c r="D175" s="3">
        <v>0.9</v>
      </c>
      <c r="E175" s="5">
        <v>0.75</v>
      </c>
      <c r="F175" s="5">
        <v>0.25</v>
      </c>
      <c r="G175" s="6">
        <v>0.03</v>
      </c>
      <c r="H175" s="6"/>
      <c r="I175" s="6"/>
      <c r="J175" s="6"/>
      <c r="K175" s="6"/>
      <c r="N175" s="9">
        <f t="shared" si="62"/>
        <v>6.75</v>
      </c>
      <c r="O175" s="9">
        <f t="shared" si="78"/>
        <v>2.25</v>
      </c>
      <c r="P175" s="9">
        <f>1000*D175*G175/100</f>
        <v>0.27</v>
      </c>
      <c r="Q175" s="9"/>
      <c r="R175" s="9"/>
      <c r="S175" s="10"/>
      <c r="T175" s="3" t="s">
        <v>45</v>
      </c>
      <c r="V175" s="25" t="s">
        <v>102</v>
      </c>
      <c r="W175" s="17" t="s">
        <v>520</v>
      </c>
      <c r="X175" s="44" t="s">
        <v>623</v>
      </c>
      <c r="Y175" s="44" t="s">
        <v>580</v>
      </c>
      <c r="Z175" s="3" t="s">
        <v>618</v>
      </c>
    </row>
    <row r="176" spans="2:27" x14ac:dyDescent="0.25">
      <c r="B176" s="3" t="s">
        <v>528</v>
      </c>
      <c r="C176" s="3" t="s">
        <v>145</v>
      </c>
      <c r="D176" s="3">
        <v>0.65</v>
      </c>
      <c r="E176" s="5">
        <v>0.97</v>
      </c>
      <c r="F176" s="5">
        <v>0.31</v>
      </c>
      <c r="G176" s="6"/>
      <c r="H176" s="6"/>
      <c r="I176" s="6"/>
      <c r="J176" s="6"/>
      <c r="K176" s="6"/>
      <c r="N176" s="9">
        <f t="shared" si="62"/>
        <v>6.3049999999999997</v>
      </c>
      <c r="O176" s="9">
        <f t="shared" si="78"/>
        <v>2.0150000000000001</v>
      </c>
      <c r="Q176" s="9"/>
      <c r="R176" s="9"/>
      <c r="S176" s="10"/>
      <c r="T176" s="3" t="s">
        <v>45</v>
      </c>
      <c r="V176" s="25" t="s">
        <v>102</v>
      </c>
      <c r="W176" s="17" t="s">
        <v>520</v>
      </c>
      <c r="X176" s="44" t="s">
        <v>623</v>
      </c>
      <c r="Y176" s="44" t="s">
        <v>626</v>
      </c>
    </row>
    <row r="177" spans="1:27" x14ac:dyDescent="0.25">
      <c r="B177" s="3" t="s">
        <v>529</v>
      </c>
      <c r="C177" s="3" t="s">
        <v>145</v>
      </c>
      <c r="D177" s="3">
        <v>1.22</v>
      </c>
      <c r="E177" s="5">
        <v>0.47</v>
      </c>
      <c r="F177" s="5">
        <v>0.45</v>
      </c>
      <c r="G177" s="6">
        <v>0.12</v>
      </c>
      <c r="H177" s="6"/>
      <c r="I177" s="6"/>
      <c r="J177" s="6"/>
      <c r="K177" s="6"/>
      <c r="N177" s="9">
        <f t="shared" si="62"/>
        <v>5.734</v>
      </c>
      <c r="O177" s="9">
        <f t="shared" si="78"/>
        <v>5.49</v>
      </c>
      <c r="P177" s="9">
        <f>1000*D177*G177/100</f>
        <v>1.464</v>
      </c>
      <c r="Q177" s="9"/>
      <c r="R177" s="9"/>
      <c r="S177" s="10"/>
      <c r="T177" s="3" t="s">
        <v>45</v>
      </c>
      <c r="V177" s="25" t="s">
        <v>102</v>
      </c>
      <c r="W177" s="17" t="s">
        <v>520</v>
      </c>
      <c r="X177" s="44" t="s">
        <v>579</v>
      </c>
      <c r="Y177" s="44" t="s">
        <v>624</v>
      </c>
      <c r="Z177" s="3" t="s">
        <v>624</v>
      </c>
    </row>
    <row r="178" spans="1:27" x14ac:dyDescent="0.25">
      <c r="B178" s="3" t="s">
        <v>786</v>
      </c>
      <c r="C178" s="3" t="s">
        <v>145</v>
      </c>
      <c r="D178" s="3">
        <f>46.7+40.9+24.8+49.4</f>
        <v>161.79999999999998</v>
      </c>
      <c r="E178" s="5">
        <f>(0.11*46.7+0.08*40.9+0.08*24.8+0.09*49.4)/$D178</f>
        <v>9.1711990111248462E-2</v>
      </c>
      <c r="F178" s="5">
        <f>(0.25*46.7+0.24*40.9+0.22*24.8+0.24*49.4)/$D178</f>
        <v>0.23982076637824476</v>
      </c>
      <c r="H178" s="5">
        <f>(0.16*46.7+0.16*40.9+0.14*24.8+(0.156/(0.156+0.35+1.465))*49.4)/$D178</f>
        <v>0.13224903247897984</v>
      </c>
      <c r="J178" s="5">
        <f>(0.41*46.7+0.3*40.9+0.32*24.8+(0.35/(0.156+0.35+1.465))*49.4)/$D178</f>
        <v>0.29743632172057255</v>
      </c>
      <c r="K178" s="5">
        <f>(1.69*46.7+1.32*40.9+1.28*24.8+(1.465/(0.156+0.35+1.465))*49.4)/$D178</f>
        <v>1.2445791699042796</v>
      </c>
      <c r="N178" s="9">
        <f t="shared" si="62"/>
        <v>148.38999999999999</v>
      </c>
      <c r="O178" s="9">
        <f t="shared" si="78"/>
        <v>388.02999999999992</v>
      </c>
      <c r="Q178" s="9">
        <f>D178*J178</f>
        <v>48.125196854388633</v>
      </c>
      <c r="R178" s="9">
        <f>D178*K178</f>
        <v>201.37290969051242</v>
      </c>
      <c r="S178" s="10">
        <f>D178*H178</f>
        <v>21.397893455098938</v>
      </c>
      <c r="T178" s="3" t="s">
        <v>45</v>
      </c>
      <c r="U178" s="3" t="s">
        <v>649</v>
      </c>
      <c r="V178" s="4" t="s">
        <v>132</v>
      </c>
      <c r="W178" s="4" t="s">
        <v>787</v>
      </c>
      <c r="X178" s="44" t="s">
        <v>623</v>
      </c>
      <c r="Y178" s="44" t="s">
        <v>580</v>
      </c>
      <c r="Z178" s="3" t="s">
        <v>618</v>
      </c>
    </row>
    <row r="179" spans="1:27" x14ac:dyDescent="0.25">
      <c r="X179" s="44"/>
      <c r="Y179" s="44"/>
    </row>
    <row r="180" spans="1:27" x14ac:dyDescent="0.25">
      <c r="A180" s="26" t="s">
        <v>173</v>
      </c>
      <c r="B180" s="26" t="s">
        <v>173</v>
      </c>
      <c r="C180" s="26" t="s">
        <v>173</v>
      </c>
      <c r="D180" s="26" t="s">
        <v>173</v>
      </c>
      <c r="E180" s="26" t="s">
        <v>173</v>
      </c>
      <c r="F180" s="26" t="s">
        <v>173</v>
      </c>
      <c r="G180" s="26" t="s">
        <v>173</v>
      </c>
      <c r="H180" s="26" t="s">
        <v>173</v>
      </c>
      <c r="I180" s="26" t="s">
        <v>173</v>
      </c>
      <c r="J180" s="26" t="s">
        <v>173</v>
      </c>
      <c r="K180" s="26" t="s">
        <v>173</v>
      </c>
      <c r="L180" s="26" t="s">
        <v>173</v>
      </c>
      <c r="M180" s="26" t="s">
        <v>173</v>
      </c>
      <c r="N180" s="26" t="s">
        <v>173</v>
      </c>
      <c r="O180" s="26" t="s">
        <v>173</v>
      </c>
      <c r="P180" s="26" t="s">
        <v>173</v>
      </c>
      <c r="Q180" s="26" t="s">
        <v>173</v>
      </c>
      <c r="R180" s="26" t="s">
        <v>173</v>
      </c>
      <c r="S180" s="26" t="s">
        <v>173</v>
      </c>
      <c r="T180" s="26" t="s">
        <v>173</v>
      </c>
      <c r="U180" s="26" t="s">
        <v>173</v>
      </c>
      <c r="V180" s="26" t="s">
        <v>173</v>
      </c>
      <c r="W180" s="26" t="s">
        <v>173</v>
      </c>
      <c r="X180" s="44"/>
      <c r="Y180" s="44"/>
    </row>
    <row r="181" spans="1:27" x14ac:dyDescent="0.25">
      <c r="A181" s="39">
        <f>COUNT(D183:D185)</f>
        <v>3</v>
      </c>
      <c r="B181" s="49" t="s">
        <v>45</v>
      </c>
      <c r="C181" s="49" t="s">
        <v>45</v>
      </c>
      <c r="D181" s="19">
        <f>SUM(D183:D185)</f>
        <v>435.16</v>
      </c>
      <c r="E181" s="14">
        <f>100*(N181/1000)/D181</f>
        <v>1.3792896405919661</v>
      </c>
      <c r="F181" s="14">
        <f>100*(O181/1000)/D181</f>
        <v>0.87324202592150013</v>
      </c>
      <c r="N181" s="19">
        <f>SUM(N183:N185)</f>
        <v>6002.1168000000007</v>
      </c>
      <c r="O181" s="19">
        <f>SUM(O183:O185)</f>
        <v>3800</v>
      </c>
      <c r="P181" s="19">
        <f>SUM(P183:P185)</f>
        <v>111.42960000000001</v>
      </c>
      <c r="X181" s="44"/>
      <c r="Y181" s="44"/>
    </row>
    <row r="182" spans="1:27" x14ac:dyDescent="0.25">
      <c r="A182" s="1" t="s">
        <v>150</v>
      </c>
      <c r="B182" s="1" t="s">
        <v>134</v>
      </c>
      <c r="C182" s="1" t="s">
        <v>141</v>
      </c>
      <c r="D182" s="2" t="s">
        <v>0</v>
      </c>
      <c r="E182" s="2" t="s">
        <v>10</v>
      </c>
      <c r="F182" s="2" t="s">
        <v>2</v>
      </c>
      <c r="G182" s="2" t="s">
        <v>9</v>
      </c>
      <c r="H182" s="2" t="s">
        <v>1</v>
      </c>
      <c r="I182" s="2" t="s">
        <v>3</v>
      </c>
      <c r="J182" s="2" t="s">
        <v>162</v>
      </c>
      <c r="K182" s="2" t="s">
        <v>163</v>
      </c>
      <c r="L182" s="2" t="s">
        <v>653</v>
      </c>
      <c r="M182" s="2" t="s">
        <v>640</v>
      </c>
      <c r="N182" s="2" t="s">
        <v>11</v>
      </c>
      <c r="O182" s="2" t="s">
        <v>4</v>
      </c>
      <c r="P182" s="2" t="s">
        <v>12</v>
      </c>
      <c r="Q182" s="2" t="s">
        <v>857</v>
      </c>
      <c r="R182" s="2" t="s">
        <v>164</v>
      </c>
      <c r="S182" s="2" t="s">
        <v>165</v>
      </c>
      <c r="T182" s="2" t="s">
        <v>44</v>
      </c>
      <c r="U182" s="2" t="s">
        <v>639</v>
      </c>
      <c r="V182" s="8" t="s">
        <v>5</v>
      </c>
      <c r="W182" s="15" t="s">
        <v>64</v>
      </c>
      <c r="X182" s="44"/>
      <c r="Y182" s="44"/>
    </row>
    <row r="183" spans="1:27" x14ac:dyDescent="0.25">
      <c r="B183" s="3" t="s">
        <v>174</v>
      </c>
      <c r="C183" s="3" t="s">
        <v>142</v>
      </c>
      <c r="D183" s="3">
        <v>432</v>
      </c>
      <c r="E183" s="5">
        <f>100*(4.5+1.5)/432</f>
        <v>1.3888888888888888</v>
      </c>
      <c r="F183" s="5">
        <f>100*(3+0.8)/432</f>
        <v>0.87962962962962965</v>
      </c>
      <c r="G183" s="3">
        <f>100*0.13/520</f>
        <v>2.5000000000000001E-2</v>
      </c>
      <c r="N183" s="9">
        <f>1000*D183*E183/100</f>
        <v>6000</v>
      </c>
      <c r="O183" s="9">
        <f>1000*D183*F183/100</f>
        <v>3800</v>
      </c>
      <c r="P183" s="9">
        <f>1000*D183*G183/100</f>
        <v>108</v>
      </c>
      <c r="T183" s="3" t="s">
        <v>45</v>
      </c>
      <c r="U183" s="3" t="s">
        <v>828</v>
      </c>
      <c r="V183" s="4" t="s">
        <v>282</v>
      </c>
      <c r="X183" s="44" t="s">
        <v>623</v>
      </c>
      <c r="Y183" s="44" t="s">
        <v>625</v>
      </c>
    </row>
    <row r="184" spans="1:27" x14ac:dyDescent="0.25">
      <c r="B184" s="3" t="s">
        <v>517</v>
      </c>
      <c r="C184" s="3" t="s">
        <v>145</v>
      </c>
      <c r="D184" s="3">
        <v>2.68</v>
      </c>
      <c r="E184" s="3">
        <v>7.1999999999999995E-2</v>
      </c>
      <c r="G184" s="3">
        <v>0.126</v>
      </c>
      <c r="N184" s="9">
        <f>1000*D184*E184/100</f>
        <v>1.9295999999999998</v>
      </c>
      <c r="P184" s="9">
        <f>1000*D184*G184/100</f>
        <v>3.3768000000000002</v>
      </c>
      <c r="T184" s="3" t="s">
        <v>45</v>
      </c>
      <c r="U184" s="3" t="s">
        <v>827</v>
      </c>
      <c r="V184" s="25" t="s">
        <v>102</v>
      </c>
      <c r="X184" s="44" t="s">
        <v>579</v>
      </c>
      <c r="Y184" s="44" t="s">
        <v>977</v>
      </c>
      <c r="Z184" s="3" t="s">
        <v>978</v>
      </c>
      <c r="AA184" s="3" t="s">
        <v>581</v>
      </c>
    </row>
    <row r="185" spans="1:27" x14ac:dyDescent="0.25">
      <c r="B185" s="3" t="s">
        <v>518</v>
      </c>
      <c r="C185" s="3" t="s">
        <v>145</v>
      </c>
      <c r="D185" s="3">
        <v>0.48</v>
      </c>
      <c r="E185" s="3">
        <v>3.9E-2</v>
      </c>
      <c r="G185" s="3">
        <v>1.0999999999999999E-2</v>
      </c>
      <c r="N185" s="9">
        <f>1000*D185*E185/100</f>
        <v>0.18719999999999998</v>
      </c>
      <c r="P185" s="9">
        <f>1000*D185*G185/100</f>
        <v>5.2799999999999993E-2</v>
      </c>
      <c r="T185" s="3" t="s">
        <v>45</v>
      </c>
      <c r="U185" s="3" t="s">
        <v>827</v>
      </c>
      <c r="V185" s="25" t="s">
        <v>102</v>
      </c>
      <c r="X185" s="44" t="s">
        <v>579</v>
      </c>
      <c r="Y185" s="44" t="s">
        <v>977</v>
      </c>
      <c r="Z185" s="3" t="s">
        <v>978</v>
      </c>
      <c r="AA185" s="3" t="s">
        <v>581</v>
      </c>
    </row>
    <row r="186" spans="1:27" x14ac:dyDescent="0.25">
      <c r="X186" s="44"/>
      <c r="Y186" s="44"/>
    </row>
    <row r="187" spans="1:27" x14ac:dyDescent="0.25">
      <c r="A187" s="26" t="s">
        <v>175</v>
      </c>
      <c r="B187" s="26" t="s">
        <v>175</v>
      </c>
      <c r="C187" s="26" t="s">
        <v>175</v>
      </c>
      <c r="D187" s="26" t="s">
        <v>175</v>
      </c>
      <c r="E187" s="26" t="s">
        <v>175</v>
      </c>
      <c r="F187" s="26" t="s">
        <v>175</v>
      </c>
      <c r="G187" s="26" t="s">
        <v>175</v>
      </c>
      <c r="H187" s="26" t="s">
        <v>175</v>
      </c>
      <c r="I187" s="26" t="s">
        <v>175</v>
      </c>
      <c r="J187" s="26" t="s">
        <v>175</v>
      </c>
      <c r="K187" s="26" t="s">
        <v>175</v>
      </c>
      <c r="L187" s="26" t="s">
        <v>175</v>
      </c>
      <c r="M187" s="26" t="s">
        <v>175</v>
      </c>
      <c r="N187" s="26" t="s">
        <v>175</v>
      </c>
      <c r="O187" s="26" t="s">
        <v>175</v>
      </c>
      <c r="P187" s="26" t="s">
        <v>175</v>
      </c>
      <c r="Q187" s="26" t="s">
        <v>175</v>
      </c>
      <c r="R187" s="26" t="s">
        <v>175</v>
      </c>
      <c r="S187" s="26" t="s">
        <v>175</v>
      </c>
      <c r="T187" s="26" t="s">
        <v>175</v>
      </c>
      <c r="U187" s="26" t="s">
        <v>175</v>
      </c>
      <c r="V187" s="26" t="s">
        <v>175</v>
      </c>
      <c r="W187" s="26" t="s">
        <v>175</v>
      </c>
      <c r="X187" s="44"/>
      <c r="Y187" s="44"/>
    </row>
    <row r="188" spans="1:27" x14ac:dyDescent="0.25">
      <c r="A188" s="39">
        <f>COUNT(D190:D243)</f>
        <v>54</v>
      </c>
      <c r="B188" s="49" t="s">
        <v>45</v>
      </c>
      <c r="C188" s="49" t="s">
        <v>45</v>
      </c>
      <c r="D188" s="19">
        <f>SUM(D190:D243)</f>
        <v>6376.8902796512002</v>
      </c>
      <c r="E188" s="14">
        <f>100*(N188/1000)/D188</f>
        <v>0.3437905255452125</v>
      </c>
      <c r="F188" s="14">
        <f>100*(O188/1000)/D188</f>
        <v>0.12372898163703624</v>
      </c>
      <c r="G188" s="30">
        <f>100*(P188/1000)/D188</f>
        <v>1.3281161541029244E-2</v>
      </c>
      <c r="N188" s="19">
        <f t="shared" ref="N188:S188" si="79">SUM(N190:N243)</f>
        <v>21923.144605854432</v>
      </c>
      <c r="O188" s="19">
        <f t="shared" si="79"/>
        <v>7890.0614031235827</v>
      </c>
      <c r="P188" s="19">
        <f t="shared" si="79"/>
        <v>846.92509933466738</v>
      </c>
      <c r="Q188" s="19">
        <f t="shared" si="79"/>
        <v>507.20058020389564</v>
      </c>
      <c r="R188" s="19">
        <f t="shared" si="79"/>
        <v>821.79559570523338</v>
      </c>
      <c r="S188" s="19">
        <f t="shared" si="79"/>
        <v>175.2219244496124</v>
      </c>
      <c r="X188" s="44"/>
      <c r="Y188" s="44"/>
    </row>
    <row r="189" spans="1:27" x14ac:dyDescent="0.25">
      <c r="A189" s="1" t="s">
        <v>150</v>
      </c>
      <c r="B189" s="1" t="s">
        <v>134</v>
      </c>
      <c r="C189" s="1" t="s">
        <v>141</v>
      </c>
      <c r="D189" s="2" t="s">
        <v>0</v>
      </c>
      <c r="E189" s="2" t="s">
        <v>10</v>
      </c>
      <c r="F189" s="2" t="s">
        <v>2</v>
      </c>
      <c r="G189" s="2" t="s">
        <v>9</v>
      </c>
      <c r="H189" s="2" t="s">
        <v>1</v>
      </c>
      <c r="I189" s="2" t="s">
        <v>3</v>
      </c>
      <c r="J189" s="2" t="s">
        <v>162</v>
      </c>
      <c r="K189" s="2" t="s">
        <v>163</v>
      </c>
      <c r="L189" s="2" t="s">
        <v>653</v>
      </c>
      <c r="M189" s="2" t="s">
        <v>640</v>
      </c>
      <c r="N189" s="2" t="s">
        <v>11</v>
      </c>
      <c r="O189" s="2" t="s">
        <v>4</v>
      </c>
      <c r="P189" s="2" t="s">
        <v>12</v>
      </c>
      <c r="Q189" s="2" t="s">
        <v>857</v>
      </c>
      <c r="R189" s="2" t="s">
        <v>164</v>
      </c>
      <c r="S189" s="2" t="s">
        <v>165</v>
      </c>
      <c r="T189" s="2" t="s">
        <v>44</v>
      </c>
      <c r="U189" s="2" t="s">
        <v>639</v>
      </c>
      <c r="V189" s="8" t="s">
        <v>5</v>
      </c>
      <c r="W189" s="15" t="s">
        <v>64</v>
      </c>
      <c r="X189" s="44"/>
      <c r="Y189" s="44"/>
    </row>
    <row r="190" spans="1:27" x14ac:dyDescent="0.25">
      <c r="B190" s="3" t="s">
        <v>229</v>
      </c>
      <c r="C190" s="3" t="s">
        <v>142</v>
      </c>
      <c r="D190" s="85">
        <v>222.17599999999999</v>
      </c>
      <c r="E190" s="65">
        <v>1.3572316991934323</v>
      </c>
      <c r="F190" s="65">
        <v>1.3833210607806423</v>
      </c>
      <c r="G190" s="86">
        <v>4.3682170542635665E-2</v>
      </c>
      <c r="H190" s="86">
        <v>0.27364341085271321</v>
      </c>
      <c r="I190" s="87">
        <v>6</v>
      </c>
      <c r="J190" s="86">
        <v>0.82054263565891472</v>
      </c>
      <c r="K190" s="86">
        <v>0.85193798449612401</v>
      </c>
      <c r="N190" s="9">
        <f t="shared" ref="N190:N243" si="80">1000*D190*E190/100</f>
        <v>3015.4431</v>
      </c>
      <c r="O190" s="9">
        <f t="shared" ref="O190:O201" si="81">1000*D190*F190/100</f>
        <v>3073.4074000000001</v>
      </c>
      <c r="P190" s="9">
        <f>1000*D190*G190/100</f>
        <v>97.051299224806201</v>
      </c>
      <c r="Q190" s="9">
        <f>D190*J190</f>
        <v>182.30488062015502</v>
      </c>
      <c r="R190" s="9">
        <f>D190*K190</f>
        <v>189.28017364341085</v>
      </c>
      <c r="S190" s="10">
        <f>D190*H190</f>
        <v>60.79699844961241</v>
      </c>
      <c r="T190" s="3" t="s">
        <v>45</v>
      </c>
      <c r="U190" s="3" t="s">
        <v>649</v>
      </c>
      <c r="V190" s="4" t="s">
        <v>180</v>
      </c>
      <c r="X190" s="44" t="s">
        <v>623</v>
      </c>
      <c r="Y190" s="44" t="s">
        <v>582</v>
      </c>
      <c r="Z190" s="3" t="s">
        <v>605</v>
      </c>
    </row>
    <row r="191" spans="1:27" x14ac:dyDescent="0.25">
      <c r="B191" s="3" t="s">
        <v>230</v>
      </c>
      <c r="C191" s="3" t="s">
        <v>142</v>
      </c>
      <c r="D191" s="85">
        <v>45.78</v>
      </c>
      <c r="E191" s="65">
        <v>1.4071695063346439</v>
      </c>
      <c r="F191" s="87">
        <v>0.1</v>
      </c>
      <c r="N191" s="9">
        <f t="shared" si="80"/>
        <v>644.20219999999995</v>
      </c>
      <c r="O191" s="9">
        <f t="shared" si="81"/>
        <v>45.78</v>
      </c>
      <c r="T191" s="3" t="s">
        <v>45</v>
      </c>
      <c r="U191" s="3" t="s">
        <v>662</v>
      </c>
      <c r="V191" s="4" t="s">
        <v>180</v>
      </c>
      <c r="X191" s="44" t="s">
        <v>623</v>
      </c>
      <c r="Y191" s="44" t="s">
        <v>583</v>
      </c>
    </row>
    <row r="192" spans="1:27" x14ac:dyDescent="0.25">
      <c r="B192" s="3" t="s">
        <v>231</v>
      </c>
      <c r="C192" s="3" t="s">
        <v>142</v>
      </c>
      <c r="D192" s="85">
        <v>67.094999999999999</v>
      </c>
      <c r="E192" s="85">
        <v>2.0862098517028107</v>
      </c>
      <c r="F192" s="85">
        <v>0.99965168790520909</v>
      </c>
      <c r="G192" s="86">
        <v>0.11537763155171218</v>
      </c>
      <c r="N192" s="9">
        <f t="shared" si="80"/>
        <v>1399.742500000001</v>
      </c>
      <c r="O192" s="9">
        <f t="shared" si="81"/>
        <v>670.71630000000005</v>
      </c>
      <c r="P192" s="9">
        <f t="shared" ref="P192:P196" si="82">1000*D192*G192/100</f>
        <v>77.412621889621292</v>
      </c>
      <c r="T192" s="3" t="s">
        <v>45</v>
      </c>
      <c r="U192" s="3" t="s">
        <v>649</v>
      </c>
      <c r="V192" s="4" t="s">
        <v>180</v>
      </c>
      <c r="X192" s="44" t="s">
        <v>623</v>
      </c>
      <c r="Y192" s="44" t="s">
        <v>626</v>
      </c>
    </row>
    <row r="193" spans="2:26" x14ac:dyDescent="0.25">
      <c r="B193" s="3" t="s">
        <v>232</v>
      </c>
      <c r="C193" s="3" t="s">
        <v>142</v>
      </c>
      <c r="D193" s="3">
        <f>4.01+10.5+17.9</f>
        <v>32.409999999999997</v>
      </c>
      <c r="E193" s="5">
        <f>(2.47*4.01+4.39*10.5+3*17.9)/$D193</f>
        <v>3.384748534402962</v>
      </c>
      <c r="F193" s="5">
        <f>(0.72*4.01+0.97*10.5+0.9*17.9)/$D193</f>
        <v>0.90040728170317819</v>
      </c>
      <c r="G193" s="5">
        <f>(0.05*4.01+0.08*10.5+0.07*17.9)/$D193</f>
        <v>7.0765195927182972E-2</v>
      </c>
      <c r="L193" s="3">
        <v>2.7</v>
      </c>
      <c r="N193" s="9">
        <f t="shared" si="80"/>
        <v>1096.9969999999998</v>
      </c>
      <c r="O193" s="9">
        <f t="shared" si="81"/>
        <v>291.822</v>
      </c>
      <c r="P193" s="9">
        <f t="shared" si="82"/>
        <v>22.934999999999999</v>
      </c>
      <c r="T193" s="3" t="s">
        <v>45</v>
      </c>
      <c r="U193" s="3" t="s">
        <v>970</v>
      </c>
      <c r="V193" s="4" t="s">
        <v>39</v>
      </c>
      <c r="X193" s="44" t="s">
        <v>623</v>
      </c>
      <c r="Y193" s="44" t="s">
        <v>583</v>
      </c>
    </row>
    <row r="194" spans="2:26" x14ac:dyDescent="0.25">
      <c r="B194" s="3" t="s">
        <v>969</v>
      </c>
      <c r="C194" s="3" t="s">
        <v>145</v>
      </c>
      <c r="D194" s="3">
        <v>0.8</v>
      </c>
      <c r="E194" s="3">
        <v>3.1</v>
      </c>
      <c r="F194" s="3">
        <v>1.3</v>
      </c>
      <c r="L194" s="3">
        <v>2.5</v>
      </c>
      <c r="N194" s="3">
        <f t="shared" ref="N194" si="83">1000*D194*E194/100</f>
        <v>24.8</v>
      </c>
      <c r="O194" s="3">
        <f t="shared" ref="O194" si="84">1000*D194*F194/100</f>
        <v>10.4</v>
      </c>
      <c r="T194" s="3" t="s">
        <v>45</v>
      </c>
      <c r="U194" s="3" t="s">
        <v>1064</v>
      </c>
      <c r="V194" s="4" t="s">
        <v>39</v>
      </c>
      <c r="X194" s="44" t="s">
        <v>623</v>
      </c>
      <c r="Y194" s="44" t="s">
        <v>583</v>
      </c>
    </row>
    <row r="195" spans="2:26" x14ac:dyDescent="0.25">
      <c r="B195" s="3" t="s">
        <v>233</v>
      </c>
      <c r="C195" s="3" t="s">
        <v>142</v>
      </c>
      <c r="D195" s="3">
        <f>12.85+22.34+15.6</f>
        <v>50.79</v>
      </c>
      <c r="E195" s="5">
        <f>(1.78*12.85+2.27*22.34+1.7*15.6)/$D195</f>
        <v>1.9709549123843275</v>
      </c>
      <c r="F195" s="5">
        <f>(2.05*12.85+1.67*22.34+1.9*15.6)/$D195</f>
        <v>1.8367848001575113</v>
      </c>
      <c r="G195" s="5">
        <f>(0.05*12.85+0.05*22.34+0.1*15.6)/$D195</f>
        <v>6.5357353809805077E-2</v>
      </c>
      <c r="N195" s="9">
        <f t="shared" si="80"/>
        <v>1001.0479999999999</v>
      </c>
      <c r="O195" s="9">
        <f t="shared" si="81"/>
        <v>932.90300000000002</v>
      </c>
      <c r="P195" s="9">
        <f t="shared" si="82"/>
        <v>33.195</v>
      </c>
      <c r="T195" s="3" t="s">
        <v>45</v>
      </c>
      <c r="U195" s="3" t="s">
        <v>649</v>
      </c>
      <c r="V195" s="4" t="s">
        <v>39</v>
      </c>
      <c r="W195" s="4" t="s">
        <v>667</v>
      </c>
      <c r="X195" s="44" t="s">
        <v>623</v>
      </c>
      <c r="Y195" s="44" t="s">
        <v>582</v>
      </c>
      <c r="Z195" s="3" t="s">
        <v>605</v>
      </c>
    </row>
    <row r="196" spans="2:26" x14ac:dyDescent="0.25">
      <c r="B196" s="3" t="s">
        <v>241</v>
      </c>
      <c r="C196" s="3" t="s">
        <v>142</v>
      </c>
      <c r="D196" s="3">
        <f>3.708+2.759+5.468</f>
        <v>11.935</v>
      </c>
      <c r="E196" s="5">
        <f>(1.45*3.708+1.53*2.759+1.34*5.468)/D196</f>
        <v>1.4180971931294513</v>
      </c>
      <c r="F196" s="5">
        <f>(0.11*3.708+0.11*2.759+0.11*5.468)/D196</f>
        <v>0.11</v>
      </c>
      <c r="G196" s="3">
        <v>2.3E-2</v>
      </c>
      <c r="H196" s="3">
        <v>2.5000000000000001E-2</v>
      </c>
      <c r="J196" s="3">
        <v>0.153</v>
      </c>
      <c r="K196" s="3">
        <v>0.36299999999999999</v>
      </c>
      <c r="N196" s="24">
        <f t="shared" si="80"/>
        <v>169.24990000000003</v>
      </c>
      <c r="O196" s="9">
        <f t="shared" si="81"/>
        <v>13.128499999999999</v>
      </c>
      <c r="P196" s="9">
        <f t="shared" si="82"/>
        <v>2.74505</v>
      </c>
      <c r="Q196" s="9">
        <f>D196*J196</f>
        <v>1.826055</v>
      </c>
      <c r="R196" s="9">
        <f>D196*K196</f>
        <v>4.3324049999999996</v>
      </c>
      <c r="S196" s="10">
        <f>D196*H196</f>
        <v>0.298375</v>
      </c>
      <c r="T196" s="3" t="s">
        <v>45</v>
      </c>
      <c r="U196" s="3" t="s">
        <v>829</v>
      </c>
      <c r="V196" s="4" t="s">
        <v>242</v>
      </c>
      <c r="X196" s="44" t="s">
        <v>623</v>
      </c>
      <c r="Y196" s="44" t="s">
        <v>583</v>
      </c>
      <c r="Z196" s="3" t="s">
        <v>598</v>
      </c>
    </row>
    <row r="197" spans="2:26" x14ac:dyDescent="0.25">
      <c r="B197" s="3" t="s">
        <v>243</v>
      </c>
      <c r="C197" s="3" t="s">
        <v>142</v>
      </c>
      <c r="D197" s="3">
        <f>0.92+6.73+31.029+3.071</f>
        <v>41.75</v>
      </c>
      <c r="E197" s="5">
        <f>(0.08*0.92+0.09*6.73+0.09*31.029+0.07*3.071)/$D197</f>
        <v>8.8308502994011981E-2</v>
      </c>
      <c r="F197" s="5">
        <f>(0.08*0.92+0.08*6.73+0.06*31.029+0.08*3.071)/$D197</f>
        <v>6.5135808383233545E-2</v>
      </c>
      <c r="H197" s="5">
        <f>(0.34*0.92+0.23*6.73+0.21*31.029+0.22*3.071)/$D197</f>
        <v>0.21682419161676647</v>
      </c>
      <c r="J197" s="5">
        <f>(0.4*0.92+0.28*6.73+0.25*31.029+0.34*3.071)/$D197</f>
        <v>0.26476143712574851</v>
      </c>
      <c r="K197" s="5">
        <f>(5.81*0.92+3.36*6.73+3.39*31.029+4.8*3.071)/$D197</f>
        <v>3.5422062275449102</v>
      </c>
      <c r="N197" s="24">
        <f t="shared" si="80"/>
        <v>36.8688</v>
      </c>
      <c r="O197" s="24">
        <f t="shared" si="81"/>
        <v>27.194200000000006</v>
      </c>
      <c r="Q197" s="9">
        <f>D197*J197</f>
        <v>11.053790000000001</v>
      </c>
      <c r="R197" s="9">
        <f>D197*K197</f>
        <v>147.88711000000001</v>
      </c>
      <c r="S197" s="10">
        <f>D197*H197</f>
        <v>9.0524100000000001</v>
      </c>
      <c r="T197" s="3" t="s">
        <v>45</v>
      </c>
      <c r="U197" s="3" t="s">
        <v>696</v>
      </c>
      <c r="V197" s="4" t="s">
        <v>244</v>
      </c>
      <c r="X197" s="44" t="s">
        <v>623</v>
      </c>
      <c r="Y197" s="44" t="s">
        <v>606</v>
      </c>
    </row>
    <row r="198" spans="2:26" x14ac:dyDescent="0.25">
      <c r="B198" s="3" t="s">
        <v>368</v>
      </c>
      <c r="C198" s="3" t="s">
        <v>145</v>
      </c>
      <c r="D198" s="3">
        <f>8.46+0.053+1.03+0.212</f>
        <v>9.7550000000000008</v>
      </c>
      <c r="E198" s="5">
        <f>(0.18*8.46+0.18*0.053+0.24*1.03+0.23*0.212)/$D198</f>
        <v>0.18742183495643261</v>
      </c>
      <c r="F198" s="5">
        <f>(0.25*8.46+0.22*0.053+0.39*1.03+0.34*0.212)/$D198</f>
        <v>0.26657508969759097</v>
      </c>
      <c r="G198" s="11">
        <f>(0.014*8.46+0.014*0.053+0.017*1.03+0.016*0.212)/$D198</f>
        <v>1.4360225525371608E-2</v>
      </c>
      <c r="H198" s="5">
        <f>(0.07*8.46+0.07*0.053+0.11*1.03+0.09*0.212)/$D198</f>
        <v>7.4658124038954388E-2</v>
      </c>
      <c r="I198" s="10">
        <f>(1.5*8.46+1.6*0.053+2.4*1.03+1.9*0.212)/$D198</f>
        <v>1.6042644797539722</v>
      </c>
      <c r="J198" s="5">
        <f>(1.04*8.46+0.96*0.053+1.63*1.03+1.4*0.212)/$D198</f>
        <v>1.1096852895950793</v>
      </c>
      <c r="K198" s="5">
        <f>(0.98*8.46+0.89*0.053+1.51*1.03+1.29*0.212)/$D198</f>
        <v>1.0422091235263966</v>
      </c>
      <c r="L198" s="5">
        <f>((1.04+0.98+0.04+0.07)*8.46+(0.96+0.89+0.04+0.07)*0.053+(1.63+1.51+0.08+0.11)*1.03+(1.4+1.29+0.06+0.09)*0.212)/$D198</f>
        <v>2.271210661199385</v>
      </c>
      <c r="N198" s="9">
        <f t="shared" si="80"/>
        <v>18.283000000000001</v>
      </c>
      <c r="O198" s="9">
        <f t="shared" si="81"/>
        <v>26.0044</v>
      </c>
      <c r="P198" s="9">
        <f>1000*D198*G198/100</f>
        <v>1.4008400000000003</v>
      </c>
      <c r="Q198" s="9">
        <f>D198*J198</f>
        <v>10.82498</v>
      </c>
      <c r="R198" s="9">
        <f>D198*K198</f>
        <v>10.16675</v>
      </c>
      <c r="S198" s="10">
        <f>D198*H198</f>
        <v>0.7282900000000001</v>
      </c>
      <c r="T198" s="3" t="s">
        <v>45</v>
      </c>
      <c r="U198" s="3" t="s">
        <v>649</v>
      </c>
      <c r="V198" s="4" t="s">
        <v>74</v>
      </c>
      <c r="X198" s="44" t="s">
        <v>623</v>
      </c>
      <c r="Y198" s="44" t="s">
        <v>595</v>
      </c>
    </row>
    <row r="199" spans="2:26" x14ac:dyDescent="0.25">
      <c r="B199" s="3" t="s">
        <v>686</v>
      </c>
      <c r="C199" s="3" t="s">
        <v>144</v>
      </c>
      <c r="D199" s="10">
        <v>3</v>
      </c>
      <c r="E199" s="3">
        <v>1.26</v>
      </c>
      <c r="F199" s="3">
        <v>0.59</v>
      </c>
      <c r="G199" s="3">
        <v>0.05</v>
      </c>
      <c r="N199" s="9">
        <f t="shared" si="80"/>
        <v>37.799999999999997</v>
      </c>
      <c r="O199" s="9">
        <f t="shared" si="81"/>
        <v>17.7</v>
      </c>
      <c r="P199" s="9">
        <f>1000*D199*G199/100</f>
        <v>1.5</v>
      </c>
      <c r="T199" s="3" t="s">
        <v>45</v>
      </c>
      <c r="U199" s="3" t="s">
        <v>687</v>
      </c>
      <c r="V199" s="4" t="s">
        <v>39</v>
      </c>
      <c r="X199" s="44" t="s">
        <v>623</v>
      </c>
      <c r="Y199" s="44" t="s">
        <v>626</v>
      </c>
    </row>
    <row r="200" spans="2:26" x14ac:dyDescent="0.25">
      <c r="B200" s="3" t="s">
        <v>252</v>
      </c>
      <c r="C200" s="3" t="s">
        <v>142</v>
      </c>
      <c r="D200" s="3">
        <f>1.84+0.58</f>
        <v>2.42</v>
      </c>
      <c r="E200" s="5">
        <f>(2.33*1.84+1.88*0.58)/$D200</f>
        <v>2.2221487603305787</v>
      </c>
      <c r="F200" s="5">
        <f>(1.44*1.84+1.1*0.58)/$D200</f>
        <v>1.3585123966942148</v>
      </c>
      <c r="G200" s="11">
        <f>(0.086*1.84+0.065*0.58)/$D200</f>
        <v>8.0966942148760337E-2</v>
      </c>
      <c r="N200" s="9">
        <f t="shared" si="80"/>
        <v>53.776000000000003</v>
      </c>
      <c r="O200" s="9">
        <f t="shared" si="81"/>
        <v>32.875999999999998</v>
      </c>
      <c r="P200" s="9">
        <f>1000*D200*G200/100</f>
        <v>1.9594000000000003</v>
      </c>
      <c r="T200" s="3" t="s">
        <v>45</v>
      </c>
      <c r="U200" s="3" t="s">
        <v>696</v>
      </c>
      <c r="V200" s="4" t="s">
        <v>253</v>
      </c>
      <c r="X200" s="44" t="s">
        <v>623</v>
      </c>
      <c r="Y200" s="44" t="s">
        <v>582</v>
      </c>
      <c r="Z200" s="3" t="s">
        <v>605</v>
      </c>
    </row>
    <row r="201" spans="2:26" x14ac:dyDescent="0.25">
      <c r="B201" s="3" t="s">
        <v>254</v>
      </c>
      <c r="C201" s="3" t="s">
        <v>145</v>
      </c>
      <c r="D201" s="3">
        <f>8.55+2+0.27</f>
        <v>10.82</v>
      </c>
      <c r="E201" s="5">
        <f>(0.45*8.55+0.38*2+0.57*0.27)/$D201</f>
        <v>0.44005545286506476</v>
      </c>
      <c r="F201" s="5">
        <f>(0.31*8.55+0.3*2+0.33*0.27)/$D201</f>
        <v>0.30865064695009242</v>
      </c>
      <c r="G201" s="5">
        <f>(0.01*8.55+0.01*2+0.02*0.27)/$D201</f>
        <v>1.0249537892791129E-2</v>
      </c>
      <c r="H201" s="5">
        <f>(0.03*8.55+0.04*2+0.02*0.27)/$D201</f>
        <v>3.1598890942698708E-2</v>
      </c>
      <c r="I201" s="5">
        <f>(1.91*8.55+2.11*2+1.29*0.27)/$D201</f>
        <v>1.9314972273567468</v>
      </c>
      <c r="J201" s="5">
        <f>(0.02*8.55+0.03*2+0.02*0.27)/$D201</f>
        <v>2.1848428835489833E-2</v>
      </c>
      <c r="K201" s="5">
        <f>(0.07*8.55+0.09*2+0.06*0.27)/$D201</f>
        <v>7.3447319778188552E-2</v>
      </c>
      <c r="N201" s="9">
        <f t="shared" si="80"/>
        <v>47.614000000000004</v>
      </c>
      <c r="O201" s="9">
        <f t="shared" si="81"/>
        <v>33.396000000000001</v>
      </c>
      <c r="P201" s="9">
        <f>1000*D201*G201/100</f>
        <v>1.1090000000000002</v>
      </c>
      <c r="Q201" s="9">
        <f>D201*J201</f>
        <v>0.2364</v>
      </c>
      <c r="R201" s="9">
        <f>D201*K201</f>
        <v>0.79470000000000018</v>
      </c>
      <c r="S201" s="10">
        <f>D201*H201</f>
        <v>0.34190000000000004</v>
      </c>
      <c r="T201" s="3" t="s">
        <v>45</v>
      </c>
      <c r="U201" s="3" t="s">
        <v>839</v>
      </c>
      <c r="V201" s="4" t="s">
        <v>253</v>
      </c>
      <c r="X201" s="44" t="s">
        <v>623</v>
      </c>
      <c r="Y201" s="44" t="s">
        <v>582</v>
      </c>
      <c r="Z201" s="3" t="s">
        <v>605</v>
      </c>
    </row>
    <row r="202" spans="2:26" x14ac:dyDescent="0.25">
      <c r="B202" s="3" t="s">
        <v>1092</v>
      </c>
      <c r="C202" s="3" t="s">
        <v>145</v>
      </c>
      <c r="D202" s="11">
        <v>0.58586000000000005</v>
      </c>
      <c r="E202" s="5">
        <v>0.2</v>
      </c>
      <c r="F202" s="5">
        <v>0.53</v>
      </c>
      <c r="G202" s="5"/>
      <c r="H202" s="5"/>
      <c r="I202" s="5"/>
      <c r="J202" s="5"/>
      <c r="K202" s="5"/>
      <c r="N202" s="9">
        <f t="shared" ref="N202" si="85">1000*D202*E202/100</f>
        <v>1.1717200000000001</v>
      </c>
      <c r="O202" s="9">
        <f t="shared" ref="O202" si="86">1000*D202*F202/100</f>
        <v>3.1050580000000001</v>
      </c>
      <c r="P202" s="9"/>
      <c r="Q202" s="9"/>
      <c r="R202" s="9"/>
      <c r="S202" s="10"/>
      <c r="T202" s="3" t="s">
        <v>45</v>
      </c>
      <c r="U202" s="3" t="s">
        <v>1093</v>
      </c>
      <c r="V202" s="4" t="s">
        <v>1094</v>
      </c>
      <c r="X202" s="44" t="s">
        <v>623</v>
      </c>
      <c r="Y202" s="44" t="s">
        <v>986</v>
      </c>
    </row>
    <row r="203" spans="2:26" x14ac:dyDescent="0.25">
      <c r="B203" s="3" t="s">
        <v>255</v>
      </c>
      <c r="C203" s="3" t="s">
        <v>145</v>
      </c>
      <c r="D203" s="3">
        <v>0.11600000000000001</v>
      </c>
      <c r="E203" s="3">
        <v>3.16</v>
      </c>
      <c r="N203" s="9">
        <f t="shared" si="80"/>
        <v>3.6656</v>
      </c>
      <c r="T203" s="3" t="s">
        <v>45</v>
      </c>
      <c r="U203" s="3" t="s">
        <v>839</v>
      </c>
      <c r="V203" s="4" t="s">
        <v>253</v>
      </c>
      <c r="X203" s="44" t="s">
        <v>623</v>
      </c>
      <c r="Y203" s="44" t="s">
        <v>986</v>
      </c>
    </row>
    <row r="204" spans="2:26" x14ac:dyDescent="0.25">
      <c r="B204" s="3" t="s">
        <v>261</v>
      </c>
      <c r="C204" s="3" t="s">
        <v>144</v>
      </c>
      <c r="D204" s="3">
        <f>2.13+3.29+1+0.67+0.43</f>
        <v>7.52</v>
      </c>
      <c r="E204" s="5">
        <f>(2.19*2.13+2.02*3.29+1.86*1+2.74*0.67+1.18*0.43)/$D204</f>
        <v>2.062992021276596</v>
      </c>
      <c r="F204" s="5">
        <f>(1.11*2.13+1.05*3.29+0.88*1+13.24*0.67+3.96*0.43)/$D204</f>
        <v>2.2968617021276598</v>
      </c>
      <c r="H204" s="5">
        <f>(0*2.13+0*3.29+0*1+1.08*0.67+0.46*0.43)/$D204</f>
        <v>0.12252659574468087</v>
      </c>
      <c r="N204" s="9">
        <f t="shared" si="80"/>
        <v>155.13700000000003</v>
      </c>
      <c r="O204" s="9">
        <f t="shared" ref="O204:O209" si="87">1000*D204*F204/100</f>
        <v>172.72400000000002</v>
      </c>
      <c r="S204" s="10">
        <f>D204*H204</f>
        <v>0.92140000000000011</v>
      </c>
      <c r="T204" s="3" t="s">
        <v>45</v>
      </c>
      <c r="U204" s="3" t="s">
        <v>842</v>
      </c>
      <c r="V204" s="4" t="s">
        <v>840</v>
      </c>
      <c r="X204" s="44" t="s">
        <v>623</v>
      </c>
      <c r="Y204" s="44" t="s">
        <v>582</v>
      </c>
      <c r="Z204" s="3" t="s">
        <v>605</v>
      </c>
    </row>
    <row r="205" spans="2:26" x14ac:dyDescent="0.25">
      <c r="B205" s="3" t="s">
        <v>264</v>
      </c>
      <c r="C205" s="3" t="s">
        <v>145</v>
      </c>
      <c r="D205" s="3">
        <v>12.5</v>
      </c>
      <c r="E205" s="3">
        <v>2.2000000000000002</v>
      </c>
      <c r="F205" s="3">
        <v>2.2999999999999998</v>
      </c>
      <c r="H205" s="10">
        <v>1</v>
      </c>
      <c r="J205" s="3">
        <v>3.2</v>
      </c>
      <c r="K205" s="3">
        <v>4.3</v>
      </c>
      <c r="N205" s="9">
        <f t="shared" si="80"/>
        <v>275.00000000000006</v>
      </c>
      <c r="O205" s="9">
        <f t="shared" si="87"/>
        <v>287.49999999999994</v>
      </c>
      <c r="Q205" s="9">
        <f>D205*J205</f>
        <v>40</v>
      </c>
      <c r="R205" s="9">
        <f>D205*K205</f>
        <v>53.75</v>
      </c>
      <c r="S205" s="10">
        <f>D205*H205</f>
        <v>12.5</v>
      </c>
      <c r="T205" s="3" t="s">
        <v>45</v>
      </c>
      <c r="U205" s="3" t="s">
        <v>841</v>
      </c>
      <c r="V205" s="4" t="s">
        <v>840</v>
      </c>
      <c r="X205" s="44" t="s">
        <v>623</v>
      </c>
      <c r="Y205" s="44" t="s">
        <v>582</v>
      </c>
      <c r="Z205" s="3" t="s">
        <v>605</v>
      </c>
    </row>
    <row r="206" spans="2:26" x14ac:dyDescent="0.25">
      <c r="B206" s="3" t="s">
        <v>262</v>
      </c>
      <c r="C206" s="3" t="s">
        <v>142</v>
      </c>
      <c r="D206" s="3">
        <f>6.06+0.42+0.64+0.32</f>
        <v>7.4399999999999995</v>
      </c>
      <c r="E206" s="5">
        <f>(0.75*6.06+0.36*0.42+0.39*0.64+0.32*0.32)/$D206</f>
        <v>0.67852150537634415</v>
      </c>
      <c r="F206" s="5">
        <f>(0.21*6.06+4.26*0.42+4.51*0.64+3.44*0.32)/$D206</f>
        <v>0.94744623655913973</v>
      </c>
      <c r="H206" s="5">
        <f>(0*6.06+0.69*0.42+0.75*0.64+0.52*0.32)/$D206</f>
        <v>0.12583333333333332</v>
      </c>
      <c r="N206" s="9">
        <f t="shared" si="80"/>
        <v>50.481999999999999</v>
      </c>
      <c r="O206" s="9">
        <f t="shared" si="87"/>
        <v>70.489999999999995</v>
      </c>
      <c r="S206" s="10">
        <f>D206*H206</f>
        <v>0.93619999999999992</v>
      </c>
      <c r="T206" s="3" t="s">
        <v>45</v>
      </c>
      <c r="U206" s="3" t="s">
        <v>842</v>
      </c>
      <c r="V206" s="4" t="s">
        <v>840</v>
      </c>
      <c r="X206" s="44" t="s">
        <v>623</v>
      </c>
      <c r="Y206" s="44" t="s">
        <v>582</v>
      </c>
      <c r="Z206" s="3" t="s">
        <v>605</v>
      </c>
    </row>
    <row r="207" spans="2:26" x14ac:dyDescent="0.25">
      <c r="B207" s="3" t="s">
        <v>263</v>
      </c>
      <c r="C207" s="3" t="s">
        <v>142</v>
      </c>
      <c r="D207" s="3">
        <f>0.46+0.83+1.6+0.92</f>
        <v>3.81</v>
      </c>
      <c r="E207" s="5">
        <f>(2.05*0.46+1.58*0.83+1.56*1.6+0.26*0.92)/$D207</f>
        <v>1.3096062992125987</v>
      </c>
      <c r="F207" s="5">
        <f>(0.32*0.46+0.27*0.83+0.28*1.6+1.42*0.92)/$D207</f>
        <v>0.55792650918635178</v>
      </c>
      <c r="H207" s="5">
        <f>(0*0.46+0*0.83+0*1.6+0.88*0.92)/$D207</f>
        <v>0.21249343832020998</v>
      </c>
      <c r="N207" s="9">
        <f t="shared" si="80"/>
        <v>49.896000000000015</v>
      </c>
      <c r="O207" s="9">
        <f t="shared" si="87"/>
        <v>21.257000000000001</v>
      </c>
      <c r="S207" s="10">
        <f>D207*H207</f>
        <v>0.80959999999999999</v>
      </c>
      <c r="T207" s="3" t="s">
        <v>45</v>
      </c>
      <c r="U207" s="3" t="s">
        <v>842</v>
      </c>
      <c r="V207" s="4" t="s">
        <v>840</v>
      </c>
      <c r="X207" s="44" t="s">
        <v>623</v>
      </c>
      <c r="Y207" s="44" t="s">
        <v>582</v>
      </c>
      <c r="Z207" s="3" t="s">
        <v>605</v>
      </c>
    </row>
    <row r="208" spans="2:26" x14ac:dyDescent="0.25">
      <c r="B208" s="3" t="s">
        <v>265</v>
      </c>
      <c r="C208" s="3" t="s">
        <v>145</v>
      </c>
      <c r="D208" s="3">
        <f>0.56+1.59</f>
        <v>2.1500000000000004</v>
      </c>
      <c r="E208" s="5">
        <f>(1.17*0.56+1.27*1.59)/$D208</f>
        <v>1.2439534883720929</v>
      </c>
      <c r="F208" s="5">
        <f>(0.49*0.56+0.97*1.59)/$D208</f>
        <v>0.8449767441860464</v>
      </c>
      <c r="N208" s="9">
        <f t="shared" si="80"/>
        <v>26.745000000000001</v>
      </c>
      <c r="O208" s="9">
        <f t="shared" si="87"/>
        <v>18.167000000000002</v>
      </c>
      <c r="T208" s="3" t="s">
        <v>45</v>
      </c>
      <c r="U208" s="3" t="s">
        <v>842</v>
      </c>
      <c r="V208" s="4" t="s">
        <v>840</v>
      </c>
      <c r="X208" s="44" t="s">
        <v>623</v>
      </c>
      <c r="Y208" s="44" t="s">
        <v>582</v>
      </c>
      <c r="Z208" s="3" t="s">
        <v>605</v>
      </c>
    </row>
    <row r="209" spans="2:27" x14ac:dyDescent="0.25">
      <c r="B209" s="3" t="s">
        <v>266</v>
      </c>
      <c r="C209" s="3" t="s">
        <v>142</v>
      </c>
      <c r="D209" s="11">
        <f>(0.148+0.041+0.41+0.151+0.586)-(0.055545+0.034844)</f>
        <v>1.2456109999999998</v>
      </c>
      <c r="E209" s="5">
        <f>(2.43*0.148+1.76*0.041+1.1*0.41+3.55*0.151+1.06*0.586)/(0.148+0.041+0.41+0.151+0.586)</f>
        <v>1.5269535928143716</v>
      </c>
      <c r="F209" s="5">
        <f>(0.03*0.148+0.04*0.041+0.01*0.41+0.09*0.151+0.02*0.586)/(0.148+0.041+0.41+0.151+0.586)</f>
        <v>2.6564371257485033E-2</v>
      </c>
      <c r="N209" s="9">
        <f t="shared" si="80"/>
        <v>19.019901916991021</v>
      </c>
      <c r="O209" s="9">
        <f t="shared" si="87"/>
        <v>0.33088873046407186</v>
      </c>
      <c r="T209" s="3" t="s">
        <v>45</v>
      </c>
      <c r="U209" s="3" t="s">
        <v>696</v>
      </c>
      <c r="V209" s="4" t="s">
        <v>269</v>
      </c>
      <c r="X209" s="44" t="s">
        <v>623</v>
      </c>
      <c r="Y209" s="44" t="s">
        <v>986</v>
      </c>
    </row>
    <row r="210" spans="2:27" x14ac:dyDescent="0.25">
      <c r="B210" s="3" t="s">
        <v>267</v>
      </c>
      <c r="C210" s="3" t="s">
        <v>142</v>
      </c>
      <c r="D210" s="11">
        <f>0.7925-(0.038412+0.151465+0.111244)</f>
        <v>0.49137900000000001</v>
      </c>
      <c r="E210" s="3">
        <v>0.81</v>
      </c>
      <c r="N210" s="9">
        <f t="shared" si="80"/>
        <v>3.9801699000000004</v>
      </c>
      <c r="T210" s="3" t="s">
        <v>45</v>
      </c>
      <c r="U210" s="3" t="s">
        <v>696</v>
      </c>
      <c r="V210" s="4" t="s">
        <v>269</v>
      </c>
      <c r="X210" s="44" t="s">
        <v>623</v>
      </c>
      <c r="Y210" s="44" t="s">
        <v>986</v>
      </c>
    </row>
    <row r="211" spans="2:27" x14ac:dyDescent="0.25">
      <c r="B211" s="3" t="s">
        <v>268</v>
      </c>
      <c r="C211" s="3" t="s">
        <v>143</v>
      </c>
      <c r="D211" s="3">
        <f>0.012+0.999+0.228+0.353+0.059+0.06+0.022+0.014</f>
        <v>1.7469999999999999</v>
      </c>
      <c r="E211" s="5">
        <f>(0.86*0.012+1.56*0.999+1.4*0.228+1.36*0.353+1.12*0.059+0.63*0.06+0.52*0.022+0.5*0.014)/$D211</f>
        <v>1.4255065827132227</v>
      </c>
      <c r="F211" s="5">
        <f>(0.07*0.012+0.11*0.999+0.09*0.228+0.09*0.353+0.08*0.059+0.04*0.06+0.02*0.022+0.03*0.014)/$D211</f>
        <v>9.7882083571837447E-2</v>
      </c>
      <c r="N211" s="9">
        <f t="shared" si="80"/>
        <v>24.903600000000001</v>
      </c>
      <c r="O211" s="9">
        <f t="shared" ref="O211:O222" si="88">1000*D211*F211/100</f>
        <v>1.7100000000000002</v>
      </c>
      <c r="T211" s="3" t="s">
        <v>45</v>
      </c>
      <c r="U211" s="3" t="s">
        <v>696</v>
      </c>
      <c r="V211" s="4" t="s">
        <v>269</v>
      </c>
      <c r="X211" s="44" t="s">
        <v>623</v>
      </c>
      <c r="Y211" s="44" t="s">
        <v>986</v>
      </c>
    </row>
    <row r="212" spans="2:27" x14ac:dyDescent="0.25">
      <c r="B212" s="3" t="s">
        <v>270</v>
      </c>
      <c r="C212" s="3" t="s">
        <v>142</v>
      </c>
      <c r="D212" s="3">
        <f>11.828+1.763+0.069+0.716+0.02</f>
        <v>14.395999999999999</v>
      </c>
      <c r="E212" s="5">
        <f>(0.33*11.828+0.37*1.763+0.35*0.069+0.38*0.716+0.31*0.02)/$D212</f>
        <v>0.33745345929424841</v>
      </c>
      <c r="F212" s="5">
        <f>(0.35*11.828+0.41*1.763+0.43*0.069+0.39*0.716+0.35*0.02)/$D212</f>
        <v>0.3597207557654904</v>
      </c>
      <c r="G212" s="5">
        <f>(0.02*11.828+0.03*1.763+0.02*0.069+0.03*0.716+0.02*0.02)/$D212</f>
        <v>2.1722006112809115E-2</v>
      </c>
      <c r="H212" s="5">
        <f>(0.18*11.828+0.219*1.763+0.176*0.069+0.181*0.716+0.157*0.02)/$D212</f>
        <v>0.18477472909141429</v>
      </c>
      <c r="J212" s="5">
        <f>(0.33*11.828+0.363*1.763+0.327*0.069+0.317*0.716+0.283*0.02)/$D212</f>
        <v>0.33331508752431233</v>
      </c>
      <c r="K212" s="5">
        <f>(0.36*11.828+0.388*1.763+0.361*0.069+0.334*0.716+0.317*0.02)/$D212</f>
        <v>0.3620809252570158</v>
      </c>
      <c r="N212" s="9">
        <f t="shared" si="80"/>
        <v>48.579799999999999</v>
      </c>
      <c r="O212" s="9">
        <f t="shared" si="88"/>
        <v>51.785399999999989</v>
      </c>
      <c r="P212" s="9">
        <f>1000*D212*G212/100</f>
        <v>3.1271</v>
      </c>
      <c r="Q212" s="9">
        <f>D212*J212</f>
        <v>4.7984039999999997</v>
      </c>
      <c r="R212" s="9">
        <f>D212*K212</f>
        <v>5.2125169999999992</v>
      </c>
      <c r="S212" s="10">
        <f>D212*H212</f>
        <v>2.6600169999999999</v>
      </c>
      <c r="T212" s="3" t="s">
        <v>45</v>
      </c>
      <c r="U212" s="3" t="s">
        <v>649</v>
      </c>
      <c r="V212" s="4" t="s">
        <v>272</v>
      </c>
      <c r="X212" s="44" t="s">
        <v>623</v>
      </c>
      <c r="Y212" s="44" t="s">
        <v>595</v>
      </c>
      <c r="Z212" s="3" t="s">
        <v>621</v>
      </c>
      <c r="AA212" s="3" t="s">
        <v>622</v>
      </c>
    </row>
    <row r="213" spans="2:27" x14ac:dyDescent="0.25">
      <c r="B213" s="3" t="s">
        <v>271</v>
      </c>
      <c r="C213" s="3" t="s">
        <v>145</v>
      </c>
      <c r="D213" s="3">
        <f>1.02+1.49</f>
        <v>2.5099999999999998</v>
      </c>
      <c r="E213" s="5">
        <f>(0.71*1.02+0.67*1.49)/$D213</f>
        <v>0.68625498007968144</v>
      </c>
      <c r="F213" s="5">
        <f>(0.36*1.02+0.36*1.49)/$D213</f>
        <v>0.36</v>
      </c>
      <c r="G213" s="5">
        <f>(0.02*1.02+0.03*1.49)/$D213</f>
        <v>2.5936254980079679E-2</v>
      </c>
      <c r="N213" s="9">
        <f t="shared" si="80"/>
        <v>17.225000000000005</v>
      </c>
      <c r="O213" s="9">
        <f t="shared" si="88"/>
        <v>9.0359999999999996</v>
      </c>
      <c r="P213" s="9">
        <f>1000*D213*G213/100</f>
        <v>0.65099999999999991</v>
      </c>
      <c r="T213" s="3" t="s">
        <v>45</v>
      </c>
      <c r="U213" s="3" t="s">
        <v>649</v>
      </c>
      <c r="V213" s="4" t="s">
        <v>272</v>
      </c>
      <c r="X213" s="44" t="s">
        <v>623</v>
      </c>
      <c r="Y213" s="44" t="s">
        <v>595</v>
      </c>
      <c r="Z213" s="3" t="s">
        <v>621</v>
      </c>
      <c r="AA213" s="3" t="s">
        <v>622</v>
      </c>
    </row>
    <row r="214" spans="2:27" x14ac:dyDescent="0.25">
      <c r="B214" s="3" t="s">
        <v>281</v>
      </c>
      <c r="C214" s="3" t="s">
        <v>142</v>
      </c>
      <c r="D214" s="3">
        <f>(0.368+0.924+0.171)*2</f>
        <v>2.9260000000000002</v>
      </c>
      <c r="E214" s="5">
        <f>(0.89*0.368+0.92*0.924+1.11*0.171)/(0.368+0.924+0.171)</f>
        <v>0.9346616541353383</v>
      </c>
      <c r="F214" s="5">
        <f>(0.66*0.368+0.6*0.924+0.61*0.171)/(0.368+0.924+0.171)</f>
        <v>0.61626110731373884</v>
      </c>
      <c r="H214" s="5">
        <f>(0.22*0.368+0.23*0.924+0.18*0.171)/(0.368+0.924+0.171)</f>
        <v>0.22164046479835953</v>
      </c>
      <c r="J214" s="5">
        <f>(0.37*0.368+0.33*0.924+0.27*0.171)/(0.368+0.924+0.171)</f>
        <v>0.33304853041695148</v>
      </c>
      <c r="K214" s="5">
        <f>(1.19*0.368+1.05*0.924+0.18*0.171)/(0.368+0.924+0.171)</f>
        <v>0.98352699931647303</v>
      </c>
      <c r="N214" s="9">
        <f t="shared" si="80"/>
        <v>27.348199999999999</v>
      </c>
      <c r="O214" s="9">
        <f t="shared" si="88"/>
        <v>18.031799999999997</v>
      </c>
      <c r="Q214" s="9">
        <f t="shared" ref="Q214:Q220" si="89">D214*J214</f>
        <v>0.97450000000000014</v>
      </c>
      <c r="R214" s="9">
        <f t="shared" ref="R214:R219" si="90">D214*K214</f>
        <v>2.8778000000000001</v>
      </c>
      <c r="S214" s="10">
        <f t="shared" ref="S214:S219" si="91">D214*H214</f>
        <v>0.64851999999999999</v>
      </c>
      <c r="T214" s="3" t="s">
        <v>45</v>
      </c>
      <c r="U214" s="3" t="s">
        <v>696</v>
      </c>
      <c r="V214" s="4" t="s">
        <v>280</v>
      </c>
      <c r="X214" s="44" t="s">
        <v>623</v>
      </c>
      <c r="Y214" s="44" t="s">
        <v>630</v>
      </c>
    </row>
    <row r="215" spans="2:27" x14ac:dyDescent="0.25">
      <c r="B215" s="3" t="s">
        <v>283</v>
      </c>
      <c r="C215" s="3" t="s">
        <v>145</v>
      </c>
      <c r="D215" s="3">
        <f>8.53+22.024+2.389</f>
        <v>32.943000000000005</v>
      </c>
      <c r="E215" s="5">
        <f>(0.02*8.53+0.02*22.024+0.02*2.389)/$D215</f>
        <v>0.02</v>
      </c>
      <c r="F215" s="5">
        <f>(0.12*8.53+0.09*22.024+0.09*2.389)/$D215</f>
        <v>9.7767962844913917E-2</v>
      </c>
      <c r="H215" s="11">
        <f>(0.074*8.53+0.055*22.024+0.053*2.389)/$D215</f>
        <v>5.9774671402118798E-2</v>
      </c>
      <c r="J215" s="5">
        <f>(0.426*8.53+0.3*22.024+0.309*2.389)/$D215</f>
        <v>0.33327811674710861</v>
      </c>
      <c r="K215" s="5">
        <f>(1.288*8.53+0.848*22.024+0.873*2.389)/$D215</f>
        <v>0.96374310172115463</v>
      </c>
      <c r="N215" s="9">
        <f t="shared" si="80"/>
        <v>6.5886000000000013</v>
      </c>
      <c r="O215" s="9">
        <f t="shared" si="88"/>
        <v>32.207700000000003</v>
      </c>
      <c r="Q215" s="9">
        <f t="shared" si="89"/>
        <v>10.979181000000001</v>
      </c>
      <c r="R215" s="9">
        <f t="shared" si="90"/>
        <v>31.748589000000003</v>
      </c>
      <c r="S215" s="10">
        <f t="shared" si="91"/>
        <v>1.9691569999999998</v>
      </c>
      <c r="T215" s="3" t="s">
        <v>45</v>
      </c>
      <c r="U215" s="3" t="s">
        <v>844</v>
      </c>
      <c r="V215" s="4" t="s">
        <v>843</v>
      </c>
      <c r="X215" s="44" t="s">
        <v>623</v>
      </c>
      <c r="Y215" s="44" t="s">
        <v>595</v>
      </c>
      <c r="Z215" s="3" t="s">
        <v>621</v>
      </c>
      <c r="AA215" s="3" t="s">
        <v>622</v>
      </c>
    </row>
    <row r="216" spans="2:27" x14ac:dyDescent="0.25">
      <c r="B216" s="3" t="s">
        <v>286</v>
      </c>
      <c r="C216" s="3" t="s">
        <v>145</v>
      </c>
      <c r="D216" s="3">
        <f>5.346+5.643+8.966+1.615</f>
        <v>21.569999999999997</v>
      </c>
      <c r="E216" s="5">
        <f>(2.08*5.346+1.5*5.643+1.1*8.966+0.31*1.615)/$D216</f>
        <v>1.3883834028743627</v>
      </c>
      <c r="F216" s="5">
        <f>(1.07*5.346+0.89*5.643+1.14*8.966+0.09*1.615)/$D216</f>
        <v>0.9786314325452018</v>
      </c>
      <c r="H216" s="5">
        <f>(0.2*5.346+0.2*5.643+0.3*8.966+0.04*1.615)/$D216</f>
        <v>0.22958738989337044</v>
      </c>
      <c r="J216" s="5">
        <f>(1.04*5.346+0.94*5.643+1.16*8.966+0.12*1.615)/$D216</f>
        <v>0.99483634677793242</v>
      </c>
      <c r="K216" s="5">
        <f>(3.55*5.346+3.27*5.643+3.49*8.966+0.45*1.615)/$D216</f>
        <v>3.2197032916087163</v>
      </c>
      <c r="N216" s="9">
        <f t="shared" si="80"/>
        <v>299.47429999999997</v>
      </c>
      <c r="O216" s="9">
        <f t="shared" si="88"/>
        <v>211.09079999999997</v>
      </c>
      <c r="Q216" s="9">
        <f t="shared" si="89"/>
        <v>21.45862</v>
      </c>
      <c r="R216" s="9">
        <f t="shared" si="90"/>
        <v>69.448999999999998</v>
      </c>
      <c r="S216" s="10">
        <f t="shared" si="91"/>
        <v>4.9521999999999995</v>
      </c>
      <c r="T216" s="3" t="s">
        <v>45</v>
      </c>
      <c r="U216" s="3" t="s">
        <v>834</v>
      </c>
      <c r="V216" s="4" t="s">
        <v>289</v>
      </c>
      <c r="X216" s="44" t="s">
        <v>623</v>
      </c>
      <c r="Y216" s="44" t="s">
        <v>625</v>
      </c>
    </row>
    <row r="217" spans="2:27" x14ac:dyDescent="0.25">
      <c r="B217" s="3" t="s">
        <v>287</v>
      </c>
      <c r="C217" s="3" t="s">
        <v>145</v>
      </c>
      <c r="D217" s="3">
        <f>0.264+0.087</f>
        <v>0.35099999999999998</v>
      </c>
      <c r="E217" s="5">
        <f>(0.65*0.264+0.4*0.087)/$D217</f>
        <v>0.58803418803418805</v>
      </c>
      <c r="F217" s="5">
        <f>(0.7*0.264+0.7*0.087)/$D217</f>
        <v>0.7</v>
      </c>
      <c r="G217" s="5">
        <f>(0.03*0.264+0.02*0.087)/$D217</f>
        <v>2.7521367521367524E-2</v>
      </c>
      <c r="H217" s="5">
        <f>(0.23*0.264+0.6*0.087)/$D217</f>
        <v>0.32170940170940171</v>
      </c>
      <c r="I217" s="5">
        <f>(6.3*0.264+8.8*0.087)/$D217</f>
        <v>6.9196581196581199</v>
      </c>
      <c r="J217" s="5">
        <f>(0.62*0.264+1.2*0.087)/$D217</f>
        <v>0.76376068376068373</v>
      </c>
      <c r="K217" s="5">
        <f>(0.8*0.264+1*0.087)/$D217</f>
        <v>0.84957264957264966</v>
      </c>
      <c r="N217" s="9">
        <f t="shared" si="80"/>
        <v>2.0640000000000001</v>
      </c>
      <c r="O217" s="9">
        <f t="shared" si="88"/>
        <v>2.4569999999999999</v>
      </c>
      <c r="P217" s="9">
        <f>1000*D217*G217/100</f>
        <v>9.6600000000000005E-2</v>
      </c>
      <c r="Q217" s="9">
        <f t="shared" si="89"/>
        <v>0.26807999999999998</v>
      </c>
      <c r="R217" s="9">
        <f t="shared" si="90"/>
        <v>0.29820000000000002</v>
      </c>
      <c r="S217" s="10">
        <f t="shared" si="91"/>
        <v>0.11291999999999999</v>
      </c>
      <c r="T217" s="3" t="s">
        <v>45</v>
      </c>
      <c r="U217" s="3" t="s">
        <v>757</v>
      </c>
      <c r="V217" s="4" t="s">
        <v>290</v>
      </c>
      <c r="X217" s="44" t="s">
        <v>623</v>
      </c>
      <c r="Y217" s="44" t="s">
        <v>582</v>
      </c>
    </row>
    <row r="218" spans="2:27" x14ac:dyDescent="0.25">
      <c r="B218" s="3" t="s">
        <v>288</v>
      </c>
      <c r="C218" s="3" t="s">
        <v>145</v>
      </c>
      <c r="D218" s="11">
        <v>0.60509999999999997</v>
      </c>
      <c r="E218" s="3">
        <v>0.06</v>
      </c>
      <c r="F218" s="3">
        <v>0.57999999999999996</v>
      </c>
      <c r="G218" s="3">
        <v>4.0000000000000001E-3</v>
      </c>
      <c r="H218" s="3">
        <v>0.37</v>
      </c>
      <c r="I218" s="3">
        <v>3.36</v>
      </c>
      <c r="J218" s="3">
        <v>0.97</v>
      </c>
      <c r="K218" s="3">
        <v>0.97</v>
      </c>
      <c r="N218" s="9">
        <f t="shared" si="80"/>
        <v>0.36305999999999999</v>
      </c>
      <c r="O218" s="9">
        <f t="shared" si="88"/>
        <v>3.5095799999999997</v>
      </c>
      <c r="P218" s="9">
        <f t="shared" ref="P218:P219" si="92">1000*D218*G218/100</f>
        <v>2.4204000000000003E-2</v>
      </c>
      <c r="Q218" s="9">
        <f t="shared" si="89"/>
        <v>0.586947</v>
      </c>
      <c r="R218" s="9">
        <f t="shared" si="90"/>
        <v>0.586947</v>
      </c>
      <c r="S218" s="10">
        <f t="shared" si="91"/>
        <v>0.22388699999999997</v>
      </c>
      <c r="T218" s="3" t="s">
        <v>45</v>
      </c>
      <c r="U218" s="3" t="s">
        <v>846</v>
      </c>
      <c r="V218" s="4" t="s">
        <v>290</v>
      </c>
      <c r="X218" s="44" t="s">
        <v>623</v>
      </c>
      <c r="Y218" s="44" t="s">
        <v>582</v>
      </c>
    </row>
    <row r="219" spans="2:27" x14ac:dyDescent="0.25">
      <c r="B219" s="3" t="s">
        <v>968</v>
      </c>
      <c r="C219" s="3" t="s">
        <v>145</v>
      </c>
      <c r="D219" s="3">
        <f>0.56+21.342+5.244</f>
        <v>27.145999999999997</v>
      </c>
      <c r="E219" s="5">
        <f>(0.93*0.56+0.93*21.342+0.73*5.244)/$D219</f>
        <v>0.89136447358726889</v>
      </c>
      <c r="F219" s="5">
        <f>(1.1*0.56+1.15*21.342+0.92*5.244)/$D219</f>
        <v>1.1045376851101452</v>
      </c>
      <c r="G219" s="5">
        <f>(0.04*0.56+0.05*21.342+0.04*5.244)/$D219</f>
        <v>4.7861931776320636E-2</v>
      </c>
      <c r="H219" s="5">
        <f>(0.1*0.56+0.14*21.342+0.13*5.244)/$D219</f>
        <v>0.13724305606719223</v>
      </c>
      <c r="J219" s="5">
        <f>(0.6*0.56+0.54*21.342+0.51*5.244)/$D219</f>
        <v>0.53544242245634721</v>
      </c>
      <c r="K219" s="5">
        <f>(2.66*0.56+2.17*21.342+2.03*5.244)/$D219</f>
        <v>2.1530634347601856</v>
      </c>
      <c r="N219" s="9">
        <f t="shared" si="80"/>
        <v>241.96979999999999</v>
      </c>
      <c r="O219" s="9">
        <f t="shared" si="88"/>
        <v>299.83779999999996</v>
      </c>
      <c r="P219" s="9">
        <f t="shared" si="92"/>
        <v>12.992599999999998</v>
      </c>
      <c r="Q219" s="9">
        <f t="shared" si="89"/>
        <v>14.535119999999999</v>
      </c>
      <c r="R219" s="9">
        <f t="shared" si="90"/>
        <v>58.447059999999993</v>
      </c>
      <c r="S219" s="10">
        <f t="shared" si="91"/>
        <v>3.7255999999999996</v>
      </c>
      <c r="T219" s="3" t="s">
        <v>45</v>
      </c>
      <c r="U219" s="3" t="s">
        <v>847</v>
      </c>
      <c r="V219" s="4" t="s">
        <v>291</v>
      </c>
      <c r="X219" s="44" t="s">
        <v>623</v>
      </c>
      <c r="Y219" s="44" t="s">
        <v>583</v>
      </c>
      <c r="Z219" s="3" t="s">
        <v>588</v>
      </c>
    </row>
    <row r="220" spans="2:27" x14ac:dyDescent="0.25">
      <c r="B220" s="3" t="s">
        <v>347</v>
      </c>
      <c r="C220" s="3" t="s">
        <v>145</v>
      </c>
      <c r="D220" s="3">
        <v>0.35</v>
      </c>
      <c r="E220" s="3">
        <v>0.55000000000000004</v>
      </c>
      <c r="F220" s="3">
        <v>0.96</v>
      </c>
      <c r="H220" s="3">
        <f>(0.01/0.07)*6.3</f>
        <v>0.89999999999999991</v>
      </c>
      <c r="J220" s="3">
        <f>(0.04/0.07)*6.3</f>
        <v>3.5999999999999996</v>
      </c>
      <c r="K220" s="3">
        <f>(0.02/0.07)*6.3</f>
        <v>1.7999999999999998</v>
      </c>
      <c r="L220" s="5">
        <v>6.3</v>
      </c>
      <c r="N220" s="9">
        <f t="shared" si="80"/>
        <v>1.9250000000000003</v>
      </c>
      <c r="O220" s="9">
        <f t="shared" si="88"/>
        <v>3.36</v>
      </c>
      <c r="Q220" s="9">
        <f t="shared" si="89"/>
        <v>1.2599999999999998</v>
      </c>
      <c r="T220" s="3" t="s">
        <v>45</v>
      </c>
      <c r="U220" s="3" t="s">
        <v>848</v>
      </c>
      <c r="V220" s="4" t="s">
        <v>348</v>
      </c>
      <c r="X220" s="44" t="s">
        <v>623</v>
      </c>
      <c r="Y220" s="44" t="s">
        <v>582</v>
      </c>
    </row>
    <row r="221" spans="2:27" x14ac:dyDescent="0.25">
      <c r="B221" s="3" t="s">
        <v>356</v>
      </c>
      <c r="C221" s="3" t="s">
        <v>145</v>
      </c>
      <c r="D221" s="11">
        <f>0.172396*0.9072</f>
        <v>0.15639765119999999</v>
      </c>
      <c r="E221" s="3">
        <v>0.62</v>
      </c>
      <c r="F221" s="3">
        <v>0.26</v>
      </c>
      <c r="G221" s="3">
        <v>0.02</v>
      </c>
      <c r="J221" s="5">
        <f>31.1*0.009/0.9072</f>
        <v>0.30853174603174599</v>
      </c>
      <c r="K221" s="5">
        <f>31.1*0.03/0.9072</f>
        <v>1.0284391534391535</v>
      </c>
      <c r="N221" s="9">
        <f t="shared" si="80"/>
        <v>0.96966543743999989</v>
      </c>
      <c r="O221" s="9">
        <f t="shared" si="88"/>
        <v>0.40663389311999998</v>
      </c>
      <c r="P221" s="9">
        <f t="shared" ref="P221:P226" si="93">1000*D221*G221/100</f>
        <v>3.1279530239999999E-2</v>
      </c>
      <c r="Q221" s="9">
        <f>D221*J221</f>
        <v>4.8253640399999992E-2</v>
      </c>
      <c r="R221" s="9">
        <f>D221*K221</f>
        <v>0.16084546799999999</v>
      </c>
      <c r="T221" s="3" t="s">
        <v>45</v>
      </c>
      <c r="U221" s="3" t="s">
        <v>841</v>
      </c>
      <c r="V221" s="4" t="s">
        <v>357</v>
      </c>
      <c r="X221" s="44" t="s">
        <v>623</v>
      </c>
      <c r="Y221" s="44" t="s">
        <v>595</v>
      </c>
    </row>
    <row r="222" spans="2:27" x14ac:dyDescent="0.25">
      <c r="B222" s="3" t="s">
        <v>858</v>
      </c>
      <c r="C222" s="3" t="s">
        <v>145</v>
      </c>
      <c r="D222" s="3">
        <v>2.2999999999999998</v>
      </c>
      <c r="E222" s="3">
        <v>0.7</v>
      </c>
      <c r="F222" s="3">
        <v>0.4</v>
      </c>
      <c r="G222" s="3">
        <v>0.02</v>
      </c>
      <c r="N222" s="9">
        <f t="shared" si="80"/>
        <v>16.100000000000001</v>
      </c>
      <c r="O222" s="9">
        <f t="shared" si="88"/>
        <v>9.1999999999999993</v>
      </c>
      <c r="P222" s="9">
        <f t="shared" si="93"/>
        <v>0.46</v>
      </c>
      <c r="Q222" s="9"/>
      <c r="R222" s="9"/>
      <c r="S222" s="10"/>
      <c r="T222" s="3" t="s">
        <v>45</v>
      </c>
      <c r="U222" s="3" t="s">
        <v>649</v>
      </c>
      <c r="V222" s="4" t="s">
        <v>511</v>
      </c>
      <c r="X222" s="44" t="s">
        <v>623</v>
      </c>
      <c r="Y222" s="44" t="s">
        <v>626</v>
      </c>
    </row>
    <row r="223" spans="2:27" x14ac:dyDescent="0.25">
      <c r="B223" s="3" t="s">
        <v>539</v>
      </c>
      <c r="C223" s="3" t="s">
        <v>145</v>
      </c>
      <c r="D223" s="27">
        <f>189.77+1220.3+695.2</f>
        <v>2105.27</v>
      </c>
      <c r="E223" s="5">
        <f>(0.29*189.77+0.27*1220.3+0.26*695.2)/D223</f>
        <v>0.2685006198729854</v>
      </c>
      <c r="G223" s="11">
        <f>(0.0111*189.77+0.0108*1220.3+0.01*695.2)/D223</f>
        <v>1.0562866995682265E-2</v>
      </c>
      <c r="J223" s="11">
        <f>415000*31.1/1069702000</f>
        <v>1.206550983357982E-2</v>
      </c>
      <c r="K223" s="11">
        <f>697000*31.1/1069702000</f>
        <v>2.026424181687984E-2</v>
      </c>
      <c r="N223" s="9">
        <f t="shared" si="80"/>
        <v>5652.6629999999996</v>
      </c>
      <c r="O223" s="9"/>
      <c r="P223" s="9">
        <f t="shared" si="93"/>
        <v>222.37687000000003</v>
      </c>
      <c r="Q223" s="9">
        <f>D223*J223</f>
        <v>25.401155887340586</v>
      </c>
      <c r="R223" s="9">
        <f>D223*K223</f>
        <v>42.661700369822618</v>
      </c>
      <c r="S223" s="10"/>
      <c r="T223" s="3" t="s">
        <v>45</v>
      </c>
      <c r="U223" s="3" t="s">
        <v>757</v>
      </c>
      <c r="V223" s="4" t="s">
        <v>540</v>
      </c>
      <c r="X223" s="44" t="s">
        <v>623</v>
      </c>
      <c r="Y223" s="44" t="s">
        <v>986</v>
      </c>
      <c r="Z223" s="3" t="s">
        <v>592</v>
      </c>
    </row>
    <row r="224" spans="2:27" x14ac:dyDescent="0.25">
      <c r="B224" s="3" t="s">
        <v>541</v>
      </c>
      <c r="C224" s="3" t="s">
        <v>145</v>
      </c>
      <c r="D224" s="10">
        <f>15.8+30.2</f>
        <v>46</v>
      </c>
      <c r="E224" s="5">
        <f>(0.65*15.8+0.67*30.2)/$D224</f>
        <v>0.6631304347826088</v>
      </c>
      <c r="F224" s="5">
        <f>(0.99*15.8+1*30.2)/$D224</f>
        <v>0.99656521739130433</v>
      </c>
      <c r="G224" s="5">
        <f>(0.07*15.8+0.05*30.2)/$D224</f>
        <v>5.6869565217391303E-2</v>
      </c>
      <c r="J224" s="5">
        <f>(0.25*15.8+0.19*30.2)/$D224</f>
        <v>0.21060869565217388</v>
      </c>
      <c r="K224" s="5">
        <f>(1.55*15.8+1.18*30.2)/$D224</f>
        <v>1.3070869565217391</v>
      </c>
      <c r="N224" s="9">
        <f t="shared" si="80"/>
        <v>305.04000000000002</v>
      </c>
      <c r="O224" s="9">
        <f>1000*D224*F224/100</f>
        <v>458.42</v>
      </c>
      <c r="P224" s="9">
        <f t="shared" si="93"/>
        <v>26.16</v>
      </c>
      <c r="Q224" s="9">
        <f>D224*J224</f>
        <v>9.6879999999999988</v>
      </c>
      <c r="R224" s="9">
        <f>D224*K224</f>
        <v>60.125999999999998</v>
      </c>
      <c r="S224" s="10"/>
      <c r="T224" s="3" t="s">
        <v>45</v>
      </c>
      <c r="U224" s="3" t="s">
        <v>849</v>
      </c>
      <c r="V224" s="4" t="s">
        <v>542</v>
      </c>
      <c r="X224" s="44" t="s">
        <v>623</v>
      </c>
      <c r="Y224" s="44" t="s">
        <v>630</v>
      </c>
    </row>
    <row r="225" spans="1:26" x14ac:dyDescent="0.25">
      <c r="B225" s="3" t="s">
        <v>560</v>
      </c>
      <c r="C225" s="3" t="s">
        <v>145</v>
      </c>
      <c r="D225" s="3">
        <f>4.464+2.675+0.118</f>
        <v>7.2570000000000006</v>
      </c>
      <c r="E225" s="5">
        <f>(0.42*4.464+0.96*2.675+1.38*0.118)/$D225</f>
        <v>0.63465894997933026</v>
      </c>
      <c r="F225" s="5">
        <f>(0.23*4.464+0.5*2.675+0.88*0.118)/$D225</f>
        <v>0.34009370263194155</v>
      </c>
      <c r="G225" s="5">
        <f>(0.01*4.464+0.02*2.675+0*0.118)/$D225</f>
        <v>1.3523494556979468E-2</v>
      </c>
      <c r="N225" s="9">
        <f t="shared" si="80"/>
        <v>46.057200000000002</v>
      </c>
      <c r="O225" s="9">
        <f>1000*D225*F225/100</f>
        <v>24.680599999999998</v>
      </c>
      <c r="P225" s="9">
        <f t="shared" si="93"/>
        <v>0.98140000000000016</v>
      </c>
      <c r="Q225" s="9"/>
      <c r="R225" s="9"/>
      <c r="S225" s="10"/>
      <c r="T225" s="3" t="s">
        <v>45</v>
      </c>
      <c r="U225" s="3" t="s">
        <v>649</v>
      </c>
      <c r="V225" s="4" t="s">
        <v>561</v>
      </c>
      <c r="X225" s="44" t="s">
        <v>623</v>
      </c>
      <c r="Y225" s="44" t="s">
        <v>626</v>
      </c>
    </row>
    <row r="226" spans="1:26" x14ac:dyDescent="0.25">
      <c r="B226" s="3" t="s">
        <v>850</v>
      </c>
      <c r="C226" s="3" t="s">
        <v>145</v>
      </c>
      <c r="D226" s="3">
        <f>0.216+0.257+0.066</f>
        <v>0.53899999999999992</v>
      </c>
      <c r="E226" s="5">
        <f>(0.95*0.216+0.96*0.257+0.82*0.066)/$D226</f>
        <v>0.93884972170686476</v>
      </c>
      <c r="F226" s="5">
        <f>(0.05*0.216+0.04*0.257+0.04*0.066)/$D226</f>
        <v>4.4007421150278302E-2</v>
      </c>
      <c r="G226" s="5">
        <f>(0.04*0.216+0.03*0.257+0.02*0.066)/$D226</f>
        <v>3.2782931354359925E-2</v>
      </c>
      <c r="H226" s="5">
        <f>(0.01*0.216+0.01*0.257+0.01*0.066)/$D226</f>
        <v>1.0000000000000002E-2</v>
      </c>
      <c r="J226" s="5">
        <f>(0.04*0.216+0.03*0.257+0.01*0.066)/$D226</f>
        <v>3.1558441558441563E-2</v>
      </c>
      <c r="K226" s="5">
        <f>(0.08*0.216+0.06*0.257+0.02*0.066)/$D226</f>
        <v>6.3116883116883127E-2</v>
      </c>
      <c r="N226" s="9">
        <f t="shared" ref="N226" si="94">1000*D226*E226/100</f>
        <v>5.0604000000000005</v>
      </c>
      <c r="O226" s="9">
        <f>1000*D226*F226/100</f>
        <v>0.23719999999999999</v>
      </c>
      <c r="P226" s="9">
        <f t="shared" si="93"/>
        <v>0.17669999999999994</v>
      </c>
      <c r="Q226" s="9">
        <f>D226*J226</f>
        <v>1.7010000000000001E-2</v>
      </c>
      <c r="R226" s="9">
        <f>D226*K226</f>
        <v>3.4020000000000002E-2</v>
      </c>
      <c r="S226" s="10">
        <f>D226*H226</f>
        <v>5.3900000000000007E-3</v>
      </c>
      <c r="T226" s="3" t="s">
        <v>45</v>
      </c>
      <c r="U226" s="3" t="s">
        <v>649</v>
      </c>
      <c r="V226" s="4" t="s">
        <v>561</v>
      </c>
      <c r="X226" s="44" t="s">
        <v>623</v>
      </c>
      <c r="Y226" s="44" t="s">
        <v>986</v>
      </c>
    </row>
    <row r="227" spans="1:26" x14ac:dyDescent="0.25">
      <c r="B227" s="3" t="s">
        <v>563</v>
      </c>
      <c r="C227" s="3" t="s">
        <v>145</v>
      </c>
      <c r="D227" s="6">
        <f>11.051+43.063+14.585</f>
        <v>68.699000000000012</v>
      </c>
      <c r="E227" s="5">
        <f>(0.56*11.051+0.51*43.063+0.43*14.585)/D227</f>
        <v>0.50105882181691141</v>
      </c>
      <c r="N227" s="9">
        <f t="shared" si="80"/>
        <v>344.22240000000005</v>
      </c>
      <c r="O227" s="9"/>
      <c r="P227" s="9"/>
      <c r="Q227" s="9"/>
      <c r="R227" s="9"/>
      <c r="S227" s="10"/>
      <c r="T227" s="3" t="s">
        <v>45</v>
      </c>
      <c r="U227" s="3" t="s">
        <v>851</v>
      </c>
      <c r="V227" s="4" t="s">
        <v>564</v>
      </c>
      <c r="X227" s="44" t="s">
        <v>623</v>
      </c>
      <c r="Y227" s="44" t="s">
        <v>635</v>
      </c>
    </row>
    <row r="228" spans="1:26" x14ac:dyDescent="0.25">
      <c r="B228" s="3" t="s">
        <v>565</v>
      </c>
      <c r="C228" s="3" t="s">
        <v>145</v>
      </c>
      <c r="D228" s="6">
        <f>4.279+1.01</f>
        <v>5.2889999999999997</v>
      </c>
      <c r="E228" s="5">
        <f>(0.875*4.279+0.839*1.01)/D228</f>
        <v>0.86812535450935913</v>
      </c>
      <c r="N228" s="9">
        <f t="shared" si="80"/>
        <v>45.915150000000004</v>
      </c>
      <c r="O228" s="9"/>
      <c r="P228" s="9"/>
      <c r="Q228" s="9"/>
      <c r="R228" s="9"/>
      <c r="S228" s="10"/>
      <c r="T228" s="3" t="s">
        <v>45</v>
      </c>
      <c r="U228" s="3" t="s">
        <v>852</v>
      </c>
      <c r="V228" s="4" t="s">
        <v>564</v>
      </c>
      <c r="X228" s="44" t="s">
        <v>623</v>
      </c>
      <c r="Y228" s="44" t="s">
        <v>583</v>
      </c>
      <c r="Z228" s="3" t="s">
        <v>598</v>
      </c>
    </row>
    <row r="229" spans="1:26" x14ac:dyDescent="0.25">
      <c r="B229" s="3" t="s">
        <v>566</v>
      </c>
      <c r="C229" s="3" t="s">
        <v>145</v>
      </c>
      <c r="D229" s="11">
        <f>0.285918+0.513813+0.439279</f>
        <v>1.2390099999999999</v>
      </c>
      <c r="E229" s="5">
        <f>(1.23*0.285918+1.05*0.513813+0.65*0.439279)/D229</f>
        <v>0.94972126132960999</v>
      </c>
      <c r="F229" s="5">
        <f>(0.77*0.285918+0.62*0.513813+0.41*0.439279)/D229</f>
        <v>0.58016102372055112</v>
      </c>
      <c r="G229" s="11">
        <v>2.8899999999999999E-2</v>
      </c>
      <c r="N229" s="9">
        <f t="shared" si="80"/>
        <v>11.7671414</v>
      </c>
      <c r="O229" s="9">
        <f>1000*D229*F229/100</f>
        <v>7.1882531000000007</v>
      </c>
      <c r="P229" s="9">
        <f t="shared" ref="P229" si="95">1000*D229*G229/100</f>
        <v>0.35807389000000001</v>
      </c>
      <c r="Q229" s="9"/>
      <c r="R229" s="9"/>
      <c r="S229" s="10"/>
      <c r="T229" s="3" t="s">
        <v>45</v>
      </c>
      <c r="U229" s="3" t="s">
        <v>853</v>
      </c>
      <c r="V229" s="4" t="s">
        <v>564</v>
      </c>
      <c r="X229" s="44" t="s">
        <v>623</v>
      </c>
      <c r="Y229" s="44" t="s">
        <v>580</v>
      </c>
      <c r="Z229" s="3" t="s">
        <v>618</v>
      </c>
    </row>
    <row r="230" spans="1:26" x14ac:dyDescent="0.25">
      <c r="B230" s="3" t="s">
        <v>510</v>
      </c>
      <c r="C230" s="3" t="s">
        <v>145</v>
      </c>
      <c r="D230" s="11">
        <v>17.068597</v>
      </c>
      <c r="E230" s="3">
        <v>0.62</v>
      </c>
      <c r="F230" s="3">
        <v>0.31</v>
      </c>
      <c r="N230" s="9">
        <f t="shared" si="80"/>
        <v>105.8253014</v>
      </c>
      <c r="O230" s="9">
        <f>1000*D230*F230/100</f>
        <v>52.9126507</v>
      </c>
      <c r="P230" s="9"/>
      <c r="Q230" s="9"/>
      <c r="R230" s="9"/>
      <c r="S230" s="10"/>
      <c r="T230" s="3" t="s">
        <v>45</v>
      </c>
      <c r="U230" s="3" t="s">
        <v>830</v>
      </c>
      <c r="V230" s="4" t="s">
        <v>564</v>
      </c>
      <c r="X230" s="44" t="s">
        <v>623</v>
      </c>
      <c r="Y230" s="44" t="s">
        <v>626</v>
      </c>
    </row>
    <row r="231" spans="1:26" x14ac:dyDescent="0.25">
      <c r="B231" s="3" t="s">
        <v>568</v>
      </c>
      <c r="C231" s="3" t="s">
        <v>145</v>
      </c>
      <c r="D231" s="6">
        <f>10.275+1.669</f>
        <v>11.944000000000001</v>
      </c>
      <c r="E231" s="5">
        <f>(0.55*10.275+0.25*1.669)/D231</f>
        <v>0.50807937039517759</v>
      </c>
      <c r="F231" s="5">
        <f>(0.11*10.275+0.07*1.669)/D231</f>
        <v>0.10441058271935699</v>
      </c>
      <c r="G231" s="5">
        <f>(0.01*10.275+0.01*1.669)/D231</f>
        <v>0.01</v>
      </c>
      <c r="H231" s="6"/>
      <c r="I231" s="6"/>
      <c r="J231" s="5">
        <f>(0.1*10.275+0.05*1.669)/D231</f>
        <v>9.3013228399196249E-2</v>
      </c>
      <c r="K231" s="5">
        <f>(0.35*10.275+0.15*1.669)/D231</f>
        <v>0.32205291359678495</v>
      </c>
      <c r="N231" s="9">
        <f t="shared" si="80"/>
        <v>60.685000000000009</v>
      </c>
      <c r="O231" s="9">
        <f>1000*D231*F231/100</f>
        <v>12.470799999999999</v>
      </c>
      <c r="P231" s="9">
        <f>1000*D231*G231/100</f>
        <v>1.1943999999999999</v>
      </c>
      <c r="Q231" s="9">
        <f>D231*J231</f>
        <v>1.1109500000000001</v>
      </c>
      <c r="R231" s="9">
        <f>D231*K231</f>
        <v>3.8465999999999996</v>
      </c>
      <c r="T231" s="3" t="s">
        <v>45</v>
      </c>
      <c r="U231" s="3" t="s">
        <v>855</v>
      </c>
      <c r="V231" s="4" t="s">
        <v>567</v>
      </c>
      <c r="X231" s="44" t="s">
        <v>628</v>
      </c>
      <c r="Y231" s="44" t="s">
        <v>635</v>
      </c>
    </row>
    <row r="232" spans="1:26" x14ac:dyDescent="0.25">
      <c r="B232" s="3" t="s">
        <v>570</v>
      </c>
      <c r="C232" s="3" t="s">
        <v>145</v>
      </c>
      <c r="D232" s="53">
        <f>227.379+638.103+976.295</f>
        <v>1841.777</v>
      </c>
      <c r="E232" s="5">
        <f>(0.22*227.379+0.21*638.103+0.2*976.295)/D232</f>
        <v>0.20593373139093385</v>
      </c>
      <c r="G232" s="11">
        <f>(0.014*227.379+0.013*638.103+0.013*976.295)/D232</f>
        <v>1.3123456314200903E-2</v>
      </c>
      <c r="N232" s="9">
        <f t="shared" si="80"/>
        <v>3792.8400999999994</v>
      </c>
      <c r="O232" s="9"/>
      <c r="P232" s="9">
        <f>1000*D232*G232/100</f>
        <v>241.70479999999995</v>
      </c>
      <c r="Q232" s="9"/>
      <c r="R232" s="9"/>
      <c r="T232" s="3" t="s">
        <v>45</v>
      </c>
      <c r="U232" s="3" t="s">
        <v>757</v>
      </c>
      <c r="V232" s="4" t="s">
        <v>571</v>
      </c>
      <c r="X232" s="44" t="s">
        <v>623</v>
      </c>
      <c r="Y232" s="44" t="s">
        <v>627</v>
      </c>
    </row>
    <row r="233" spans="1:26" x14ac:dyDescent="0.25">
      <c r="B233" s="3" t="s">
        <v>856</v>
      </c>
      <c r="C233" s="3" t="s">
        <v>145</v>
      </c>
      <c r="D233" s="53">
        <f>11.637+0.237</f>
        <v>11.874000000000001</v>
      </c>
      <c r="E233" s="5">
        <f>(0.21*11.637+0.2*0.237)/$D233</f>
        <v>0.20980040424456797</v>
      </c>
      <c r="F233" s="5">
        <f>(0.55*11.637+0.55*0.237)/$D233</f>
        <v>0.55000000000000004</v>
      </c>
      <c r="G233" s="11"/>
      <c r="H233" s="3">
        <f>(0.06*11.637+0.041*0.237)/$D233</f>
        <v>5.9620768064679121E-2</v>
      </c>
      <c r="J233" s="5">
        <f>(0.053*11.637+0.028*0.237)/$D233</f>
        <v>5.2501010611419902E-2</v>
      </c>
      <c r="K233" s="5">
        <f>(0.161*11.637+0.121*0.237)/$D233</f>
        <v>0.16020161697827187</v>
      </c>
      <c r="N233" s="9">
        <f t="shared" ref="N233:N235" si="96">1000*D233*E233/100</f>
        <v>24.9117</v>
      </c>
      <c r="O233" s="9">
        <f>1000*D233*F233/100</f>
        <v>65.307000000000002</v>
      </c>
      <c r="P233" s="9"/>
      <c r="Q233" s="9">
        <f>D233*J233</f>
        <v>0.62339699999999998</v>
      </c>
      <c r="R233" s="9">
        <f>D233*K233</f>
        <v>1.9022340000000002</v>
      </c>
      <c r="T233" s="3" t="s">
        <v>45</v>
      </c>
      <c r="U233" s="3" t="s">
        <v>855</v>
      </c>
      <c r="V233" s="4" t="s">
        <v>567</v>
      </c>
      <c r="X233" s="44" t="s">
        <v>623</v>
      </c>
      <c r="Y233" s="44" t="s">
        <v>626</v>
      </c>
    </row>
    <row r="234" spans="1:26" x14ac:dyDescent="0.25">
      <c r="A234" s="48"/>
      <c r="B234" s="48" t="s">
        <v>867</v>
      </c>
      <c r="C234" s="48" t="s">
        <v>145</v>
      </c>
      <c r="D234" s="78">
        <v>1283.53</v>
      </c>
      <c r="E234" s="48">
        <v>0.108</v>
      </c>
      <c r="F234" s="58"/>
      <c r="G234" s="63"/>
      <c r="H234" s="48"/>
      <c r="I234" s="48"/>
      <c r="J234" s="58"/>
      <c r="K234" s="58"/>
      <c r="L234" s="48"/>
      <c r="M234" s="48" t="s">
        <v>865</v>
      </c>
      <c r="N234" s="55">
        <f t="shared" si="96"/>
        <v>1386.2123999999999</v>
      </c>
      <c r="O234" s="55"/>
      <c r="P234" s="55"/>
      <c r="Q234" s="55"/>
      <c r="R234" s="55"/>
      <c r="S234" s="48"/>
      <c r="T234" s="48" t="s">
        <v>45</v>
      </c>
      <c r="U234" s="48" t="s">
        <v>868</v>
      </c>
      <c r="V234" s="52" t="s">
        <v>866</v>
      </c>
      <c r="W234" s="52"/>
      <c r="X234" s="44" t="s">
        <v>981</v>
      </c>
      <c r="Y234" s="44" t="s">
        <v>982</v>
      </c>
      <c r="Z234" s="3" t="s">
        <v>983</v>
      </c>
    </row>
    <row r="235" spans="1:26" x14ac:dyDescent="0.25">
      <c r="A235" s="48"/>
      <c r="B235" s="48" t="s">
        <v>953</v>
      </c>
      <c r="C235" s="48" t="s">
        <v>145</v>
      </c>
      <c r="D235" s="79">
        <f>0.0582+0.0366+0.336+0.007+0.026+0.03+0.032+0.003+0.011+0.012+0.005</f>
        <v>0.55680000000000007</v>
      </c>
      <c r="E235" s="58">
        <f>(0.15*0.0582+0.55*0.0366+0*0.336+0*0.007+0.01*0.026+0.02*0.03+0.02*0.032+0*0.003+0.01*0.011+0.01*0.012+0*0.005)/$D235</f>
        <v>5.4938936781609195E-2</v>
      </c>
      <c r="F235" s="58">
        <f>(0.41*0.0582+0.57*0.0366+0*0.336+0*0.007+1.49*0.026+1.34*0.03+0.15*0.032+0.08*0.003+0.4*0.011+1.05*0.012+0.04*0.005)/$D235</f>
        <v>0.26204022988505737</v>
      </c>
      <c r="G235" s="58">
        <f>(0.03*0.0582+0.1*0.0366+0*0.336+0*0.007+0.01*0.026+0.01*0.03+0.01*0.032+0*0.003+0.01*0.011+0.01*0.012+0*0.005)/$D235</f>
        <v>1.1702586206896551E-2</v>
      </c>
      <c r="H235" s="48"/>
      <c r="I235" s="48"/>
      <c r="J235" s="58"/>
      <c r="K235" s="58"/>
      <c r="L235" s="48"/>
      <c r="M235" s="80" t="s">
        <v>1062</v>
      </c>
      <c r="N235" s="55">
        <f t="shared" si="96"/>
        <v>0.30590000000000006</v>
      </c>
      <c r="O235" s="55">
        <f t="shared" ref="O235:O243" si="97">1000*D235*F235/100</f>
        <v>1.4590399999999997</v>
      </c>
      <c r="P235" s="55">
        <f>1000*D235*G235/100</f>
        <v>6.516000000000001E-2</v>
      </c>
      <c r="Q235" s="55"/>
      <c r="R235" s="55"/>
      <c r="S235" s="48"/>
      <c r="T235" s="48" t="s">
        <v>45</v>
      </c>
      <c r="U235" s="48" t="s">
        <v>951</v>
      </c>
      <c r="V235" s="52" t="s">
        <v>952</v>
      </c>
      <c r="W235" s="52"/>
      <c r="X235" s="44" t="s">
        <v>579</v>
      </c>
      <c r="Y235" s="44" t="s">
        <v>979</v>
      </c>
    </row>
    <row r="236" spans="1:26" x14ac:dyDescent="0.25">
      <c r="A236" s="48"/>
      <c r="B236" s="48" t="s">
        <v>954</v>
      </c>
      <c r="C236" s="48" t="s">
        <v>145</v>
      </c>
      <c r="D236" s="33">
        <f>0.208382+0.196898</f>
        <v>0.40527999999999997</v>
      </c>
      <c r="E236" s="81">
        <f>(0.09*0.208382+0.1*0.196898)/$D236</f>
        <v>9.4858320173707072E-2</v>
      </c>
      <c r="F236" s="81">
        <f>(0.01*0.208382+0.01*0.196898)/$D236</f>
        <v>1.0000000000000002E-2</v>
      </c>
      <c r="G236" s="81">
        <f>(0.01*0.208382+0.01*0.196898)/$D236</f>
        <v>1.0000000000000002E-2</v>
      </c>
      <c r="H236" s="48"/>
      <c r="I236" s="48"/>
      <c r="J236" s="58"/>
      <c r="K236" s="58"/>
      <c r="L236" s="48"/>
      <c r="M236" s="80"/>
      <c r="N236" s="55">
        <f t="shared" ref="N236" si="98">1000*D236*E236/100</f>
        <v>0.38444180000000006</v>
      </c>
      <c r="O236" s="55">
        <f t="shared" si="97"/>
        <v>4.0528000000000002E-2</v>
      </c>
      <c r="P236" s="55">
        <f>1000*D236*G236/100</f>
        <v>4.0528000000000002E-2</v>
      </c>
      <c r="Q236" s="55"/>
      <c r="R236" s="55"/>
      <c r="S236" s="48"/>
      <c r="T236" s="48" t="s">
        <v>45</v>
      </c>
      <c r="U236" s="48" t="s">
        <v>955</v>
      </c>
      <c r="V236" s="52" t="s">
        <v>956</v>
      </c>
      <c r="W236" s="52"/>
      <c r="X236" s="44" t="s">
        <v>579</v>
      </c>
      <c r="Y236" s="44" t="s">
        <v>979</v>
      </c>
    </row>
    <row r="237" spans="1:26" x14ac:dyDescent="0.25">
      <c r="A237" s="48"/>
      <c r="B237" s="48" t="s">
        <v>957</v>
      </c>
      <c r="C237" s="48" t="s">
        <v>145</v>
      </c>
      <c r="D237" s="58">
        <f>(0.8+0.91)*1.016</f>
        <v>1.73736</v>
      </c>
      <c r="E237" s="33">
        <v>0.05</v>
      </c>
      <c r="F237" s="48">
        <v>0.27300000000000002</v>
      </c>
      <c r="G237" s="48">
        <v>7.2999999999999995E-2</v>
      </c>
      <c r="H237" s="48"/>
      <c r="I237" s="48">
        <v>154</v>
      </c>
      <c r="J237" s="48"/>
      <c r="K237" s="48"/>
      <c r="L237" s="48"/>
      <c r="M237" s="48"/>
      <c r="N237" s="55">
        <f t="shared" ref="N237" si="99">1000*D237*E237/100</f>
        <v>0.86868000000000012</v>
      </c>
      <c r="O237" s="55">
        <f t="shared" si="97"/>
        <v>4.7429928000000006</v>
      </c>
      <c r="P237" s="55">
        <f>1000*D237*G237/100</f>
        <v>1.2682728000000001</v>
      </c>
      <c r="Q237" s="48"/>
      <c r="R237" s="48"/>
      <c r="S237" s="48"/>
      <c r="T237" s="48" t="s">
        <v>45</v>
      </c>
      <c r="U237" s="48" t="s">
        <v>960</v>
      </c>
      <c r="V237" s="52" t="s">
        <v>959</v>
      </c>
      <c r="W237" s="52"/>
      <c r="X237" s="44" t="s">
        <v>579</v>
      </c>
      <c r="Y237" s="44" t="s">
        <v>979</v>
      </c>
    </row>
    <row r="238" spans="1:26" x14ac:dyDescent="0.25">
      <c r="A238" s="48"/>
      <c r="B238" s="48" t="s">
        <v>1072</v>
      </c>
      <c r="C238" s="48" t="s">
        <v>145</v>
      </c>
      <c r="D238" s="48">
        <v>17.2</v>
      </c>
      <c r="E238" s="48">
        <v>0.19</v>
      </c>
      <c r="F238" s="48">
        <v>9.4999999999999998E-3</v>
      </c>
      <c r="G238" s="48"/>
      <c r="H238" s="48"/>
      <c r="I238" s="48"/>
      <c r="J238" s="48"/>
      <c r="K238" s="48"/>
      <c r="L238" s="48"/>
      <c r="M238" s="48"/>
      <c r="N238" s="55">
        <f t="shared" ref="N238:N240" si="100">1000*D238*E238/100</f>
        <v>32.68</v>
      </c>
      <c r="O238" s="55">
        <f t="shared" si="97"/>
        <v>1.6340000000000001</v>
      </c>
      <c r="P238" s="48"/>
      <c r="Q238" s="48"/>
      <c r="R238" s="48"/>
      <c r="S238" s="48"/>
      <c r="T238" s="48" t="s">
        <v>45</v>
      </c>
      <c r="U238" s="48" t="s">
        <v>1074</v>
      </c>
      <c r="V238" s="52" t="s">
        <v>1073</v>
      </c>
      <c r="W238" s="48"/>
      <c r="X238" s="42" t="s">
        <v>579</v>
      </c>
      <c r="Y238" s="44" t="s">
        <v>977</v>
      </c>
    </row>
    <row r="239" spans="1:26" x14ac:dyDescent="0.25">
      <c r="A239" s="48"/>
      <c r="B239" s="48" t="s">
        <v>1108</v>
      </c>
      <c r="C239" s="48" t="s">
        <v>145</v>
      </c>
      <c r="D239" s="48">
        <f>14.308+289.246</f>
        <v>303.55399999999997</v>
      </c>
      <c r="E239" s="58">
        <f>(0.69*14.308+0.38*289.246)/D239</f>
        <v>0.39461183183222753</v>
      </c>
      <c r="F239" s="58">
        <f>(0.62*14.308+0.25*289.246)/D239</f>
        <v>0.26743992831588448</v>
      </c>
      <c r="G239" s="58">
        <f>(0.05*14.308+0.03*289.246)/D239</f>
        <v>3.094269882788565E-2</v>
      </c>
      <c r="H239" s="58">
        <f>(0.56*14.308+0.23*289.246)/D239</f>
        <v>0.24555453066011318</v>
      </c>
      <c r="I239" s="48"/>
      <c r="J239" s="58">
        <f>(0.99*14.308+0.53*289.246)/D239</f>
        <v>0.55168207304136996</v>
      </c>
      <c r="K239" s="58">
        <f>(0.74*14.308+0.42*289.246)/D239</f>
        <v>0.43508318124617035</v>
      </c>
      <c r="L239" s="48"/>
      <c r="M239" s="48"/>
      <c r="N239" s="55">
        <f t="shared" si="100"/>
        <v>1197.8599999999999</v>
      </c>
      <c r="O239" s="55">
        <f t="shared" si="97"/>
        <v>811.82459999999992</v>
      </c>
      <c r="P239" s="55">
        <f>1000*D239*G239/100</f>
        <v>93.927800000000005</v>
      </c>
      <c r="Q239" s="9">
        <f>D239*J239</f>
        <v>167.46530000000001</v>
      </c>
      <c r="R239" s="9">
        <f>D239*K239</f>
        <v>132.07123999999999</v>
      </c>
      <c r="S239" s="10">
        <f>D239*H239</f>
        <v>74.539059999999992</v>
      </c>
      <c r="T239" s="48" t="s">
        <v>45</v>
      </c>
      <c r="U239" s="48" t="s">
        <v>1109</v>
      </c>
      <c r="V239" s="52" t="s">
        <v>1110</v>
      </c>
      <c r="W239" s="48"/>
      <c r="X239" s="44" t="s">
        <v>623</v>
      </c>
      <c r="Y239" s="44" t="s">
        <v>595</v>
      </c>
    </row>
    <row r="240" spans="1:26" x14ac:dyDescent="0.25">
      <c r="A240" s="48"/>
      <c r="B240" s="48" t="s">
        <v>1131</v>
      </c>
      <c r="C240" s="48" t="s">
        <v>145</v>
      </c>
      <c r="D240" s="58">
        <f>3.19*0.9072</f>
        <v>2.8939680000000001</v>
      </c>
      <c r="E240" s="58">
        <v>0.92</v>
      </c>
      <c r="F240" s="58"/>
      <c r="G240" s="58"/>
      <c r="H240" s="58"/>
      <c r="I240" s="48"/>
      <c r="J240" s="58"/>
      <c r="K240" s="58"/>
      <c r="L240" s="48"/>
      <c r="M240" s="48"/>
      <c r="N240" s="55">
        <f t="shared" si="100"/>
        <v>26.624505600000003</v>
      </c>
      <c r="O240" s="55"/>
      <c r="P240" s="55"/>
      <c r="Q240" s="9"/>
      <c r="R240" s="9"/>
      <c r="S240" s="10"/>
      <c r="T240" s="48" t="s">
        <v>45</v>
      </c>
      <c r="U240" s="3" t="s">
        <v>1133</v>
      </c>
      <c r="V240" s="52" t="s">
        <v>1132</v>
      </c>
      <c r="W240" s="48"/>
      <c r="X240" s="44" t="s">
        <v>623</v>
      </c>
      <c r="Y240" s="44" t="s">
        <v>986</v>
      </c>
    </row>
    <row r="241" spans="1:25" x14ac:dyDescent="0.25">
      <c r="A241" s="48"/>
      <c r="B241" s="48" t="s">
        <v>1134</v>
      </c>
      <c r="C241" s="48" t="s">
        <v>145</v>
      </c>
      <c r="D241" s="58">
        <v>4.3749169999999999</v>
      </c>
      <c r="E241" s="58">
        <v>0.52</v>
      </c>
      <c r="F241" s="58">
        <v>0.87</v>
      </c>
      <c r="G241" s="58"/>
      <c r="H241" s="58"/>
      <c r="I241" s="48"/>
      <c r="J241" s="58">
        <f>0.2*0.84</f>
        <v>0.16800000000000001</v>
      </c>
      <c r="K241" s="58">
        <f>0.8*0.84</f>
        <v>0.67200000000000004</v>
      </c>
      <c r="L241" s="48"/>
      <c r="M241" s="48"/>
      <c r="N241" s="55">
        <f t="shared" ref="N241" si="101">1000*D241*E241/100</f>
        <v>22.749568400000001</v>
      </c>
      <c r="O241" s="55">
        <f t="shared" ref="O241" si="102">1000*D241*F241/100</f>
        <v>38.061777900000003</v>
      </c>
      <c r="P241" s="55"/>
      <c r="Q241" s="55">
        <f>D241*J241</f>
        <v>0.734986056</v>
      </c>
      <c r="R241" s="55">
        <f>D241*K241</f>
        <v>2.939944224</v>
      </c>
      <c r="S241" s="84"/>
      <c r="T241" s="48" t="s">
        <v>45</v>
      </c>
      <c r="U241" s="48" t="s">
        <v>1145</v>
      </c>
      <c r="V241" s="52" t="s">
        <v>1135</v>
      </c>
      <c r="W241" s="48"/>
      <c r="X241" s="44" t="s">
        <v>623</v>
      </c>
      <c r="Y241" s="44" t="s">
        <v>626</v>
      </c>
    </row>
    <row r="242" spans="1:25" x14ac:dyDescent="0.25">
      <c r="A242" s="48"/>
      <c r="B242" s="48" t="s">
        <v>1143</v>
      </c>
      <c r="C242" s="48" t="s">
        <v>145</v>
      </c>
      <c r="D242" s="82">
        <f>1.255+0.783+1.053</f>
        <v>3.0909999999999997</v>
      </c>
      <c r="E242" s="58">
        <f>(1.09*1.255+1*0.783+0.81*1.053)/D242</f>
        <v>0.97181494661921708</v>
      </c>
      <c r="F242" s="58">
        <f>(0.56*1.255+0.53*0.783+0.32*1.053)/D242</f>
        <v>0.4706405693950178</v>
      </c>
      <c r="G242" s="58">
        <f>(0.07*1.255+0.06*0.783+0.06*1.053)/D242</f>
        <v>6.4060174700744113E-2</v>
      </c>
      <c r="H242" s="58"/>
      <c r="I242" s="48"/>
      <c r="J242" s="58">
        <f>(0.2*1.255+0.29*0.783+0.5*1.053)/D242</f>
        <v>0.32499838240051765</v>
      </c>
      <c r="K242" s="58">
        <f>(1.11*1.255+0.91*0.783+1.06*1.053)/D242</f>
        <v>1.0423034616628923</v>
      </c>
      <c r="L242" s="48"/>
      <c r="M242" s="48"/>
      <c r="N242" s="55">
        <f t="shared" ref="N242" si="103">1000*D242*E242/100</f>
        <v>30.038799999999995</v>
      </c>
      <c r="O242" s="55">
        <f t="shared" ref="O242" si="104">1000*D242*F242/100</f>
        <v>14.547499999999998</v>
      </c>
      <c r="P242" s="55">
        <f>1000*D242*G242/100</f>
        <v>1.9801000000000002</v>
      </c>
      <c r="Q242" s="9">
        <f>D242*J242</f>
        <v>1.00457</v>
      </c>
      <c r="R242" s="9">
        <f>D242*K242</f>
        <v>3.2217599999999997</v>
      </c>
      <c r="S242" s="10"/>
      <c r="T242" s="48" t="s">
        <v>45</v>
      </c>
      <c r="U242" s="48" t="s">
        <v>1141</v>
      </c>
      <c r="V242" s="52" t="s">
        <v>1142</v>
      </c>
      <c r="W242" s="48"/>
      <c r="X242" s="44" t="s">
        <v>623</v>
      </c>
      <c r="Y242" s="44" t="s">
        <v>626</v>
      </c>
    </row>
    <row r="243" spans="1:25" x14ac:dyDescent="0.25">
      <c r="B243" s="3" t="s">
        <v>358</v>
      </c>
      <c r="C243" s="3" t="s">
        <v>145</v>
      </c>
      <c r="D243" s="3">
        <v>1</v>
      </c>
      <c r="E243" s="3">
        <v>1.2</v>
      </c>
      <c r="F243" s="3">
        <v>0.5</v>
      </c>
      <c r="N243" s="9">
        <f t="shared" si="80"/>
        <v>12</v>
      </c>
      <c r="O243" s="9">
        <f t="shared" si="97"/>
        <v>5</v>
      </c>
      <c r="T243" s="3" t="s">
        <v>45</v>
      </c>
      <c r="U243" s="3" t="s">
        <v>854</v>
      </c>
      <c r="V243" s="4" t="s">
        <v>357</v>
      </c>
      <c r="X243" s="44" t="s">
        <v>623</v>
      </c>
      <c r="Y243" s="44" t="s">
        <v>626</v>
      </c>
    </row>
    <row r="244" spans="1:25" x14ac:dyDescent="0.25">
      <c r="X244" s="44"/>
      <c r="Y244" s="44"/>
    </row>
    <row r="245" spans="1:25" x14ac:dyDescent="0.25">
      <c r="A245" s="26" t="s">
        <v>176</v>
      </c>
      <c r="B245" s="26" t="s">
        <v>176</v>
      </c>
      <c r="C245" s="26" t="s">
        <v>176</v>
      </c>
      <c r="D245" s="26" t="s">
        <v>176</v>
      </c>
      <c r="E245" s="26" t="s">
        <v>176</v>
      </c>
      <c r="F245" s="26" t="s">
        <v>176</v>
      </c>
      <c r="G245" s="26" t="s">
        <v>176</v>
      </c>
      <c r="H245" s="26" t="s">
        <v>176</v>
      </c>
      <c r="I245" s="26" t="s">
        <v>176</v>
      </c>
      <c r="J245" s="26" t="s">
        <v>176</v>
      </c>
      <c r="K245" s="26" t="s">
        <v>176</v>
      </c>
      <c r="L245" s="26" t="s">
        <v>176</v>
      </c>
      <c r="M245" s="26" t="s">
        <v>176</v>
      </c>
      <c r="N245" s="26" t="s">
        <v>176</v>
      </c>
      <c r="O245" s="26" t="s">
        <v>176</v>
      </c>
      <c r="P245" s="26" t="s">
        <v>176</v>
      </c>
      <c r="Q245" s="26" t="s">
        <v>176</v>
      </c>
      <c r="R245" s="26" t="s">
        <v>176</v>
      </c>
      <c r="S245" s="26" t="s">
        <v>176</v>
      </c>
      <c r="T245" s="26" t="s">
        <v>176</v>
      </c>
      <c r="U245" s="26" t="s">
        <v>176</v>
      </c>
      <c r="V245" s="26" t="s">
        <v>176</v>
      </c>
      <c r="W245" s="26" t="s">
        <v>176</v>
      </c>
      <c r="X245" s="44"/>
      <c r="Y245" s="44"/>
    </row>
    <row r="246" spans="1:25" x14ac:dyDescent="0.25">
      <c r="A246" s="39">
        <f>COUNT(D248:D249)</f>
        <v>0</v>
      </c>
      <c r="B246" s="49" t="s">
        <v>45</v>
      </c>
      <c r="C246" s="49" t="s">
        <v>45</v>
      </c>
      <c r="V246" s="3"/>
      <c r="W246" s="3"/>
      <c r="X246" s="44"/>
      <c r="Y246" s="44"/>
    </row>
    <row r="247" spans="1:25" x14ac:dyDescent="0.25">
      <c r="A247" s="1" t="s">
        <v>150</v>
      </c>
      <c r="B247" s="1" t="s">
        <v>134</v>
      </c>
      <c r="C247" s="1" t="s">
        <v>141</v>
      </c>
      <c r="D247" s="2" t="s">
        <v>0</v>
      </c>
      <c r="E247" s="2" t="s">
        <v>10</v>
      </c>
      <c r="F247" s="2" t="s">
        <v>2</v>
      </c>
      <c r="G247" s="2" t="s">
        <v>9</v>
      </c>
      <c r="H247" s="2" t="s">
        <v>1</v>
      </c>
      <c r="I247" s="2" t="s">
        <v>3</v>
      </c>
      <c r="J247" s="2" t="s">
        <v>162</v>
      </c>
      <c r="K247" s="2" t="s">
        <v>163</v>
      </c>
      <c r="L247" s="2" t="s">
        <v>653</v>
      </c>
      <c r="M247" s="2" t="s">
        <v>640</v>
      </c>
      <c r="N247" s="2" t="s">
        <v>11</v>
      </c>
      <c r="O247" s="2" t="s">
        <v>4</v>
      </c>
      <c r="P247" s="2" t="s">
        <v>12</v>
      </c>
      <c r="Q247" s="2" t="s">
        <v>857</v>
      </c>
      <c r="R247" s="2" t="s">
        <v>164</v>
      </c>
      <c r="S247" s="2" t="s">
        <v>165</v>
      </c>
      <c r="T247" s="2" t="s">
        <v>44</v>
      </c>
      <c r="U247" s="2" t="s">
        <v>639</v>
      </c>
      <c r="V247" s="8" t="s">
        <v>5</v>
      </c>
      <c r="W247" s="15" t="s">
        <v>64</v>
      </c>
      <c r="X247" s="44"/>
      <c r="Y247" s="44"/>
    </row>
    <row r="248" spans="1:25" x14ac:dyDescent="0.25">
      <c r="N248" s="9">
        <f>1000*D248*E248/100</f>
        <v>0</v>
      </c>
      <c r="V248" s="3"/>
      <c r="W248" s="3"/>
      <c r="X248" s="44"/>
      <c r="Y248" s="44"/>
    </row>
    <row r="249" spans="1:25" x14ac:dyDescent="0.25">
      <c r="N249" s="9">
        <f t="shared" ref="N249" si="105">1000*D249*E249/100</f>
        <v>0</v>
      </c>
      <c r="V249" s="3"/>
      <c r="W249" s="3"/>
      <c r="X249" s="44"/>
      <c r="Y249" s="44"/>
    </row>
    <row r="250" spans="1:25" x14ac:dyDescent="0.25">
      <c r="X250" s="44"/>
      <c r="Y250" s="44"/>
    </row>
    <row r="251" spans="1:25" x14ac:dyDescent="0.25">
      <c r="A251" s="26" t="s">
        <v>178</v>
      </c>
      <c r="B251" s="26" t="s">
        <v>178</v>
      </c>
      <c r="C251" s="26" t="s">
        <v>178</v>
      </c>
      <c r="D251" s="26" t="s">
        <v>178</v>
      </c>
      <c r="E251" s="26" t="s">
        <v>178</v>
      </c>
      <c r="F251" s="26" t="s">
        <v>178</v>
      </c>
      <c r="G251" s="26" t="s">
        <v>178</v>
      </c>
      <c r="H251" s="26" t="s">
        <v>178</v>
      </c>
      <c r="I251" s="26" t="s">
        <v>178</v>
      </c>
      <c r="J251" s="26" t="s">
        <v>178</v>
      </c>
      <c r="K251" s="26" t="s">
        <v>178</v>
      </c>
      <c r="L251" s="26" t="s">
        <v>178</v>
      </c>
      <c r="M251" s="26" t="s">
        <v>178</v>
      </c>
      <c r="N251" s="26" t="s">
        <v>178</v>
      </c>
      <c r="O251" s="26" t="s">
        <v>178</v>
      </c>
      <c r="P251" s="26" t="s">
        <v>178</v>
      </c>
      <c r="Q251" s="26" t="s">
        <v>178</v>
      </c>
      <c r="R251" s="26" t="s">
        <v>178</v>
      </c>
      <c r="S251" s="26" t="s">
        <v>178</v>
      </c>
      <c r="T251" s="26" t="s">
        <v>178</v>
      </c>
      <c r="U251" s="26" t="s">
        <v>178</v>
      </c>
      <c r="V251" s="26" t="s">
        <v>178</v>
      </c>
      <c r="W251" s="26" t="s">
        <v>178</v>
      </c>
      <c r="X251" s="44"/>
      <c r="Y251" s="44"/>
    </row>
    <row r="252" spans="1:25" x14ac:dyDescent="0.25">
      <c r="A252" s="39">
        <f>COUNT(D254:D254)</f>
        <v>0</v>
      </c>
      <c r="B252" s="49" t="s">
        <v>45</v>
      </c>
      <c r="C252" s="49" t="s">
        <v>45</v>
      </c>
      <c r="V252" s="3"/>
      <c r="W252" s="3"/>
      <c r="X252" s="44"/>
      <c r="Y252" s="44"/>
    </row>
    <row r="253" spans="1:25" x14ac:dyDescent="0.25">
      <c r="A253" s="1" t="s">
        <v>150</v>
      </c>
      <c r="B253" s="1" t="s">
        <v>134</v>
      </c>
      <c r="C253" s="1" t="s">
        <v>141</v>
      </c>
      <c r="D253" s="2" t="s">
        <v>0</v>
      </c>
      <c r="E253" s="2" t="s">
        <v>10</v>
      </c>
      <c r="F253" s="2" t="s">
        <v>2</v>
      </c>
      <c r="G253" s="2" t="s">
        <v>9</v>
      </c>
      <c r="H253" s="2" t="s">
        <v>1</v>
      </c>
      <c r="I253" s="2" t="s">
        <v>3</v>
      </c>
      <c r="J253" s="2" t="s">
        <v>162</v>
      </c>
      <c r="K253" s="2" t="s">
        <v>163</v>
      </c>
      <c r="L253" s="2" t="s">
        <v>653</v>
      </c>
      <c r="M253" s="2" t="s">
        <v>640</v>
      </c>
      <c r="N253" s="2" t="s">
        <v>11</v>
      </c>
      <c r="O253" s="2" t="s">
        <v>4</v>
      </c>
      <c r="P253" s="2" t="s">
        <v>12</v>
      </c>
      <c r="Q253" s="2" t="s">
        <v>857</v>
      </c>
      <c r="R253" s="2" t="s">
        <v>164</v>
      </c>
      <c r="S253" s="2" t="s">
        <v>165</v>
      </c>
      <c r="T253" s="2" t="s">
        <v>44</v>
      </c>
      <c r="U253" s="2" t="s">
        <v>639</v>
      </c>
      <c r="V253" s="8" t="s">
        <v>5</v>
      </c>
      <c r="W253" s="15" t="s">
        <v>64</v>
      </c>
      <c r="X253" s="44"/>
      <c r="Y253" s="44"/>
    </row>
    <row r="254" spans="1:25" x14ac:dyDescent="0.25">
      <c r="N254" s="9">
        <f>1000*D254*E254/100</f>
        <v>0</v>
      </c>
      <c r="V254" s="3"/>
      <c r="W254" s="3"/>
      <c r="X254" s="44"/>
      <c r="Y254" s="44"/>
    </row>
    <row r="255" spans="1:25" x14ac:dyDescent="0.25">
      <c r="N255" s="9">
        <f t="shared" ref="N255" si="106">1000*D255*E255/100</f>
        <v>0</v>
      </c>
      <c r="V255" s="3"/>
      <c r="W255" s="3"/>
      <c r="X255" s="44"/>
      <c r="Y255" s="44"/>
    </row>
    <row r="256" spans="1:25" x14ac:dyDescent="0.25">
      <c r="X256" s="44"/>
      <c r="Y256" s="44"/>
    </row>
    <row r="257" spans="1:25" x14ac:dyDescent="0.25">
      <c r="A257" s="26" t="s">
        <v>182</v>
      </c>
      <c r="B257" s="26" t="s">
        <v>182</v>
      </c>
      <c r="C257" s="26" t="s">
        <v>182</v>
      </c>
      <c r="D257" s="26" t="s">
        <v>182</v>
      </c>
      <c r="E257" s="26" t="s">
        <v>182</v>
      </c>
      <c r="F257" s="26" t="s">
        <v>182</v>
      </c>
      <c r="G257" s="26" t="s">
        <v>182</v>
      </c>
      <c r="H257" s="26" t="s">
        <v>182</v>
      </c>
      <c r="I257" s="26" t="s">
        <v>182</v>
      </c>
      <c r="J257" s="26" t="s">
        <v>182</v>
      </c>
      <c r="K257" s="26" t="s">
        <v>182</v>
      </c>
      <c r="L257" s="26" t="s">
        <v>182</v>
      </c>
      <c r="M257" s="26" t="s">
        <v>182</v>
      </c>
      <c r="N257" s="26" t="s">
        <v>182</v>
      </c>
      <c r="O257" s="26" t="s">
        <v>182</v>
      </c>
      <c r="P257" s="26" t="s">
        <v>182</v>
      </c>
      <c r="Q257" s="26" t="s">
        <v>182</v>
      </c>
      <c r="R257" s="26" t="s">
        <v>182</v>
      </c>
      <c r="S257" s="26" t="s">
        <v>182</v>
      </c>
      <c r="T257" s="26" t="s">
        <v>182</v>
      </c>
      <c r="U257" s="26" t="s">
        <v>182</v>
      </c>
      <c r="V257" s="26" t="s">
        <v>182</v>
      </c>
      <c r="W257" s="26" t="s">
        <v>182</v>
      </c>
      <c r="X257" s="44"/>
      <c r="Y257" s="44"/>
    </row>
    <row r="258" spans="1:25" x14ac:dyDescent="0.25">
      <c r="A258" s="39">
        <f>COUNT(D260:D261)</f>
        <v>0</v>
      </c>
      <c r="B258" s="49" t="s">
        <v>45</v>
      </c>
      <c r="C258" s="49" t="s">
        <v>45</v>
      </c>
      <c r="V258" s="3"/>
      <c r="W258" s="3"/>
      <c r="X258" s="44"/>
      <c r="Y258" s="44"/>
    </row>
    <row r="259" spans="1:25" x14ac:dyDescent="0.25">
      <c r="A259" s="1" t="s">
        <v>150</v>
      </c>
      <c r="B259" s="1" t="s">
        <v>134</v>
      </c>
      <c r="C259" s="1" t="s">
        <v>141</v>
      </c>
      <c r="D259" s="2" t="s">
        <v>0</v>
      </c>
      <c r="E259" s="2" t="s">
        <v>10</v>
      </c>
      <c r="F259" s="2" t="s">
        <v>2</v>
      </c>
      <c r="G259" s="2" t="s">
        <v>9</v>
      </c>
      <c r="H259" s="2" t="s">
        <v>1</v>
      </c>
      <c r="I259" s="2" t="s">
        <v>3</v>
      </c>
      <c r="J259" s="2" t="s">
        <v>162</v>
      </c>
      <c r="K259" s="2" t="s">
        <v>163</v>
      </c>
      <c r="L259" s="2" t="s">
        <v>653</v>
      </c>
      <c r="M259" s="2" t="s">
        <v>640</v>
      </c>
      <c r="N259" s="2" t="s">
        <v>11</v>
      </c>
      <c r="O259" s="2" t="s">
        <v>4</v>
      </c>
      <c r="P259" s="2" t="s">
        <v>12</v>
      </c>
      <c r="Q259" s="2" t="s">
        <v>857</v>
      </c>
      <c r="R259" s="2" t="s">
        <v>164</v>
      </c>
      <c r="S259" s="2" t="s">
        <v>165</v>
      </c>
      <c r="T259" s="2" t="s">
        <v>44</v>
      </c>
      <c r="U259" s="2" t="s">
        <v>639</v>
      </c>
      <c r="V259" s="8" t="s">
        <v>5</v>
      </c>
      <c r="W259" s="15" t="s">
        <v>64</v>
      </c>
      <c r="X259" s="44"/>
      <c r="Y259" s="44"/>
    </row>
    <row r="260" spans="1:25" x14ac:dyDescent="0.25">
      <c r="N260" s="9">
        <f>1000*D260*E260/100</f>
        <v>0</v>
      </c>
      <c r="V260" s="3"/>
      <c r="W260" s="3"/>
      <c r="X260" s="44"/>
      <c r="Y260" s="44"/>
    </row>
    <row r="261" spans="1:25" x14ac:dyDescent="0.25">
      <c r="N261" s="9">
        <f t="shared" ref="N261" si="107">1000*D261*E261/100</f>
        <v>0</v>
      </c>
      <c r="V261" s="3"/>
      <c r="W261" s="3"/>
      <c r="X261" s="44"/>
      <c r="Y261" s="44"/>
    </row>
    <row r="262" spans="1:25" x14ac:dyDescent="0.25">
      <c r="X262" s="44"/>
      <c r="Y262" s="44"/>
    </row>
    <row r="263" spans="1:25" x14ac:dyDescent="0.25">
      <c r="A263" s="26" t="s">
        <v>183</v>
      </c>
      <c r="B263" s="26" t="s">
        <v>183</v>
      </c>
      <c r="C263" s="26" t="s">
        <v>183</v>
      </c>
      <c r="D263" s="26" t="s">
        <v>183</v>
      </c>
      <c r="E263" s="26" t="s">
        <v>183</v>
      </c>
      <c r="F263" s="26" t="s">
        <v>183</v>
      </c>
      <c r="G263" s="26" t="s">
        <v>183</v>
      </c>
      <c r="H263" s="26" t="s">
        <v>183</v>
      </c>
      <c r="I263" s="26" t="s">
        <v>183</v>
      </c>
      <c r="J263" s="26" t="s">
        <v>183</v>
      </c>
      <c r="K263" s="26" t="s">
        <v>183</v>
      </c>
      <c r="L263" s="26" t="s">
        <v>183</v>
      </c>
      <c r="M263" s="26" t="s">
        <v>183</v>
      </c>
      <c r="N263" s="26" t="s">
        <v>183</v>
      </c>
      <c r="O263" s="26" t="s">
        <v>183</v>
      </c>
      <c r="P263" s="26" t="s">
        <v>183</v>
      </c>
      <c r="Q263" s="26" t="s">
        <v>183</v>
      </c>
      <c r="R263" s="26" t="s">
        <v>183</v>
      </c>
      <c r="S263" s="26" t="s">
        <v>183</v>
      </c>
      <c r="T263" s="26" t="s">
        <v>183</v>
      </c>
      <c r="U263" s="26" t="s">
        <v>183</v>
      </c>
      <c r="V263" s="26" t="s">
        <v>183</v>
      </c>
      <c r="W263" s="26" t="s">
        <v>183</v>
      </c>
      <c r="X263" s="44"/>
      <c r="Y263" s="44"/>
    </row>
    <row r="264" spans="1:25" x14ac:dyDescent="0.25">
      <c r="A264" s="39">
        <f>COUNT(D266:D267)</f>
        <v>0</v>
      </c>
      <c r="B264" s="49" t="s">
        <v>45</v>
      </c>
      <c r="C264" s="49" t="s">
        <v>45</v>
      </c>
      <c r="V264" s="3"/>
      <c r="W264" s="3"/>
      <c r="X264" s="44"/>
      <c r="Y264" s="44"/>
    </row>
    <row r="265" spans="1:25" x14ac:dyDescent="0.25">
      <c r="A265" s="1" t="s">
        <v>150</v>
      </c>
      <c r="B265" s="1" t="s">
        <v>134</v>
      </c>
      <c r="C265" s="1" t="s">
        <v>141</v>
      </c>
      <c r="D265" s="2" t="s">
        <v>0</v>
      </c>
      <c r="E265" s="2" t="s">
        <v>10</v>
      </c>
      <c r="F265" s="2" t="s">
        <v>2</v>
      </c>
      <c r="G265" s="2" t="s">
        <v>9</v>
      </c>
      <c r="H265" s="2" t="s">
        <v>1</v>
      </c>
      <c r="I265" s="2" t="s">
        <v>3</v>
      </c>
      <c r="J265" s="2" t="s">
        <v>162</v>
      </c>
      <c r="K265" s="2" t="s">
        <v>163</v>
      </c>
      <c r="L265" s="2" t="s">
        <v>653</v>
      </c>
      <c r="M265" s="2" t="s">
        <v>640</v>
      </c>
      <c r="N265" s="2" t="s">
        <v>11</v>
      </c>
      <c r="O265" s="2" t="s">
        <v>4</v>
      </c>
      <c r="P265" s="2" t="s">
        <v>12</v>
      </c>
      <c r="Q265" s="2" t="s">
        <v>857</v>
      </c>
      <c r="R265" s="2" t="s">
        <v>164</v>
      </c>
      <c r="S265" s="2" t="s">
        <v>165</v>
      </c>
      <c r="T265" s="2" t="s">
        <v>44</v>
      </c>
      <c r="U265" s="2" t="s">
        <v>639</v>
      </c>
      <c r="V265" s="8" t="s">
        <v>5</v>
      </c>
      <c r="W265" s="15" t="s">
        <v>64</v>
      </c>
      <c r="X265" s="44"/>
      <c r="Y265" s="44"/>
    </row>
    <row r="266" spans="1:25" x14ac:dyDescent="0.25">
      <c r="N266" s="9">
        <f>1000*D266*E266/100</f>
        <v>0</v>
      </c>
      <c r="V266" s="3"/>
      <c r="W266" s="3"/>
      <c r="X266" s="44"/>
      <c r="Y266" s="44"/>
    </row>
    <row r="267" spans="1:25" x14ac:dyDescent="0.25">
      <c r="N267" s="9">
        <f t="shared" ref="N267" si="108">1000*D267*E267/100</f>
        <v>0</v>
      </c>
      <c r="V267" s="3"/>
      <c r="W267" s="3"/>
      <c r="X267" s="44"/>
      <c r="Y267" s="44"/>
    </row>
    <row r="268" spans="1:25" x14ac:dyDescent="0.25">
      <c r="X268" s="44"/>
      <c r="Y268" s="44"/>
    </row>
    <row r="269" spans="1:25" x14ac:dyDescent="0.25">
      <c r="A269" s="26" t="s">
        <v>184</v>
      </c>
      <c r="B269" s="26" t="s">
        <v>184</v>
      </c>
      <c r="C269" s="26" t="s">
        <v>184</v>
      </c>
      <c r="D269" s="26" t="s">
        <v>184</v>
      </c>
      <c r="E269" s="26" t="s">
        <v>184</v>
      </c>
      <c r="F269" s="26" t="s">
        <v>184</v>
      </c>
      <c r="G269" s="26" t="s">
        <v>184</v>
      </c>
      <c r="H269" s="26" t="s">
        <v>184</v>
      </c>
      <c r="I269" s="26" t="s">
        <v>184</v>
      </c>
      <c r="J269" s="26" t="s">
        <v>184</v>
      </c>
      <c r="K269" s="26" t="s">
        <v>184</v>
      </c>
      <c r="L269" s="26" t="s">
        <v>184</v>
      </c>
      <c r="M269" s="26" t="s">
        <v>184</v>
      </c>
      <c r="N269" s="26" t="s">
        <v>184</v>
      </c>
      <c r="O269" s="26" t="s">
        <v>184</v>
      </c>
      <c r="P269" s="26" t="s">
        <v>184</v>
      </c>
      <c r="Q269" s="26" t="s">
        <v>184</v>
      </c>
      <c r="R269" s="26" t="s">
        <v>184</v>
      </c>
      <c r="S269" s="26" t="s">
        <v>184</v>
      </c>
      <c r="T269" s="26" t="s">
        <v>184</v>
      </c>
      <c r="U269" s="26" t="s">
        <v>184</v>
      </c>
      <c r="V269" s="26" t="s">
        <v>184</v>
      </c>
      <c r="W269" s="26" t="s">
        <v>184</v>
      </c>
      <c r="X269" s="44"/>
      <c r="Y269" s="44"/>
    </row>
    <row r="270" spans="1:25" x14ac:dyDescent="0.25">
      <c r="A270" s="39">
        <f>COUNT(D272:D272)</f>
        <v>1</v>
      </c>
      <c r="B270" s="49" t="s">
        <v>45</v>
      </c>
      <c r="C270" s="49" t="s">
        <v>45</v>
      </c>
      <c r="D270" s="19">
        <f>SUM(D272:D272)</f>
        <v>21.75</v>
      </c>
      <c r="E270" s="14">
        <f>100*(N270/1000)/D270</f>
        <v>0.75193563218390791</v>
      </c>
      <c r="F270" s="14">
        <f>100*(O270/1000)/D270</f>
        <v>0.12948735632183908</v>
      </c>
      <c r="G270" s="14">
        <f>100*(P270/1000)/D270</f>
        <v>5.2321839080459774E-3</v>
      </c>
      <c r="N270" s="19">
        <f>SUM(N272:N272)</f>
        <v>163.54599999999996</v>
      </c>
      <c r="O270" s="19">
        <f>SUM(O272:O272)</f>
        <v>28.163499999999999</v>
      </c>
      <c r="P270" s="19">
        <f>SUM(P272:P272)</f>
        <v>1.1380000000000001</v>
      </c>
      <c r="X270" s="44"/>
      <c r="Y270" s="44"/>
    </row>
    <row r="271" spans="1:25" x14ac:dyDescent="0.25">
      <c r="A271" s="1" t="s">
        <v>150</v>
      </c>
      <c r="B271" s="1" t="s">
        <v>134</v>
      </c>
      <c r="C271" s="1" t="s">
        <v>141</v>
      </c>
      <c r="D271" s="2" t="s">
        <v>0</v>
      </c>
      <c r="E271" s="2" t="s">
        <v>10</v>
      </c>
      <c r="F271" s="2" t="s">
        <v>2</v>
      </c>
      <c r="G271" s="2" t="s">
        <v>9</v>
      </c>
      <c r="H271" s="2" t="s">
        <v>1</v>
      </c>
      <c r="I271" s="2" t="s">
        <v>3</v>
      </c>
      <c r="J271" s="2" t="s">
        <v>162</v>
      </c>
      <c r="K271" s="2" t="s">
        <v>163</v>
      </c>
      <c r="L271" s="2" t="s">
        <v>653</v>
      </c>
      <c r="M271" s="2" t="s">
        <v>640</v>
      </c>
      <c r="N271" s="2" t="s">
        <v>11</v>
      </c>
      <c r="O271" s="2" t="s">
        <v>4</v>
      </c>
      <c r="P271" s="2" t="s">
        <v>12</v>
      </c>
      <c r="Q271" s="2" t="s">
        <v>857</v>
      </c>
      <c r="R271" s="2" t="s">
        <v>164</v>
      </c>
      <c r="S271" s="2" t="s">
        <v>165</v>
      </c>
      <c r="T271" s="2" t="s">
        <v>44</v>
      </c>
      <c r="U271" s="2" t="s">
        <v>639</v>
      </c>
      <c r="V271" s="8" t="s">
        <v>5</v>
      </c>
      <c r="W271" s="15" t="s">
        <v>64</v>
      </c>
      <c r="X271" s="44"/>
      <c r="Y271" s="44"/>
    </row>
    <row r="272" spans="1:25" x14ac:dyDescent="0.25">
      <c r="B272" s="3" t="s">
        <v>185</v>
      </c>
      <c r="C272" s="3" t="s">
        <v>144</v>
      </c>
      <c r="D272" s="3">
        <f>0.73+0.96+0.17+2.23+10.245+7.415</f>
        <v>21.75</v>
      </c>
      <c r="E272" s="5">
        <f>(2.78*0.73+2.6*0.96+1.94*0.17+0.63*2.23+0.58*10.245+0.56*7.415)/$D272</f>
        <v>0.75193563218390791</v>
      </c>
      <c r="F272" s="5">
        <f>(1.16*0.73+1.22*0.96+0.8*0.17+0.08*2.23+0.04*10.245+0.01*7.415)/$D272</f>
        <v>0.12948735632183908</v>
      </c>
      <c r="G272" s="5">
        <f>(0.07*0.73+0.06*0.96+0.03*0.17+0*2.23+0*10.245+0*7.415)/$D272</f>
        <v>5.2321839080459774E-3</v>
      </c>
      <c r="N272" s="9">
        <f>1000*D272*E272/100</f>
        <v>163.54599999999996</v>
      </c>
      <c r="O272" s="9">
        <f>1000*D272*F272/100</f>
        <v>28.163499999999999</v>
      </c>
      <c r="P272" s="9">
        <f>1000*D272*G272/100</f>
        <v>1.1380000000000001</v>
      </c>
      <c r="T272" s="3" t="s">
        <v>45</v>
      </c>
      <c r="U272" s="3" t="s">
        <v>696</v>
      </c>
      <c r="V272" s="4" t="s">
        <v>186</v>
      </c>
      <c r="X272" s="44" t="s">
        <v>623</v>
      </c>
      <c r="Y272" s="44" t="s">
        <v>629</v>
      </c>
    </row>
    <row r="273" spans="1:25" x14ac:dyDescent="0.25">
      <c r="X273" s="44"/>
      <c r="Y273" s="44"/>
    </row>
    <row r="274" spans="1:25" x14ac:dyDescent="0.25">
      <c r="A274" s="26" t="s">
        <v>187</v>
      </c>
      <c r="B274" s="26" t="s">
        <v>187</v>
      </c>
      <c r="C274" s="26" t="s">
        <v>187</v>
      </c>
      <c r="D274" s="26" t="s">
        <v>187</v>
      </c>
      <c r="E274" s="26" t="s">
        <v>187</v>
      </c>
      <c r="F274" s="26" t="s">
        <v>187</v>
      </c>
      <c r="G274" s="26" t="s">
        <v>187</v>
      </c>
      <c r="H274" s="26" t="s">
        <v>187</v>
      </c>
      <c r="I274" s="26" t="s">
        <v>187</v>
      </c>
      <c r="J274" s="26" t="s">
        <v>187</v>
      </c>
      <c r="K274" s="26" t="s">
        <v>187</v>
      </c>
      <c r="L274" s="26" t="s">
        <v>187</v>
      </c>
      <c r="M274" s="26" t="s">
        <v>187</v>
      </c>
      <c r="N274" s="26" t="s">
        <v>187</v>
      </c>
      <c r="O274" s="26" t="s">
        <v>187</v>
      </c>
      <c r="P274" s="26" t="s">
        <v>187</v>
      </c>
      <c r="Q274" s="26" t="s">
        <v>187</v>
      </c>
      <c r="R274" s="26" t="s">
        <v>187</v>
      </c>
      <c r="S274" s="26" t="s">
        <v>187</v>
      </c>
      <c r="T274" s="26" t="s">
        <v>187</v>
      </c>
      <c r="U274" s="26" t="s">
        <v>187</v>
      </c>
      <c r="V274" s="26" t="s">
        <v>187</v>
      </c>
      <c r="W274" s="26" t="s">
        <v>187</v>
      </c>
      <c r="X274" s="44"/>
      <c r="Y274" s="44"/>
    </row>
    <row r="275" spans="1:25" x14ac:dyDescent="0.25">
      <c r="A275" s="39">
        <f>COUNT(D277:D278)</f>
        <v>0</v>
      </c>
      <c r="B275" s="49" t="s">
        <v>45</v>
      </c>
      <c r="C275" s="49" t="s">
        <v>45</v>
      </c>
      <c r="V275" s="3"/>
      <c r="W275" s="3"/>
      <c r="X275" s="44"/>
      <c r="Y275" s="44"/>
    </row>
    <row r="276" spans="1:25" x14ac:dyDescent="0.25">
      <c r="A276" s="1" t="s">
        <v>150</v>
      </c>
      <c r="B276" s="1" t="s">
        <v>134</v>
      </c>
      <c r="C276" s="1" t="s">
        <v>141</v>
      </c>
      <c r="D276" s="2" t="s">
        <v>0</v>
      </c>
      <c r="E276" s="2" t="s">
        <v>10</v>
      </c>
      <c r="F276" s="2" t="s">
        <v>2</v>
      </c>
      <c r="G276" s="2" t="s">
        <v>9</v>
      </c>
      <c r="H276" s="2" t="s">
        <v>1</v>
      </c>
      <c r="I276" s="2" t="s">
        <v>3</v>
      </c>
      <c r="J276" s="2" t="s">
        <v>162</v>
      </c>
      <c r="K276" s="2" t="s">
        <v>163</v>
      </c>
      <c r="L276" s="2" t="s">
        <v>653</v>
      </c>
      <c r="M276" s="2" t="s">
        <v>640</v>
      </c>
      <c r="N276" s="2" t="s">
        <v>11</v>
      </c>
      <c r="O276" s="2" t="s">
        <v>4</v>
      </c>
      <c r="P276" s="2" t="s">
        <v>12</v>
      </c>
      <c r="Q276" s="2" t="s">
        <v>857</v>
      </c>
      <c r="R276" s="2" t="s">
        <v>164</v>
      </c>
      <c r="S276" s="2" t="s">
        <v>165</v>
      </c>
      <c r="T276" s="2" t="s">
        <v>44</v>
      </c>
      <c r="U276" s="2" t="s">
        <v>639</v>
      </c>
      <c r="V276" s="8" t="s">
        <v>5</v>
      </c>
      <c r="W276" s="15" t="s">
        <v>64</v>
      </c>
      <c r="X276" s="44"/>
      <c r="Y276" s="44"/>
    </row>
    <row r="277" spans="1:25" x14ac:dyDescent="0.25">
      <c r="N277" s="9">
        <f>1000*D277*E277/100</f>
        <v>0</v>
      </c>
      <c r="V277" s="3"/>
      <c r="W277" s="3"/>
      <c r="X277" s="44"/>
      <c r="Y277" s="44"/>
    </row>
    <row r="278" spans="1:25" x14ac:dyDescent="0.25">
      <c r="N278" s="9">
        <f t="shared" ref="N278" si="109">1000*D278*E278/100</f>
        <v>0</v>
      </c>
      <c r="V278" s="3"/>
      <c r="W278" s="3"/>
      <c r="X278" s="44"/>
      <c r="Y278" s="44"/>
    </row>
    <row r="279" spans="1:25" x14ac:dyDescent="0.25">
      <c r="X279" s="44"/>
      <c r="Y279" s="44"/>
    </row>
    <row r="280" spans="1:25" x14ac:dyDescent="0.25">
      <c r="A280" s="26" t="s">
        <v>427</v>
      </c>
      <c r="B280" s="26" t="s">
        <v>427</v>
      </c>
      <c r="C280" s="26" t="s">
        <v>427</v>
      </c>
      <c r="D280" s="26" t="s">
        <v>427</v>
      </c>
      <c r="E280" s="26" t="s">
        <v>427</v>
      </c>
      <c r="F280" s="26" t="s">
        <v>427</v>
      </c>
      <c r="G280" s="26" t="s">
        <v>427</v>
      </c>
      <c r="H280" s="26" t="s">
        <v>427</v>
      </c>
      <c r="I280" s="26" t="s">
        <v>427</v>
      </c>
      <c r="J280" s="26" t="s">
        <v>427</v>
      </c>
      <c r="K280" s="26" t="s">
        <v>427</v>
      </c>
      <c r="L280" s="26" t="s">
        <v>427</v>
      </c>
      <c r="M280" s="26" t="s">
        <v>427</v>
      </c>
      <c r="N280" s="26" t="s">
        <v>427</v>
      </c>
      <c r="O280" s="26" t="s">
        <v>427</v>
      </c>
      <c r="P280" s="26" t="s">
        <v>427</v>
      </c>
      <c r="Q280" s="26" t="s">
        <v>427</v>
      </c>
      <c r="R280" s="26" t="s">
        <v>427</v>
      </c>
      <c r="S280" s="26" t="s">
        <v>427</v>
      </c>
      <c r="T280" s="26" t="s">
        <v>427</v>
      </c>
      <c r="U280" s="26" t="s">
        <v>427</v>
      </c>
      <c r="V280" s="26" t="s">
        <v>427</v>
      </c>
      <c r="W280" s="26" t="s">
        <v>427</v>
      </c>
      <c r="X280" s="44"/>
      <c r="Y280" s="44"/>
    </row>
    <row r="281" spans="1:25" x14ac:dyDescent="0.25">
      <c r="A281" s="39">
        <f>COUNT(D283:D284)</f>
        <v>0</v>
      </c>
      <c r="B281" s="49" t="s">
        <v>45</v>
      </c>
      <c r="C281" s="49" t="s">
        <v>45</v>
      </c>
      <c r="V281" s="3"/>
      <c r="W281" s="3"/>
      <c r="X281" s="44"/>
      <c r="Y281" s="44"/>
    </row>
    <row r="282" spans="1:25" x14ac:dyDescent="0.25">
      <c r="A282" s="1" t="s">
        <v>150</v>
      </c>
      <c r="B282" s="1" t="s">
        <v>134</v>
      </c>
      <c r="C282" s="1" t="s">
        <v>141</v>
      </c>
      <c r="D282" s="2" t="s">
        <v>0</v>
      </c>
      <c r="E282" s="2" t="s">
        <v>10</v>
      </c>
      <c r="F282" s="2" t="s">
        <v>2</v>
      </c>
      <c r="G282" s="2" t="s">
        <v>9</v>
      </c>
      <c r="H282" s="2" t="s">
        <v>1</v>
      </c>
      <c r="I282" s="2" t="s">
        <v>3</v>
      </c>
      <c r="J282" s="2" t="s">
        <v>162</v>
      </c>
      <c r="K282" s="2" t="s">
        <v>163</v>
      </c>
      <c r="L282" s="2" t="s">
        <v>653</v>
      </c>
      <c r="M282" s="2" t="s">
        <v>640</v>
      </c>
      <c r="N282" s="2" t="s">
        <v>11</v>
      </c>
      <c r="O282" s="2" t="s">
        <v>4</v>
      </c>
      <c r="P282" s="2" t="s">
        <v>12</v>
      </c>
      <c r="Q282" s="2" t="s">
        <v>857</v>
      </c>
      <c r="R282" s="2" t="s">
        <v>164</v>
      </c>
      <c r="S282" s="2" t="s">
        <v>165</v>
      </c>
      <c r="T282" s="2" t="s">
        <v>44</v>
      </c>
      <c r="U282" s="2" t="s">
        <v>639</v>
      </c>
      <c r="V282" s="8" t="s">
        <v>5</v>
      </c>
      <c r="W282" s="15" t="s">
        <v>64</v>
      </c>
      <c r="X282" s="44"/>
      <c r="Y282" s="44"/>
    </row>
    <row r="283" spans="1:25" x14ac:dyDescent="0.25">
      <c r="N283" s="9">
        <f>1000*D283*E283/100</f>
        <v>0</v>
      </c>
      <c r="V283" s="3"/>
      <c r="W283" s="3"/>
      <c r="X283" s="44"/>
      <c r="Y283" s="44"/>
    </row>
    <row r="284" spans="1:25" x14ac:dyDescent="0.25">
      <c r="N284" s="9">
        <f t="shared" ref="N284" si="110">1000*D284*E284/100</f>
        <v>0</v>
      </c>
      <c r="V284" s="3"/>
      <c r="W284" s="3"/>
      <c r="X284" s="44"/>
      <c r="Y284" s="44"/>
    </row>
    <row r="285" spans="1:25" x14ac:dyDescent="0.25">
      <c r="X285" s="44"/>
      <c r="Y285" s="44"/>
    </row>
    <row r="286" spans="1:25" x14ac:dyDescent="0.25">
      <c r="A286" s="26" t="s">
        <v>191</v>
      </c>
      <c r="B286" s="26" t="s">
        <v>191</v>
      </c>
      <c r="C286" s="26" t="s">
        <v>191</v>
      </c>
      <c r="D286" s="26" t="s">
        <v>191</v>
      </c>
      <c r="E286" s="26" t="s">
        <v>191</v>
      </c>
      <c r="F286" s="26" t="s">
        <v>191</v>
      </c>
      <c r="G286" s="26" t="s">
        <v>191</v>
      </c>
      <c r="H286" s="26" t="s">
        <v>191</v>
      </c>
      <c r="I286" s="26" t="s">
        <v>191</v>
      </c>
      <c r="J286" s="26" t="s">
        <v>191</v>
      </c>
      <c r="K286" s="26" t="s">
        <v>191</v>
      </c>
      <c r="L286" s="26" t="s">
        <v>191</v>
      </c>
      <c r="M286" s="26" t="s">
        <v>191</v>
      </c>
      <c r="N286" s="26" t="s">
        <v>191</v>
      </c>
      <c r="O286" s="26" t="s">
        <v>191</v>
      </c>
      <c r="P286" s="26" t="s">
        <v>191</v>
      </c>
      <c r="Q286" s="26" t="s">
        <v>191</v>
      </c>
      <c r="R286" s="26" t="s">
        <v>191</v>
      </c>
      <c r="S286" s="26" t="s">
        <v>191</v>
      </c>
      <c r="T286" s="26" t="s">
        <v>191</v>
      </c>
      <c r="U286" s="26" t="s">
        <v>191</v>
      </c>
      <c r="V286" s="26" t="s">
        <v>191</v>
      </c>
      <c r="W286" s="26" t="s">
        <v>191</v>
      </c>
      <c r="X286" s="44"/>
      <c r="Y286" s="44"/>
    </row>
    <row r="287" spans="1:25" x14ac:dyDescent="0.25">
      <c r="A287" s="39">
        <f>COUNT(D289:D289)</f>
        <v>0</v>
      </c>
      <c r="B287" s="49" t="s">
        <v>45</v>
      </c>
      <c r="C287" s="49" t="s">
        <v>45</v>
      </c>
      <c r="V287" s="3"/>
      <c r="W287" s="3"/>
      <c r="X287" s="44"/>
      <c r="Y287" s="44"/>
    </row>
    <row r="288" spans="1:25" x14ac:dyDescent="0.25">
      <c r="A288" s="1" t="s">
        <v>150</v>
      </c>
      <c r="B288" s="1" t="s">
        <v>134</v>
      </c>
      <c r="C288" s="1" t="s">
        <v>141</v>
      </c>
      <c r="D288" s="2" t="s">
        <v>0</v>
      </c>
      <c r="E288" s="2" t="s">
        <v>10</v>
      </c>
      <c r="F288" s="2" t="s">
        <v>2</v>
      </c>
      <c r="G288" s="2" t="s">
        <v>9</v>
      </c>
      <c r="H288" s="2" t="s">
        <v>1</v>
      </c>
      <c r="I288" s="2" t="s">
        <v>3</v>
      </c>
      <c r="J288" s="2" t="s">
        <v>162</v>
      </c>
      <c r="K288" s="2" t="s">
        <v>163</v>
      </c>
      <c r="L288" s="2" t="s">
        <v>653</v>
      </c>
      <c r="M288" s="2" t="s">
        <v>640</v>
      </c>
      <c r="N288" s="2" t="s">
        <v>11</v>
      </c>
      <c r="O288" s="2" t="s">
        <v>4</v>
      </c>
      <c r="P288" s="2" t="s">
        <v>12</v>
      </c>
      <c r="Q288" s="2" t="s">
        <v>857</v>
      </c>
      <c r="R288" s="2" t="s">
        <v>164</v>
      </c>
      <c r="S288" s="2" t="s">
        <v>165</v>
      </c>
      <c r="T288" s="2" t="s">
        <v>44</v>
      </c>
      <c r="U288" s="2" t="s">
        <v>639</v>
      </c>
      <c r="V288" s="8" t="s">
        <v>5</v>
      </c>
      <c r="W288" s="15" t="s">
        <v>64</v>
      </c>
      <c r="X288" s="44"/>
      <c r="Y288" s="44"/>
    </row>
    <row r="289" spans="1:27" x14ac:dyDescent="0.25">
      <c r="N289" s="9">
        <f>1000*D289*E289/100</f>
        <v>0</v>
      </c>
      <c r="V289" s="3"/>
      <c r="W289" s="3"/>
      <c r="X289" s="44"/>
      <c r="Y289" s="44"/>
    </row>
    <row r="290" spans="1:27" x14ac:dyDescent="0.25">
      <c r="V290" s="3"/>
      <c r="W290" s="3"/>
      <c r="X290" s="44"/>
      <c r="Y290" s="44"/>
    </row>
    <row r="291" spans="1:27" x14ac:dyDescent="0.25">
      <c r="A291" s="26" t="s">
        <v>193</v>
      </c>
      <c r="B291" s="26" t="s">
        <v>193</v>
      </c>
      <c r="C291" s="26" t="s">
        <v>193</v>
      </c>
      <c r="D291" s="26" t="s">
        <v>193</v>
      </c>
      <c r="E291" s="26" t="s">
        <v>193</v>
      </c>
      <c r="F291" s="26" t="s">
        <v>193</v>
      </c>
      <c r="G291" s="26" t="s">
        <v>193</v>
      </c>
      <c r="H291" s="26" t="s">
        <v>193</v>
      </c>
      <c r="I291" s="26" t="s">
        <v>193</v>
      </c>
      <c r="J291" s="26" t="s">
        <v>193</v>
      </c>
      <c r="K291" s="26" t="s">
        <v>193</v>
      </c>
      <c r="L291" s="26" t="s">
        <v>193</v>
      </c>
      <c r="M291" s="26" t="s">
        <v>193</v>
      </c>
      <c r="N291" s="26" t="s">
        <v>193</v>
      </c>
      <c r="O291" s="26" t="s">
        <v>193</v>
      </c>
      <c r="P291" s="26" t="s">
        <v>193</v>
      </c>
      <c r="Q291" s="26" t="s">
        <v>193</v>
      </c>
      <c r="R291" s="26" t="s">
        <v>193</v>
      </c>
      <c r="S291" s="26" t="s">
        <v>193</v>
      </c>
      <c r="T291" s="26" t="s">
        <v>193</v>
      </c>
      <c r="U291" s="26" t="s">
        <v>193</v>
      </c>
      <c r="V291" s="26" t="s">
        <v>193</v>
      </c>
      <c r="W291" s="26" t="s">
        <v>193</v>
      </c>
      <c r="X291" s="44"/>
      <c r="Y291" s="44"/>
    </row>
    <row r="292" spans="1:27" x14ac:dyDescent="0.25">
      <c r="A292" s="39">
        <f>COUNT(D294:D303)</f>
        <v>9</v>
      </c>
      <c r="B292" s="49" t="s">
        <v>45</v>
      </c>
      <c r="C292" s="49" t="s">
        <v>45</v>
      </c>
      <c r="D292" s="19">
        <f>SUM(D294:D303)</f>
        <v>2315.4904597701152</v>
      </c>
      <c r="E292" s="14">
        <f>100*(N292/1000)/D292</f>
        <v>0.1571031248150615</v>
      </c>
      <c r="F292" s="14">
        <f>100*(O292/1000)/D292</f>
        <v>0.11020344120758821</v>
      </c>
      <c r="N292" s="19">
        <f>SUM(N294:N303)</f>
        <v>3637.7078670934857</v>
      </c>
      <c r="O292" s="19">
        <f t="shared" ref="O292:S292" si="111">SUM(O294:O303)</f>
        <v>2551.7501675000726</v>
      </c>
      <c r="P292" s="19">
        <f t="shared" si="111"/>
        <v>0</v>
      </c>
      <c r="Q292" s="19">
        <f t="shared" si="111"/>
        <v>3381.7494160000001</v>
      </c>
      <c r="R292" s="19">
        <f t="shared" si="111"/>
        <v>2621.0526829999999</v>
      </c>
      <c r="S292" s="19">
        <f t="shared" si="111"/>
        <v>512.70794200000012</v>
      </c>
      <c r="X292" s="44"/>
      <c r="Y292" s="44"/>
    </row>
    <row r="293" spans="1:27" x14ac:dyDescent="0.25">
      <c r="A293" s="1" t="s">
        <v>150</v>
      </c>
      <c r="B293" s="1" t="s">
        <v>134</v>
      </c>
      <c r="C293" s="1" t="s">
        <v>141</v>
      </c>
      <c r="D293" s="2" t="s">
        <v>0</v>
      </c>
      <c r="E293" s="2" t="s">
        <v>10</v>
      </c>
      <c r="F293" s="2" t="s">
        <v>2</v>
      </c>
      <c r="G293" s="2" t="s">
        <v>9</v>
      </c>
      <c r="H293" s="2" t="s">
        <v>1</v>
      </c>
      <c r="I293" s="2" t="s">
        <v>3</v>
      </c>
      <c r="J293" s="2" t="s">
        <v>162</v>
      </c>
      <c r="K293" s="2" t="s">
        <v>163</v>
      </c>
      <c r="L293" s="2" t="s">
        <v>653</v>
      </c>
      <c r="M293" s="2" t="s">
        <v>640</v>
      </c>
      <c r="N293" s="2" t="s">
        <v>11</v>
      </c>
      <c r="O293" s="2" t="s">
        <v>4</v>
      </c>
      <c r="P293" s="2" t="s">
        <v>12</v>
      </c>
      <c r="Q293" s="2" t="s">
        <v>857</v>
      </c>
      <c r="R293" s="2" t="s">
        <v>164</v>
      </c>
      <c r="S293" s="2" t="s">
        <v>165</v>
      </c>
      <c r="T293" s="2" t="s">
        <v>44</v>
      </c>
      <c r="U293" s="2" t="s">
        <v>639</v>
      </c>
      <c r="V293" s="8" t="s">
        <v>5</v>
      </c>
      <c r="W293" s="15" t="s">
        <v>64</v>
      </c>
      <c r="X293" s="44"/>
      <c r="Y293" s="44"/>
    </row>
    <row r="294" spans="1:27" x14ac:dyDescent="0.25">
      <c r="B294" s="3" t="s">
        <v>194</v>
      </c>
      <c r="C294" s="3" t="s">
        <v>144</v>
      </c>
      <c r="D294" s="3">
        <f>1.72+0.69+1.71+1.455+4.448</f>
        <v>10.023</v>
      </c>
      <c r="E294" s="5">
        <f>(1.07*1.72+1.08*0.69+1.36*1.71+1.4*1.455+1.6*4.448)/D294</f>
        <v>1.4032724733113839</v>
      </c>
      <c r="N294" s="9">
        <f t="shared" ref="N294:N303" si="112">1000*D294*E294/100</f>
        <v>140.65</v>
      </c>
      <c r="T294" s="3" t="s">
        <v>45</v>
      </c>
      <c r="U294" s="3" t="s">
        <v>1007</v>
      </c>
      <c r="V294" s="4" t="s">
        <v>318</v>
      </c>
      <c r="X294" s="44" t="s">
        <v>623</v>
      </c>
      <c r="Y294" s="44" t="s">
        <v>986</v>
      </c>
    </row>
    <row r="295" spans="1:27" x14ac:dyDescent="0.25">
      <c r="B295" s="3" t="s">
        <v>195</v>
      </c>
      <c r="C295" s="3" t="s">
        <v>144</v>
      </c>
      <c r="D295" s="11">
        <f>1.84+0.48+9.71</f>
        <v>12.030000000000001</v>
      </c>
      <c r="E295" s="5">
        <f>(0.58*1.84+0.59*0.48+0.56*9.71)/D295</f>
        <v>0.56425602660016627</v>
      </c>
      <c r="N295" s="9">
        <f t="shared" si="112"/>
        <v>67.88000000000001</v>
      </c>
      <c r="T295" s="3" t="s">
        <v>45</v>
      </c>
      <c r="U295" s="3" t="s">
        <v>649</v>
      </c>
      <c r="V295" s="4" t="s">
        <v>318</v>
      </c>
      <c r="X295" s="44" t="s">
        <v>623</v>
      </c>
      <c r="Y295" s="44" t="s">
        <v>986</v>
      </c>
    </row>
    <row r="296" spans="1:27" x14ac:dyDescent="0.25">
      <c r="B296" s="3" t="s">
        <v>319</v>
      </c>
      <c r="C296" s="3" t="s">
        <v>144</v>
      </c>
      <c r="D296" s="3">
        <v>36.436999999999998</v>
      </c>
      <c r="E296" s="3">
        <v>0.55000000000000004</v>
      </c>
      <c r="N296" s="9">
        <f t="shared" si="112"/>
        <v>200.40350000000001</v>
      </c>
      <c r="T296" s="3" t="s">
        <v>45</v>
      </c>
      <c r="U296" s="3" t="s">
        <v>649</v>
      </c>
      <c r="V296" s="4" t="s">
        <v>318</v>
      </c>
      <c r="X296" s="44" t="s">
        <v>623</v>
      </c>
      <c r="Y296" s="44" t="s">
        <v>986</v>
      </c>
    </row>
    <row r="297" spans="1:27" x14ac:dyDescent="0.25">
      <c r="B297" s="3" t="s">
        <v>364</v>
      </c>
      <c r="C297" s="3" t="s">
        <v>142</v>
      </c>
      <c r="D297" s="3">
        <v>81.800000000000011</v>
      </c>
      <c r="E297" s="3">
        <v>0.14000000000000001</v>
      </c>
      <c r="F297" s="3">
        <v>0.11475550122249388</v>
      </c>
      <c r="L297" s="5">
        <v>3.8045965770171146</v>
      </c>
      <c r="N297" s="9">
        <f>1000*D297*E297/100</f>
        <v>114.52000000000004</v>
      </c>
      <c r="O297" s="9">
        <f>1000*D297*F297/100</f>
        <v>93.870000000000019</v>
      </c>
      <c r="Q297" s="9">
        <f>D297*J297</f>
        <v>0</v>
      </c>
      <c r="R297" s="9">
        <f>D297*K297</f>
        <v>0</v>
      </c>
      <c r="S297" s="10">
        <f>D297*H297</f>
        <v>0</v>
      </c>
      <c r="T297" s="3" t="s">
        <v>45</v>
      </c>
      <c r="U297" s="3" t="s">
        <v>649</v>
      </c>
      <c r="V297" s="4" t="s">
        <v>365</v>
      </c>
      <c r="X297" s="44" t="s">
        <v>623</v>
      </c>
      <c r="Y297" s="44" t="s">
        <v>580</v>
      </c>
      <c r="Z297" s="3" t="s">
        <v>607</v>
      </c>
      <c r="AA297" s="3" t="s">
        <v>631</v>
      </c>
    </row>
    <row r="298" spans="1:27" x14ac:dyDescent="0.25">
      <c r="B298" s="3" t="s">
        <v>363</v>
      </c>
      <c r="C298" s="3" t="s">
        <v>142</v>
      </c>
      <c r="D298" s="3">
        <v>45.300000000000004</v>
      </c>
      <c r="E298" s="3">
        <v>0.14567328918322292</v>
      </c>
      <c r="F298" s="3">
        <v>0.10567328918322294</v>
      </c>
      <c r="L298" s="5">
        <v>3.4959161147902869</v>
      </c>
      <c r="N298" s="9">
        <f>1000*D298*E298/100</f>
        <v>65.989999999999995</v>
      </c>
      <c r="O298" s="9">
        <f>1000*D298*F298/100</f>
        <v>47.87</v>
      </c>
      <c r="Q298" s="9">
        <f>D298*J298</f>
        <v>0</v>
      </c>
      <c r="R298" s="9">
        <f>D298*K298</f>
        <v>0</v>
      </c>
      <c r="S298" s="10">
        <f>D298*H298</f>
        <v>0</v>
      </c>
      <c r="T298" s="3" t="s">
        <v>45</v>
      </c>
      <c r="U298" s="3" t="s">
        <v>649</v>
      </c>
      <c r="V298" s="4" t="s">
        <v>365</v>
      </c>
      <c r="X298" s="44" t="s">
        <v>623</v>
      </c>
      <c r="Y298" s="44" t="s">
        <v>580</v>
      </c>
      <c r="Z298" s="3" t="s">
        <v>607</v>
      </c>
      <c r="AA298" s="3" t="s">
        <v>631</v>
      </c>
    </row>
    <row r="299" spans="1:27" x14ac:dyDescent="0.25">
      <c r="B299" s="3" t="s">
        <v>831</v>
      </c>
      <c r="C299" s="3" t="s">
        <v>145</v>
      </c>
      <c r="D299" s="3">
        <v>11.3</v>
      </c>
      <c r="E299" s="3">
        <v>0.14000000000000001</v>
      </c>
      <c r="F299" s="3">
        <v>0.13</v>
      </c>
      <c r="L299" s="3">
        <v>3.78</v>
      </c>
      <c r="N299" s="9">
        <f>1000*D299*E299/100</f>
        <v>15.820000000000002</v>
      </c>
      <c r="T299" s="3" t="s">
        <v>45</v>
      </c>
      <c r="U299" s="3" t="s">
        <v>649</v>
      </c>
      <c r="V299" s="4" t="s">
        <v>365</v>
      </c>
      <c r="X299" s="44" t="s">
        <v>623</v>
      </c>
      <c r="Y299" s="44" t="s">
        <v>580</v>
      </c>
      <c r="Z299" s="3" t="s">
        <v>607</v>
      </c>
      <c r="AA299" s="3" t="s">
        <v>631</v>
      </c>
    </row>
    <row r="300" spans="1:27" x14ac:dyDescent="0.25">
      <c r="B300" s="3" t="s">
        <v>369</v>
      </c>
      <c r="C300" s="3" t="s">
        <v>145</v>
      </c>
      <c r="N300" s="9">
        <f t="shared" si="112"/>
        <v>0</v>
      </c>
      <c r="O300" s="9"/>
      <c r="Q300" s="9"/>
      <c r="R300" s="9"/>
      <c r="S300" s="10"/>
      <c r="T300" s="3" t="s">
        <v>45</v>
      </c>
      <c r="V300" s="4" t="s">
        <v>370</v>
      </c>
      <c r="X300" s="44" t="s">
        <v>623</v>
      </c>
      <c r="Y300" s="44" t="s">
        <v>986</v>
      </c>
    </row>
    <row r="301" spans="1:27" x14ac:dyDescent="0.25">
      <c r="B301" s="3" t="s">
        <v>832</v>
      </c>
      <c r="C301" s="3" t="s">
        <v>142</v>
      </c>
      <c r="D301" s="9">
        <v>1909.0804597701151</v>
      </c>
      <c r="E301" s="5">
        <v>0.13526613579212068</v>
      </c>
      <c r="F301" s="5">
        <v>0.10880972338642078</v>
      </c>
      <c r="H301" s="5">
        <v>0.23207028689264858</v>
      </c>
      <c r="J301" s="5">
        <v>1.5648167916190017</v>
      </c>
      <c r="K301" s="5">
        <v>1.2100807816545247</v>
      </c>
      <c r="L301" s="5">
        <v>3.1406339996387498</v>
      </c>
      <c r="N301" s="9">
        <f t="shared" ref="N301" si="113">1000*D301*E301/100</f>
        <v>2582.3393670934856</v>
      </c>
      <c r="O301" s="9">
        <f>1000*D301*F301/100</f>
        <v>2077.2651675000725</v>
      </c>
      <c r="Q301" s="9">
        <f>D301*J301</f>
        <v>2987.3611599999999</v>
      </c>
      <c r="R301" s="9">
        <f>D301*K301</f>
        <v>2310.1415750000001</v>
      </c>
      <c r="S301" s="10">
        <f>D301*H301</f>
        <v>443.04085000000009</v>
      </c>
      <c r="T301" s="3" t="s">
        <v>45</v>
      </c>
      <c r="U301" s="3" t="s">
        <v>649</v>
      </c>
      <c r="V301" s="4" t="s">
        <v>833</v>
      </c>
      <c r="X301" s="44" t="s">
        <v>623</v>
      </c>
      <c r="Y301" s="44" t="s">
        <v>580</v>
      </c>
      <c r="Z301" s="3" t="s">
        <v>607</v>
      </c>
      <c r="AA301" s="3" t="s">
        <v>631</v>
      </c>
    </row>
    <row r="302" spans="1:27" x14ac:dyDescent="0.25">
      <c r="B302" s="3" t="s">
        <v>837</v>
      </c>
      <c r="C302" s="3" t="s">
        <v>145</v>
      </c>
      <c r="D302" s="3">
        <f>40.17+41.61+9.54</f>
        <v>91.32</v>
      </c>
      <c r="E302" s="5">
        <f>(0.22*40.17+0.21*41.61+0.15*9.54)/D302</f>
        <v>0.20813074901445466</v>
      </c>
      <c r="F302" s="5">
        <f>(0.18*40.17+0.17*41.61+0.13*9.54)/D302</f>
        <v>0.17022010512483576</v>
      </c>
      <c r="H302" s="5">
        <f>(0.4*40.17+0.37*41.61+0.32*9.54)/D302</f>
        <v>0.37797306176084106</v>
      </c>
      <c r="J302" s="5">
        <f>(1.86*40.17+1.74*41.61+1.92*9.54)/D302</f>
        <v>1.8115900131406044</v>
      </c>
      <c r="K302" s="5">
        <f>(1.42*40.17+1.23*41.61+1.28*9.54)/D302</f>
        <v>1.318800919842313</v>
      </c>
      <c r="L302" s="5">
        <f>(3.81*40.17+3.47*41.61+3.68*9.54)/D302</f>
        <v>3.6414980289093304</v>
      </c>
      <c r="N302" s="9">
        <f t="shared" ref="N302" si="114">1000*D302*E302/100</f>
        <v>190.065</v>
      </c>
      <c r="O302" s="9">
        <f>1000*D302*F302/100</f>
        <v>155.44500000000002</v>
      </c>
      <c r="Q302" s="9">
        <f>D302*J302</f>
        <v>165.43439999999998</v>
      </c>
      <c r="R302" s="9">
        <f>D302*K302</f>
        <v>120.4329</v>
      </c>
      <c r="S302" s="10">
        <f>D302*H302</f>
        <v>34.516500000000001</v>
      </c>
      <c r="T302" s="3" t="s">
        <v>45</v>
      </c>
      <c r="U302" s="3" t="s">
        <v>845</v>
      </c>
      <c r="V302" s="4" t="s">
        <v>838</v>
      </c>
      <c r="X302" s="44" t="s">
        <v>623</v>
      </c>
      <c r="Y302" s="44" t="s">
        <v>580</v>
      </c>
      <c r="Z302" s="3" t="s">
        <v>607</v>
      </c>
      <c r="AA302" s="3" t="s">
        <v>631</v>
      </c>
    </row>
    <row r="303" spans="1:27" x14ac:dyDescent="0.25">
      <c r="B303" s="3" t="s">
        <v>305</v>
      </c>
      <c r="C303" s="3" t="s">
        <v>142</v>
      </c>
      <c r="D303" s="3">
        <f>38.7+79.5</f>
        <v>118.2</v>
      </c>
      <c r="E303" s="3">
        <v>0.22</v>
      </c>
      <c r="F303" s="3">
        <v>0.15</v>
      </c>
      <c r="H303" s="5">
        <v>0.2973823350253807</v>
      </c>
      <c r="J303" s="5">
        <v>1.93700385786802</v>
      </c>
      <c r="K303" s="5">
        <v>1.6114907614213199</v>
      </c>
      <c r="L303" s="5">
        <f>(3.79*38.7+4.13*79.5)/$D303</f>
        <v>4.018680203045685</v>
      </c>
      <c r="N303" s="9">
        <f t="shared" si="112"/>
        <v>260.04000000000002</v>
      </c>
      <c r="O303" s="9">
        <f>1000*D303*F303/100</f>
        <v>177.3</v>
      </c>
      <c r="Q303" s="9">
        <f>D303*J303</f>
        <v>228.95385599999997</v>
      </c>
      <c r="R303" s="9">
        <f>D303*K303</f>
        <v>190.47820800000002</v>
      </c>
      <c r="S303" s="10">
        <f>D303*H303</f>
        <v>35.150591999999996</v>
      </c>
      <c r="T303" s="3" t="s">
        <v>45</v>
      </c>
      <c r="U303" s="3" t="s">
        <v>649</v>
      </c>
      <c r="V303" s="4" t="s">
        <v>306</v>
      </c>
      <c r="X303" s="44" t="s">
        <v>623</v>
      </c>
      <c r="Y303" s="44" t="s">
        <v>580</v>
      </c>
      <c r="Z303" s="3" t="s">
        <v>607</v>
      </c>
      <c r="AA303" s="3" t="s">
        <v>631</v>
      </c>
    </row>
    <row r="304" spans="1:27" x14ac:dyDescent="0.25">
      <c r="X304" s="44"/>
      <c r="Y304" s="44"/>
    </row>
    <row r="305" spans="1:26" x14ac:dyDescent="0.25">
      <c r="A305" s="26" t="s">
        <v>196</v>
      </c>
      <c r="B305" s="26" t="s">
        <v>196</v>
      </c>
      <c r="C305" s="26" t="s">
        <v>196</v>
      </c>
      <c r="D305" s="26" t="s">
        <v>196</v>
      </c>
      <c r="E305" s="26" t="s">
        <v>196</v>
      </c>
      <c r="F305" s="26" t="s">
        <v>196</v>
      </c>
      <c r="G305" s="26" t="s">
        <v>196</v>
      </c>
      <c r="H305" s="26" t="s">
        <v>196</v>
      </c>
      <c r="I305" s="26" t="s">
        <v>196</v>
      </c>
      <c r="J305" s="26" t="s">
        <v>196</v>
      </c>
      <c r="K305" s="26" t="s">
        <v>196</v>
      </c>
      <c r="L305" s="26" t="s">
        <v>196</v>
      </c>
      <c r="M305" s="26" t="s">
        <v>196</v>
      </c>
      <c r="N305" s="26" t="s">
        <v>196</v>
      </c>
      <c r="O305" s="26" t="s">
        <v>196</v>
      </c>
      <c r="P305" s="26" t="s">
        <v>196</v>
      </c>
      <c r="Q305" s="26" t="s">
        <v>196</v>
      </c>
      <c r="R305" s="26" t="s">
        <v>196</v>
      </c>
      <c r="S305" s="26" t="s">
        <v>196</v>
      </c>
      <c r="T305" s="26" t="s">
        <v>196</v>
      </c>
      <c r="U305" s="26" t="s">
        <v>196</v>
      </c>
      <c r="V305" s="26" t="s">
        <v>196</v>
      </c>
      <c r="W305" s="26" t="s">
        <v>196</v>
      </c>
      <c r="X305" s="44"/>
      <c r="Y305" s="44"/>
    </row>
    <row r="306" spans="1:26" x14ac:dyDescent="0.25">
      <c r="A306" s="39">
        <f>COUNT(D308:D309)</f>
        <v>0</v>
      </c>
      <c r="B306" s="49" t="s">
        <v>45</v>
      </c>
      <c r="C306" s="49" t="s">
        <v>45</v>
      </c>
      <c r="V306" s="3"/>
      <c r="W306" s="3"/>
      <c r="X306" s="44"/>
      <c r="Y306" s="44"/>
    </row>
    <row r="307" spans="1:26" x14ac:dyDescent="0.25">
      <c r="A307" s="1" t="s">
        <v>150</v>
      </c>
      <c r="B307" s="1" t="s">
        <v>134</v>
      </c>
      <c r="C307" s="1" t="s">
        <v>141</v>
      </c>
      <c r="D307" s="2" t="s">
        <v>0</v>
      </c>
      <c r="E307" s="2" t="s">
        <v>10</v>
      </c>
      <c r="F307" s="2" t="s">
        <v>2</v>
      </c>
      <c r="G307" s="2" t="s">
        <v>9</v>
      </c>
      <c r="H307" s="2" t="s">
        <v>1</v>
      </c>
      <c r="I307" s="2" t="s">
        <v>3</v>
      </c>
      <c r="J307" s="2" t="s">
        <v>162</v>
      </c>
      <c r="K307" s="2" t="s">
        <v>163</v>
      </c>
      <c r="L307" s="2" t="s">
        <v>653</v>
      </c>
      <c r="M307" s="2" t="s">
        <v>640</v>
      </c>
      <c r="N307" s="2" t="s">
        <v>11</v>
      </c>
      <c r="O307" s="2" t="s">
        <v>4</v>
      </c>
      <c r="P307" s="2" t="s">
        <v>12</v>
      </c>
      <c r="Q307" s="2" t="s">
        <v>857</v>
      </c>
      <c r="R307" s="2" t="s">
        <v>164</v>
      </c>
      <c r="S307" s="2" t="s">
        <v>165</v>
      </c>
      <c r="T307" s="2" t="s">
        <v>44</v>
      </c>
      <c r="U307" s="2" t="s">
        <v>639</v>
      </c>
      <c r="V307" s="8" t="s">
        <v>5</v>
      </c>
      <c r="W307" s="15" t="s">
        <v>64</v>
      </c>
      <c r="X307" s="44"/>
      <c r="Y307" s="44"/>
    </row>
    <row r="308" spans="1:26" x14ac:dyDescent="0.25">
      <c r="N308" s="9">
        <f>1000*D308*E308/100</f>
        <v>0</v>
      </c>
      <c r="V308" s="3"/>
      <c r="W308" s="3"/>
      <c r="X308" s="44"/>
      <c r="Y308" s="44"/>
    </row>
    <row r="309" spans="1:26" x14ac:dyDescent="0.25">
      <c r="V309" s="3"/>
      <c r="W309" s="3"/>
      <c r="X309" s="44"/>
      <c r="Y309" s="44"/>
    </row>
    <row r="310" spans="1:26" x14ac:dyDescent="0.25">
      <c r="X310" s="44"/>
      <c r="Y310" s="44"/>
    </row>
    <row r="311" spans="1:26" x14ac:dyDescent="0.25">
      <c r="A311" s="26" t="s">
        <v>202</v>
      </c>
      <c r="B311" s="26" t="s">
        <v>203</v>
      </c>
      <c r="C311" s="26" t="s">
        <v>202</v>
      </c>
      <c r="D311" s="26" t="s">
        <v>203</v>
      </c>
      <c r="E311" s="26" t="s">
        <v>202</v>
      </c>
      <c r="F311" s="26" t="s">
        <v>203</v>
      </c>
      <c r="G311" s="26" t="s">
        <v>202</v>
      </c>
      <c r="H311" s="26" t="s">
        <v>203</v>
      </c>
      <c r="I311" s="26" t="s">
        <v>202</v>
      </c>
      <c r="J311" s="26" t="s">
        <v>203</v>
      </c>
      <c r="K311" s="26" t="s">
        <v>202</v>
      </c>
      <c r="L311" s="26" t="s">
        <v>203</v>
      </c>
      <c r="M311" s="26" t="s">
        <v>203</v>
      </c>
      <c r="N311" s="26" t="s">
        <v>202</v>
      </c>
      <c r="O311" s="26" t="s">
        <v>203</v>
      </c>
      <c r="P311" s="26" t="s">
        <v>202</v>
      </c>
      <c r="Q311" s="26" t="s">
        <v>203</v>
      </c>
      <c r="R311" s="26" t="s">
        <v>202</v>
      </c>
      <c r="S311" s="26" t="s">
        <v>203</v>
      </c>
      <c r="T311" s="26" t="s">
        <v>202</v>
      </c>
      <c r="U311" s="26" t="s">
        <v>203</v>
      </c>
      <c r="V311" s="26" t="s">
        <v>202</v>
      </c>
      <c r="W311" s="26" t="s">
        <v>203</v>
      </c>
      <c r="X311" s="44"/>
      <c r="Y311" s="44"/>
    </row>
    <row r="312" spans="1:26" x14ac:dyDescent="0.25">
      <c r="A312" s="39">
        <f>COUNT(D314:D315)</f>
        <v>0</v>
      </c>
      <c r="B312" s="49" t="s">
        <v>45</v>
      </c>
      <c r="C312" s="49" t="s">
        <v>45</v>
      </c>
      <c r="V312" s="3"/>
      <c r="W312" s="3"/>
      <c r="X312" s="44"/>
      <c r="Y312" s="44"/>
    </row>
    <row r="313" spans="1:26" x14ac:dyDescent="0.25">
      <c r="A313" s="1" t="s">
        <v>150</v>
      </c>
      <c r="B313" s="1" t="s">
        <v>134</v>
      </c>
      <c r="C313" s="1" t="s">
        <v>141</v>
      </c>
      <c r="D313" s="2" t="s">
        <v>0</v>
      </c>
      <c r="E313" s="2" t="s">
        <v>10</v>
      </c>
      <c r="F313" s="2" t="s">
        <v>2</v>
      </c>
      <c r="G313" s="2" t="s">
        <v>9</v>
      </c>
      <c r="H313" s="2" t="s">
        <v>1</v>
      </c>
      <c r="I313" s="2" t="s">
        <v>3</v>
      </c>
      <c r="J313" s="2" t="s">
        <v>162</v>
      </c>
      <c r="K313" s="2" t="s">
        <v>163</v>
      </c>
      <c r="L313" s="2" t="s">
        <v>653</v>
      </c>
      <c r="M313" s="2" t="s">
        <v>640</v>
      </c>
      <c r="N313" s="2" t="s">
        <v>11</v>
      </c>
      <c r="O313" s="2" t="s">
        <v>4</v>
      </c>
      <c r="P313" s="2" t="s">
        <v>12</v>
      </c>
      <c r="Q313" s="2" t="s">
        <v>857</v>
      </c>
      <c r="R313" s="2" t="s">
        <v>164</v>
      </c>
      <c r="S313" s="2" t="s">
        <v>165</v>
      </c>
      <c r="T313" s="2" t="s">
        <v>44</v>
      </c>
      <c r="U313" s="2" t="s">
        <v>639</v>
      </c>
      <c r="V313" s="8" t="s">
        <v>5</v>
      </c>
      <c r="W313" s="15" t="s">
        <v>64</v>
      </c>
      <c r="X313" s="44"/>
      <c r="Y313" s="44"/>
    </row>
    <row r="314" spans="1:26" x14ac:dyDescent="0.25">
      <c r="N314" s="9">
        <f>1000*D314*E314/100</f>
        <v>0</v>
      </c>
      <c r="V314" s="3"/>
      <c r="W314" s="3"/>
      <c r="X314" s="44"/>
      <c r="Y314" s="44"/>
    </row>
    <row r="315" spans="1:26" x14ac:dyDescent="0.25">
      <c r="N315" s="9">
        <f>1000*D315*E315/100</f>
        <v>0</v>
      </c>
      <c r="V315" s="3"/>
      <c r="W315" s="3"/>
      <c r="X315" s="44"/>
      <c r="Y315" s="44"/>
    </row>
    <row r="316" spans="1:26" x14ac:dyDescent="0.25">
      <c r="X316" s="44"/>
      <c r="Y316" s="44"/>
    </row>
    <row r="317" spans="1:26" x14ac:dyDescent="0.25">
      <c r="A317" s="26" t="s">
        <v>155</v>
      </c>
      <c r="B317" s="26" t="s">
        <v>155</v>
      </c>
      <c r="C317" s="26" t="s">
        <v>155</v>
      </c>
      <c r="D317" s="26" t="s">
        <v>155</v>
      </c>
      <c r="E317" s="26" t="s">
        <v>155</v>
      </c>
      <c r="F317" s="26" t="s">
        <v>155</v>
      </c>
      <c r="G317" s="26" t="s">
        <v>155</v>
      </c>
      <c r="H317" s="26" t="s">
        <v>155</v>
      </c>
      <c r="I317" s="26" t="s">
        <v>155</v>
      </c>
      <c r="J317" s="26" t="s">
        <v>155</v>
      </c>
      <c r="K317" s="26" t="s">
        <v>155</v>
      </c>
      <c r="L317" s="26" t="s">
        <v>155</v>
      </c>
      <c r="M317" s="26" t="s">
        <v>155</v>
      </c>
      <c r="N317" s="26" t="s">
        <v>155</v>
      </c>
      <c r="O317" s="26" t="s">
        <v>155</v>
      </c>
      <c r="P317" s="26" t="s">
        <v>155</v>
      </c>
      <c r="Q317" s="26" t="s">
        <v>155</v>
      </c>
      <c r="R317" s="26" t="s">
        <v>155</v>
      </c>
      <c r="S317" s="26" t="s">
        <v>155</v>
      </c>
      <c r="T317" s="26" t="s">
        <v>155</v>
      </c>
      <c r="U317" s="26" t="s">
        <v>155</v>
      </c>
      <c r="V317" s="26" t="s">
        <v>155</v>
      </c>
      <c r="W317" s="26" t="s">
        <v>155</v>
      </c>
      <c r="X317" s="44"/>
      <c r="Y317" s="44"/>
    </row>
    <row r="318" spans="1:26" x14ac:dyDescent="0.25">
      <c r="A318" s="39">
        <f>COUNT(D320:D323)</f>
        <v>4</v>
      </c>
      <c r="B318" s="49" t="s">
        <v>45</v>
      </c>
      <c r="C318" s="49" t="s">
        <v>45</v>
      </c>
      <c r="D318" s="19">
        <f>SUM(D320:D323)</f>
        <v>315.88030147058822</v>
      </c>
      <c r="E318" s="14">
        <f>100*(N318/1000)/D318</f>
        <v>0.51204535679844865</v>
      </c>
      <c r="F318" s="14">
        <f>100*(O318/1000)/D318</f>
        <v>0.1517978554073415</v>
      </c>
      <c r="N318" s="19">
        <f>SUM(N320:N323)</f>
        <v>1617.4504167210887</v>
      </c>
      <c r="O318" s="19">
        <f>SUM(O320:O323)</f>
        <v>479.49952328659793</v>
      </c>
      <c r="P318" s="19">
        <f>SUM(P320:P323)</f>
        <v>23.480838840153968</v>
      </c>
      <c r="V318" s="3"/>
      <c r="W318" s="3"/>
      <c r="X318" s="44"/>
      <c r="Y318" s="44"/>
    </row>
    <row r="319" spans="1:26" x14ac:dyDescent="0.25">
      <c r="A319" s="1" t="s">
        <v>150</v>
      </c>
      <c r="B319" s="1" t="s">
        <v>134</v>
      </c>
      <c r="C319" s="1" t="s">
        <v>141</v>
      </c>
      <c r="D319" s="2" t="s">
        <v>0</v>
      </c>
      <c r="E319" s="2" t="s">
        <v>10</v>
      </c>
      <c r="F319" s="2" t="s">
        <v>2</v>
      </c>
      <c r="G319" s="2" t="s">
        <v>9</v>
      </c>
      <c r="H319" s="2" t="s">
        <v>1</v>
      </c>
      <c r="I319" s="2" t="s">
        <v>3</v>
      </c>
      <c r="J319" s="2" t="s">
        <v>162</v>
      </c>
      <c r="K319" s="2" t="s">
        <v>163</v>
      </c>
      <c r="L319" s="2" t="s">
        <v>653</v>
      </c>
      <c r="M319" s="2" t="s">
        <v>640</v>
      </c>
      <c r="N319" s="2" t="s">
        <v>11</v>
      </c>
      <c r="O319" s="2" t="s">
        <v>4</v>
      </c>
      <c r="P319" s="2" t="s">
        <v>12</v>
      </c>
      <c r="Q319" s="2" t="s">
        <v>857</v>
      </c>
      <c r="R319" s="2" t="s">
        <v>164</v>
      </c>
      <c r="S319" s="2" t="s">
        <v>165</v>
      </c>
      <c r="T319" s="2" t="s">
        <v>44</v>
      </c>
      <c r="U319" s="2" t="s">
        <v>639</v>
      </c>
      <c r="V319" s="8" t="s">
        <v>5</v>
      </c>
      <c r="W319" s="15" t="s">
        <v>64</v>
      </c>
      <c r="X319" s="44"/>
      <c r="Y319" s="44"/>
    </row>
    <row r="320" spans="1:26" x14ac:dyDescent="0.25">
      <c r="B320" s="3" t="s">
        <v>256</v>
      </c>
      <c r="C320" s="3" t="s">
        <v>142</v>
      </c>
      <c r="D320" s="10">
        <f>16.7+142.6+87.5-5.960875</f>
        <v>240.839125</v>
      </c>
      <c r="E320" s="5">
        <f>(0.57*16.7+0.52*142.6+0.79*87.5)/(16.7+142.6+87.5)</f>
        <v>0.61910858995137763</v>
      </c>
      <c r="F320" s="5">
        <f>(0.14*16.7+0.13*142.6+0.23*87.5)/(16.7+142.6+87.5)</f>
        <v>0.16613047001620748</v>
      </c>
      <c r="G320" s="11">
        <f>(0.016*16.7+0.015*142.6+0*87.5)/(16.7+142.6+87.5)</f>
        <v>9.7495948136142613E-3</v>
      </c>
      <c r="J320" s="11">
        <f>(0.101*16.7+0.085*142.6+0*87.5)/(16.7+142.6+87.5)</f>
        <v>5.5946920583468403E-2</v>
      </c>
      <c r="N320" s="9">
        <f>1000*D320*E320/100</f>
        <v>1491.0557108387356</v>
      </c>
      <c r="O320" s="9">
        <f>1000*D320*F320/100</f>
        <v>400.10717034542148</v>
      </c>
      <c r="P320" s="9">
        <f>1000*D320*G320/100</f>
        <v>23.480838840153968</v>
      </c>
      <c r="Q320" s="9">
        <f>D320*J320</f>
        <v>13.474207399767019</v>
      </c>
      <c r="T320" s="3" t="s">
        <v>45</v>
      </c>
      <c r="U320" s="3" t="s">
        <v>649</v>
      </c>
      <c r="V320" s="4" t="s">
        <v>257</v>
      </c>
      <c r="X320" s="44" t="s">
        <v>623</v>
      </c>
      <c r="Y320" s="44" t="s">
        <v>580</v>
      </c>
      <c r="Z320" s="3" t="s">
        <v>632</v>
      </c>
    </row>
    <row r="321" spans="1:27" x14ac:dyDescent="0.25">
      <c r="B321" s="3" t="s">
        <v>1148</v>
      </c>
      <c r="C321" s="3" t="s">
        <v>145</v>
      </c>
      <c r="D321" s="3">
        <v>61</v>
      </c>
      <c r="E321" s="3">
        <v>0.12</v>
      </c>
      <c r="F321" s="3">
        <v>0.12</v>
      </c>
      <c r="J321" s="3">
        <v>0.13</v>
      </c>
      <c r="K321" s="3">
        <v>0.33</v>
      </c>
      <c r="N321" s="9">
        <f>1000*D321*E321/100</f>
        <v>73.2</v>
      </c>
      <c r="O321" s="9">
        <f>1000*D321*F321/100</f>
        <v>73.2</v>
      </c>
      <c r="Q321" s="9">
        <f>D321*J321</f>
        <v>7.9300000000000006</v>
      </c>
      <c r="R321" s="9">
        <f>D321*K321</f>
        <v>20.130000000000003</v>
      </c>
      <c r="T321" s="3" t="s">
        <v>45</v>
      </c>
      <c r="U321" s="3" t="s">
        <v>1147</v>
      </c>
      <c r="V321" s="4" t="s">
        <v>390</v>
      </c>
      <c r="X321" s="44" t="s">
        <v>623</v>
      </c>
      <c r="Y321" s="44" t="s">
        <v>625</v>
      </c>
    </row>
    <row r="322" spans="1:27" x14ac:dyDescent="0.25">
      <c r="B322" s="3" t="s">
        <v>284</v>
      </c>
      <c r="C322" s="3" t="s">
        <v>145</v>
      </c>
      <c r="D322" s="10">
        <f>6.6/0.51</f>
        <v>12.941176470588234</v>
      </c>
      <c r="E322" s="3">
        <v>0.23</v>
      </c>
      <c r="F322" s="3">
        <v>0.03</v>
      </c>
      <c r="L322" s="3">
        <v>2.27</v>
      </c>
      <c r="N322" s="9">
        <f>1000*D322*E322/100</f>
        <v>29.764705882352942</v>
      </c>
      <c r="O322" s="9">
        <f>1000*D322*F322/100</f>
        <v>3.8823529411764701</v>
      </c>
      <c r="T322" s="3" t="s">
        <v>45</v>
      </c>
      <c r="U322" s="3" t="s">
        <v>859</v>
      </c>
      <c r="V322" s="4" t="s">
        <v>285</v>
      </c>
      <c r="X322" s="44" t="s">
        <v>623</v>
      </c>
      <c r="Y322" s="44" t="s">
        <v>580</v>
      </c>
      <c r="Z322" s="3" t="s">
        <v>607</v>
      </c>
      <c r="AA322" s="3" t="s">
        <v>633</v>
      </c>
    </row>
    <row r="323" spans="1:27" x14ac:dyDescent="0.25">
      <c r="B323" s="3" t="s">
        <v>509</v>
      </c>
      <c r="C323" s="3" t="s">
        <v>142</v>
      </c>
      <c r="D323" s="61">
        <f>0.2+0.9</f>
        <v>1.1000000000000001</v>
      </c>
      <c r="E323" s="61">
        <f>(2.94*0.2+1.95*0.9)/D323</f>
        <v>2.13</v>
      </c>
      <c r="F323" s="61">
        <f>(0.03*0.2+0.25*0.9)/D323</f>
        <v>0.21</v>
      </c>
      <c r="N323" s="9">
        <f>1000*D323*E323/100</f>
        <v>23.43</v>
      </c>
      <c r="O323" s="9">
        <f>1000*D323*F323/100</f>
        <v>2.31</v>
      </c>
      <c r="T323" s="3" t="s">
        <v>45</v>
      </c>
      <c r="U323" s="3" t="s">
        <v>873</v>
      </c>
      <c r="V323" s="4" t="s">
        <v>390</v>
      </c>
      <c r="W323" s="60" t="s">
        <v>874</v>
      </c>
      <c r="X323" s="44" t="s">
        <v>623</v>
      </c>
      <c r="Y323" s="44" t="s">
        <v>986</v>
      </c>
    </row>
    <row r="324" spans="1:27" x14ac:dyDescent="0.25">
      <c r="X324" s="44"/>
      <c r="Y324" s="44"/>
    </row>
    <row r="325" spans="1:27" x14ac:dyDescent="0.25">
      <c r="A325" s="26" t="s">
        <v>210</v>
      </c>
      <c r="B325" s="26" t="s">
        <v>210</v>
      </c>
      <c r="C325" s="26" t="s">
        <v>210</v>
      </c>
      <c r="D325" s="26" t="s">
        <v>210</v>
      </c>
      <c r="E325" s="26" t="s">
        <v>210</v>
      </c>
      <c r="F325" s="26" t="s">
        <v>210</v>
      </c>
      <c r="G325" s="26" t="s">
        <v>210</v>
      </c>
      <c r="H325" s="26" t="s">
        <v>210</v>
      </c>
      <c r="I325" s="26" t="s">
        <v>210</v>
      </c>
      <c r="J325" s="26" t="s">
        <v>210</v>
      </c>
      <c r="K325" s="26" t="s">
        <v>210</v>
      </c>
      <c r="L325" s="26" t="s">
        <v>210</v>
      </c>
      <c r="M325" s="26" t="s">
        <v>210</v>
      </c>
      <c r="N325" s="26" t="s">
        <v>210</v>
      </c>
      <c r="O325" s="26" t="s">
        <v>210</v>
      </c>
      <c r="P325" s="26" t="s">
        <v>210</v>
      </c>
      <c r="Q325" s="26" t="s">
        <v>210</v>
      </c>
      <c r="R325" s="26" t="s">
        <v>210</v>
      </c>
      <c r="S325" s="26" t="s">
        <v>210</v>
      </c>
      <c r="T325" s="26" t="s">
        <v>210</v>
      </c>
      <c r="U325" s="26" t="s">
        <v>210</v>
      </c>
      <c r="V325" s="26" t="s">
        <v>210</v>
      </c>
      <c r="W325" s="26" t="s">
        <v>210</v>
      </c>
      <c r="X325" s="44"/>
      <c r="Y325" s="44"/>
    </row>
    <row r="326" spans="1:27" x14ac:dyDescent="0.25">
      <c r="A326" s="39">
        <f>COUNT(D328:D329)</f>
        <v>0</v>
      </c>
      <c r="B326" s="49" t="s">
        <v>45</v>
      </c>
      <c r="C326" s="49" t="s">
        <v>45</v>
      </c>
      <c r="X326" s="44"/>
      <c r="Y326" s="44"/>
    </row>
    <row r="327" spans="1:27" x14ac:dyDescent="0.25">
      <c r="A327" s="1" t="s">
        <v>150</v>
      </c>
      <c r="B327" s="1" t="s">
        <v>134</v>
      </c>
      <c r="C327" s="1" t="s">
        <v>141</v>
      </c>
      <c r="D327" s="2" t="s">
        <v>0</v>
      </c>
      <c r="E327" s="2" t="s">
        <v>10</v>
      </c>
      <c r="F327" s="2" t="s">
        <v>2</v>
      </c>
      <c r="G327" s="2" t="s">
        <v>9</v>
      </c>
      <c r="H327" s="2" t="s">
        <v>1</v>
      </c>
      <c r="I327" s="2" t="s">
        <v>3</v>
      </c>
      <c r="J327" s="2" t="s">
        <v>162</v>
      </c>
      <c r="K327" s="2" t="s">
        <v>163</v>
      </c>
      <c r="L327" s="2" t="s">
        <v>653</v>
      </c>
      <c r="M327" s="2" t="s">
        <v>640</v>
      </c>
      <c r="N327" s="2" t="s">
        <v>11</v>
      </c>
      <c r="O327" s="2" t="s">
        <v>4</v>
      </c>
      <c r="P327" s="2" t="s">
        <v>12</v>
      </c>
      <c r="Q327" s="2" t="s">
        <v>857</v>
      </c>
      <c r="R327" s="2" t="s">
        <v>164</v>
      </c>
      <c r="S327" s="2" t="s">
        <v>165</v>
      </c>
      <c r="T327" s="2" t="s">
        <v>44</v>
      </c>
      <c r="U327" s="2" t="s">
        <v>639</v>
      </c>
      <c r="V327" s="8" t="s">
        <v>5</v>
      </c>
      <c r="W327" s="15" t="s">
        <v>64</v>
      </c>
      <c r="X327" s="44"/>
      <c r="Y327" s="44"/>
    </row>
    <row r="328" spans="1:27" x14ac:dyDescent="0.25">
      <c r="V328" s="3"/>
      <c r="W328" s="3"/>
      <c r="X328" s="44"/>
      <c r="Y328" s="44"/>
    </row>
    <row r="329" spans="1:27" x14ac:dyDescent="0.25">
      <c r="X329" s="44"/>
      <c r="Y329" s="44"/>
    </row>
    <row r="330" spans="1:27" x14ac:dyDescent="0.25">
      <c r="X330" s="44"/>
      <c r="Y330" s="44"/>
    </row>
    <row r="331" spans="1:27" x14ac:dyDescent="0.25">
      <c r="A331" s="26" t="s">
        <v>574</v>
      </c>
      <c r="B331" s="26" t="s">
        <v>574</v>
      </c>
      <c r="C331" s="26" t="s">
        <v>574</v>
      </c>
      <c r="D331" s="26" t="s">
        <v>574</v>
      </c>
      <c r="E331" s="26" t="s">
        <v>574</v>
      </c>
      <c r="F331" s="26" t="s">
        <v>574</v>
      </c>
      <c r="G331" s="26" t="s">
        <v>574</v>
      </c>
      <c r="H331" s="26" t="s">
        <v>574</v>
      </c>
      <c r="I331" s="26" t="s">
        <v>574</v>
      </c>
      <c r="J331" s="26" t="s">
        <v>574</v>
      </c>
      <c r="K331" s="26" t="s">
        <v>574</v>
      </c>
      <c r="L331" s="26" t="s">
        <v>574</v>
      </c>
      <c r="M331" s="26" t="s">
        <v>574</v>
      </c>
      <c r="N331" s="26" t="s">
        <v>574</v>
      </c>
      <c r="O331" s="26" t="s">
        <v>574</v>
      </c>
      <c r="P331" s="26" t="s">
        <v>574</v>
      </c>
      <c r="Q331" s="26" t="s">
        <v>574</v>
      </c>
      <c r="R331" s="26" t="s">
        <v>574</v>
      </c>
      <c r="S331" s="26" t="s">
        <v>574</v>
      </c>
      <c r="T331" s="26" t="s">
        <v>574</v>
      </c>
      <c r="U331" s="26" t="s">
        <v>574</v>
      </c>
      <c r="V331" s="26" t="s">
        <v>574</v>
      </c>
      <c r="W331" s="26" t="s">
        <v>574</v>
      </c>
      <c r="X331" s="44"/>
      <c r="Y331" s="44"/>
    </row>
    <row r="332" spans="1:27" x14ac:dyDescent="0.25">
      <c r="A332" s="39">
        <f>COUNT(D334:D335)</f>
        <v>0</v>
      </c>
      <c r="B332" s="49" t="s">
        <v>45</v>
      </c>
      <c r="C332" s="49" t="s">
        <v>45</v>
      </c>
      <c r="V332" s="3"/>
      <c r="W332" s="3"/>
      <c r="X332" s="44"/>
      <c r="Y332" s="44"/>
    </row>
    <row r="333" spans="1:27" x14ac:dyDescent="0.25">
      <c r="A333" s="1" t="s">
        <v>150</v>
      </c>
      <c r="B333" s="1" t="s">
        <v>134</v>
      </c>
      <c r="C333" s="1" t="s">
        <v>141</v>
      </c>
      <c r="D333" s="2" t="s">
        <v>0</v>
      </c>
      <c r="E333" s="2" t="s">
        <v>10</v>
      </c>
      <c r="F333" s="2" t="s">
        <v>2</v>
      </c>
      <c r="G333" s="2" t="s">
        <v>9</v>
      </c>
      <c r="H333" s="2" t="s">
        <v>1</v>
      </c>
      <c r="I333" s="2" t="s">
        <v>3</v>
      </c>
      <c r="J333" s="2" t="s">
        <v>162</v>
      </c>
      <c r="K333" s="2" t="s">
        <v>163</v>
      </c>
      <c r="L333" s="2" t="s">
        <v>653</v>
      </c>
      <c r="M333" s="2" t="s">
        <v>640</v>
      </c>
      <c r="N333" s="2" t="s">
        <v>11</v>
      </c>
      <c r="O333" s="2" t="s">
        <v>4</v>
      </c>
      <c r="P333" s="2" t="s">
        <v>12</v>
      </c>
      <c r="Q333" s="2" t="s">
        <v>857</v>
      </c>
      <c r="R333" s="2" t="s">
        <v>164</v>
      </c>
      <c r="S333" s="2" t="s">
        <v>165</v>
      </c>
      <c r="T333" s="2" t="s">
        <v>44</v>
      </c>
      <c r="U333" s="2" t="s">
        <v>639</v>
      </c>
      <c r="V333" s="8" t="s">
        <v>5</v>
      </c>
      <c r="W333" s="15" t="s">
        <v>64</v>
      </c>
      <c r="X333" s="44"/>
      <c r="Y333" s="44"/>
    </row>
    <row r="334" spans="1:27" x14ac:dyDescent="0.25">
      <c r="N334" s="9">
        <f>1000*D334*E334/100</f>
        <v>0</v>
      </c>
      <c r="V334" s="3"/>
      <c r="W334" s="3"/>
      <c r="X334" s="44"/>
      <c r="Y334" s="44"/>
    </row>
    <row r="335" spans="1:27" x14ac:dyDescent="0.25">
      <c r="N335" s="9">
        <f>1000*D335*E335/100</f>
        <v>0</v>
      </c>
      <c r="V335" s="3"/>
      <c r="W335" s="3"/>
      <c r="X335" s="44"/>
      <c r="Y335" s="44"/>
    </row>
    <row r="336" spans="1:27" x14ac:dyDescent="0.25">
      <c r="X336" s="44"/>
      <c r="Y336" s="44"/>
    </row>
    <row r="337" spans="1:26" x14ac:dyDescent="0.25">
      <c r="A337" s="26" t="s">
        <v>212</v>
      </c>
      <c r="B337" s="26" t="s">
        <v>212</v>
      </c>
      <c r="C337" s="26" t="s">
        <v>212</v>
      </c>
      <c r="D337" s="26" t="s">
        <v>212</v>
      </c>
      <c r="E337" s="26" t="s">
        <v>212</v>
      </c>
      <c r="F337" s="26" t="s">
        <v>212</v>
      </c>
      <c r="G337" s="26" t="s">
        <v>212</v>
      </c>
      <c r="H337" s="26" t="s">
        <v>212</v>
      </c>
      <c r="I337" s="26" t="s">
        <v>212</v>
      </c>
      <c r="J337" s="26" t="s">
        <v>212</v>
      </c>
      <c r="K337" s="26" t="s">
        <v>212</v>
      </c>
      <c r="L337" s="26" t="s">
        <v>212</v>
      </c>
      <c r="M337" s="26" t="s">
        <v>212</v>
      </c>
      <c r="N337" s="26" t="s">
        <v>212</v>
      </c>
      <c r="O337" s="26" t="s">
        <v>212</v>
      </c>
      <c r="P337" s="26" t="s">
        <v>212</v>
      </c>
      <c r="Q337" s="26" t="s">
        <v>212</v>
      </c>
      <c r="R337" s="26" t="s">
        <v>212</v>
      </c>
      <c r="S337" s="26" t="s">
        <v>212</v>
      </c>
      <c r="T337" s="26" t="s">
        <v>212</v>
      </c>
      <c r="U337" s="26" t="s">
        <v>212</v>
      </c>
      <c r="V337" s="26" t="s">
        <v>212</v>
      </c>
      <c r="W337" s="26" t="s">
        <v>212</v>
      </c>
      <c r="X337" s="44"/>
      <c r="Y337" s="44"/>
    </row>
    <row r="338" spans="1:26" x14ac:dyDescent="0.25">
      <c r="A338" s="39">
        <f>COUNT(D340:D341)</f>
        <v>0</v>
      </c>
      <c r="B338" s="49" t="s">
        <v>45</v>
      </c>
      <c r="C338" s="49" t="s">
        <v>45</v>
      </c>
      <c r="V338" s="3"/>
      <c r="W338" s="3"/>
      <c r="X338" s="44"/>
      <c r="Y338" s="44"/>
    </row>
    <row r="339" spans="1:26" x14ac:dyDescent="0.25">
      <c r="A339" s="1" t="s">
        <v>150</v>
      </c>
      <c r="B339" s="1" t="s">
        <v>134</v>
      </c>
      <c r="C339" s="1" t="s">
        <v>141</v>
      </c>
      <c r="D339" s="2" t="s">
        <v>0</v>
      </c>
      <c r="E339" s="2" t="s">
        <v>10</v>
      </c>
      <c r="F339" s="2" t="s">
        <v>2</v>
      </c>
      <c r="G339" s="2" t="s">
        <v>9</v>
      </c>
      <c r="H339" s="2" t="s">
        <v>1</v>
      </c>
      <c r="I339" s="2" t="s">
        <v>3</v>
      </c>
      <c r="J339" s="2" t="s">
        <v>162</v>
      </c>
      <c r="K339" s="2" t="s">
        <v>163</v>
      </c>
      <c r="L339" s="2" t="s">
        <v>653</v>
      </c>
      <c r="M339" s="2" t="s">
        <v>640</v>
      </c>
      <c r="N339" s="2" t="s">
        <v>11</v>
      </c>
      <c r="O339" s="2" t="s">
        <v>4</v>
      </c>
      <c r="P339" s="2" t="s">
        <v>12</v>
      </c>
      <c r="Q339" s="2" t="s">
        <v>857</v>
      </c>
      <c r="R339" s="2" t="s">
        <v>164</v>
      </c>
      <c r="S339" s="2" t="s">
        <v>165</v>
      </c>
      <c r="T339" s="2" t="s">
        <v>44</v>
      </c>
      <c r="U339" s="2" t="s">
        <v>639</v>
      </c>
      <c r="V339" s="8" t="s">
        <v>5</v>
      </c>
      <c r="W339" s="15" t="s">
        <v>64</v>
      </c>
      <c r="X339" s="44"/>
      <c r="Y339" s="44"/>
    </row>
    <row r="340" spans="1:26" x14ac:dyDescent="0.25">
      <c r="N340" s="9">
        <f>1000*D340*E340/100</f>
        <v>0</v>
      </c>
      <c r="V340" s="3"/>
      <c r="W340" s="3"/>
      <c r="X340" s="44"/>
      <c r="Y340" s="44"/>
    </row>
    <row r="341" spans="1:26" x14ac:dyDescent="0.25">
      <c r="N341" s="9">
        <f>1000*D341*E341/100</f>
        <v>0</v>
      </c>
      <c r="V341" s="3"/>
      <c r="W341" s="3"/>
      <c r="X341" s="44"/>
      <c r="Y341" s="44"/>
    </row>
    <row r="342" spans="1:26" x14ac:dyDescent="0.25">
      <c r="X342" s="44"/>
      <c r="Y342" s="44"/>
    </row>
    <row r="343" spans="1:26" x14ac:dyDescent="0.25">
      <c r="A343" s="26" t="s">
        <v>214</v>
      </c>
      <c r="B343" s="26" t="s">
        <v>214</v>
      </c>
      <c r="C343" s="26" t="s">
        <v>214</v>
      </c>
      <c r="D343" s="26" t="s">
        <v>214</v>
      </c>
      <c r="E343" s="26" t="s">
        <v>214</v>
      </c>
      <c r="F343" s="26" t="s">
        <v>214</v>
      </c>
      <c r="G343" s="26" t="s">
        <v>214</v>
      </c>
      <c r="H343" s="26" t="s">
        <v>214</v>
      </c>
      <c r="I343" s="26" t="s">
        <v>214</v>
      </c>
      <c r="J343" s="26" t="s">
        <v>214</v>
      </c>
      <c r="K343" s="26" t="s">
        <v>214</v>
      </c>
      <c r="L343" s="26" t="s">
        <v>214</v>
      </c>
      <c r="M343" s="26" t="s">
        <v>214</v>
      </c>
      <c r="N343" s="26" t="s">
        <v>214</v>
      </c>
      <c r="O343" s="26" t="s">
        <v>214</v>
      </c>
      <c r="P343" s="26" t="s">
        <v>214</v>
      </c>
      <c r="Q343" s="26" t="s">
        <v>214</v>
      </c>
      <c r="R343" s="26" t="s">
        <v>214</v>
      </c>
      <c r="S343" s="26" t="s">
        <v>214</v>
      </c>
      <c r="T343" s="26" t="s">
        <v>214</v>
      </c>
      <c r="U343" s="26" t="s">
        <v>214</v>
      </c>
      <c r="V343" s="26" t="s">
        <v>214</v>
      </c>
      <c r="W343" s="26" t="s">
        <v>214</v>
      </c>
      <c r="X343" s="44"/>
      <c r="Y343" s="44"/>
    </row>
    <row r="344" spans="1:26" x14ac:dyDescent="0.25">
      <c r="A344" s="39">
        <f>COUNT(D346:D348)</f>
        <v>3</v>
      </c>
      <c r="B344" s="49" t="s">
        <v>45</v>
      </c>
      <c r="C344" s="49" t="s">
        <v>45</v>
      </c>
      <c r="D344" s="19">
        <f>SUM(D346:D348)</f>
        <v>119.4479</v>
      </c>
      <c r="E344" s="14">
        <f>100*(N344/1000)/D344</f>
        <v>0.49169650701268086</v>
      </c>
      <c r="F344" s="14">
        <f>100*(O344/1000)/D344</f>
        <v>2.8284488885949435E-2</v>
      </c>
      <c r="G344" s="30">
        <f>100*(P344/1000)/D344</f>
        <v>4.7099388938608377E-2</v>
      </c>
      <c r="N344" s="19">
        <f>SUM(N346:N348)</f>
        <v>587.32115199999998</v>
      </c>
      <c r="O344" s="19">
        <f>SUM(O346:O348)</f>
        <v>33.785228000000004</v>
      </c>
      <c r="P344" s="19">
        <f>SUM(P346:P348)</f>
        <v>56.259231</v>
      </c>
      <c r="X344" s="44"/>
      <c r="Y344" s="44"/>
    </row>
    <row r="345" spans="1:26" x14ac:dyDescent="0.25">
      <c r="A345" s="1" t="s">
        <v>150</v>
      </c>
      <c r="B345" s="1" t="s">
        <v>134</v>
      </c>
      <c r="C345" s="1" t="s">
        <v>141</v>
      </c>
      <c r="D345" s="2" t="s">
        <v>0</v>
      </c>
      <c r="E345" s="2" t="s">
        <v>10</v>
      </c>
      <c r="F345" s="2" t="s">
        <v>2</v>
      </c>
      <c r="G345" s="2" t="s">
        <v>9</v>
      </c>
      <c r="H345" s="2" t="s">
        <v>1</v>
      </c>
      <c r="I345" s="2" t="s">
        <v>3</v>
      </c>
      <c r="J345" s="2" t="s">
        <v>162</v>
      </c>
      <c r="K345" s="2" t="s">
        <v>163</v>
      </c>
      <c r="L345" s="2" t="s">
        <v>653</v>
      </c>
      <c r="M345" s="2" t="s">
        <v>640</v>
      </c>
      <c r="N345" s="2" t="s">
        <v>11</v>
      </c>
      <c r="O345" s="2" t="s">
        <v>4</v>
      </c>
      <c r="P345" s="2" t="s">
        <v>12</v>
      </c>
      <c r="Q345" s="2" t="s">
        <v>857</v>
      </c>
      <c r="R345" s="2" t="s">
        <v>164</v>
      </c>
      <c r="S345" s="2" t="s">
        <v>165</v>
      </c>
      <c r="T345" s="2" t="s">
        <v>44</v>
      </c>
      <c r="U345" s="2" t="s">
        <v>639</v>
      </c>
      <c r="V345" s="8" t="s">
        <v>5</v>
      </c>
      <c r="W345" s="15" t="s">
        <v>64</v>
      </c>
      <c r="X345" s="44"/>
      <c r="Y345" s="44"/>
    </row>
    <row r="346" spans="1:26" x14ac:dyDescent="0.25">
      <c r="B346" s="3" t="s">
        <v>215</v>
      </c>
      <c r="C346" s="3" t="s">
        <v>142</v>
      </c>
      <c r="D346" s="11">
        <f>7.05199+1.28691</f>
        <v>8.3389000000000006</v>
      </c>
      <c r="E346" s="5">
        <f>(1.06*7.05199+1.18*1.28691)/$D346</f>
        <v>1.0785191332190096</v>
      </c>
      <c r="F346" s="5">
        <f>(0.14*7.05199+0.12*1.28691)/$D346</f>
        <v>0.13691347779683172</v>
      </c>
      <c r="G346" s="5">
        <f>(0.06*7.05199+0.07*1.28691)/$D346</f>
        <v>6.1543261101584139E-2</v>
      </c>
      <c r="J346" s="5">
        <f>(0.21*7.05199+0.23*1.28691)/$D346</f>
        <v>0.21308652220316826</v>
      </c>
      <c r="K346" s="5">
        <f>(0.47*7.05199+0.59*1.28691)/$D346</f>
        <v>0.48851913321900969</v>
      </c>
      <c r="N346" s="9">
        <f>1000*D346*E346/100</f>
        <v>89.936632000000003</v>
      </c>
      <c r="O346" s="9">
        <f>1000*D346*F346/100</f>
        <v>11.417078000000002</v>
      </c>
      <c r="P346" s="9">
        <f>1000*D346*G346/100</f>
        <v>5.1320310000000005</v>
      </c>
      <c r="Q346" s="9">
        <f>D346*J346</f>
        <v>1.7769071999999999</v>
      </c>
      <c r="R346" s="9">
        <f>D346*K346</f>
        <v>4.0737122000000001</v>
      </c>
      <c r="T346" s="50" t="s">
        <v>644</v>
      </c>
      <c r="U346" s="3" t="s">
        <v>656</v>
      </c>
      <c r="V346" s="4" t="s">
        <v>216</v>
      </c>
      <c r="X346" s="44" t="s">
        <v>623</v>
      </c>
      <c r="Y346" s="44" t="s">
        <v>580</v>
      </c>
      <c r="Z346" s="3" t="s">
        <v>618</v>
      </c>
    </row>
    <row r="347" spans="1:26" x14ac:dyDescent="0.25">
      <c r="B347" s="3" t="s">
        <v>1009</v>
      </c>
      <c r="C347" s="3" t="s">
        <v>145</v>
      </c>
      <c r="D347" s="3">
        <f>2.7+34.3+3.1+2.5+4.6</f>
        <v>47.2</v>
      </c>
      <c r="E347" s="5">
        <f>(1.51*2.7+1.08*34.3+0.6*3.1+0.92*2.5+0.58*4.6)/D347</f>
        <v>1.0158686440677964</v>
      </c>
      <c r="N347" s="9">
        <f>1000*D347*E347/100</f>
        <v>479.48999999999995</v>
      </c>
      <c r="O347" s="9">
        <f>1000*D347*F347/100</f>
        <v>0</v>
      </c>
      <c r="P347" s="9">
        <f>1000*D347*G347/100</f>
        <v>0</v>
      </c>
      <c r="T347" s="3" t="s">
        <v>45</v>
      </c>
      <c r="U347" s="3" t="s">
        <v>1010</v>
      </c>
      <c r="V347" s="4" t="s">
        <v>28</v>
      </c>
      <c r="X347" s="44" t="s">
        <v>579</v>
      </c>
      <c r="Y347" s="44" t="s">
        <v>636</v>
      </c>
      <c r="Z347" s="3" t="s">
        <v>638</v>
      </c>
    </row>
    <row r="348" spans="1:26" x14ac:dyDescent="0.25">
      <c r="B348" s="3" t="s">
        <v>335</v>
      </c>
      <c r="C348" s="3" t="s">
        <v>145</v>
      </c>
      <c r="D348" s="3">
        <v>63.908999999999999</v>
      </c>
      <c r="E348" s="3">
        <v>2.8000000000000001E-2</v>
      </c>
      <c r="F348" s="3">
        <v>3.5000000000000003E-2</v>
      </c>
      <c r="G348" s="11">
        <v>0.08</v>
      </c>
      <c r="N348" s="9">
        <f>1000*D348*E348/100</f>
        <v>17.89452</v>
      </c>
      <c r="O348" s="9">
        <f>1000*D348*F348/100</f>
        <v>22.36815</v>
      </c>
      <c r="P348" s="9">
        <f>1000*D348*G348/100</f>
        <v>51.127200000000002</v>
      </c>
      <c r="T348" s="3" t="s">
        <v>45</v>
      </c>
      <c r="U348" s="3" t="s">
        <v>836</v>
      </c>
      <c r="V348" s="4" t="s">
        <v>334</v>
      </c>
      <c r="X348" s="44" t="s">
        <v>579</v>
      </c>
      <c r="Y348" s="44" t="s">
        <v>636</v>
      </c>
      <c r="Z348" s="3" t="s">
        <v>637</v>
      </c>
    </row>
    <row r="349" spans="1:26" x14ac:dyDescent="0.25">
      <c r="X349" s="44"/>
      <c r="Y349" s="44"/>
    </row>
    <row r="350" spans="1:26" x14ac:dyDescent="0.25">
      <c r="A350" s="26" t="s">
        <v>221</v>
      </c>
      <c r="B350" s="26" t="s">
        <v>222</v>
      </c>
      <c r="C350" s="26" t="s">
        <v>221</v>
      </c>
      <c r="D350" s="26" t="s">
        <v>222</v>
      </c>
      <c r="E350" s="26" t="s">
        <v>221</v>
      </c>
      <c r="F350" s="26" t="s">
        <v>222</v>
      </c>
      <c r="G350" s="26" t="s">
        <v>221</v>
      </c>
      <c r="H350" s="26" t="s">
        <v>222</v>
      </c>
      <c r="I350" s="26" t="s">
        <v>221</v>
      </c>
      <c r="J350" s="26" t="s">
        <v>222</v>
      </c>
      <c r="K350" s="26" t="s">
        <v>221</v>
      </c>
      <c r="L350" s="26" t="s">
        <v>222</v>
      </c>
      <c r="M350" s="26" t="s">
        <v>222</v>
      </c>
      <c r="N350" s="26" t="s">
        <v>221</v>
      </c>
      <c r="O350" s="26" t="s">
        <v>222</v>
      </c>
      <c r="P350" s="26" t="s">
        <v>221</v>
      </c>
      <c r="Q350" s="26" t="s">
        <v>222</v>
      </c>
      <c r="R350" s="26" t="s">
        <v>221</v>
      </c>
      <c r="S350" s="26" t="s">
        <v>222</v>
      </c>
      <c r="T350" s="26" t="s">
        <v>221</v>
      </c>
      <c r="U350" s="26" t="s">
        <v>222</v>
      </c>
      <c r="V350" s="26" t="s">
        <v>221</v>
      </c>
      <c r="W350" s="26" t="s">
        <v>222</v>
      </c>
      <c r="X350" s="44"/>
      <c r="Y350" s="44"/>
    </row>
    <row r="351" spans="1:26" x14ac:dyDescent="0.25">
      <c r="A351" s="39">
        <f>COUNT(D353:D354)</f>
        <v>0</v>
      </c>
      <c r="B351" s="49" t="s">
        <v>45</v>
      </c>
      <c r="C351" s="49" t="s">
        <v>45</v>
      </c>
      <c r="V351" s="3"/>
      <c r="W351" s="3"/>
      <c r="X351" s="44"/>
      <c r="Y351" s="44"/>
    </row>
    <row r="352" spans="1:26" x14ac:dyDescent="0.25">
      <c r="A352" s="1" t="s">
        <v>150</v>
      </c>
      <c r="B352" s="1" t="s">
        <v>134</v>
      </c>
      <c r="C352" s="1" t="s">
        <v>141</v>
      </c>
      <c r="D352" s="2" t="s">
        <v>0</v>
      </c>
      <c r="E352" s="2" t="s">
        <v>10</v>
      </c>
      <c r="F352" s="2" t="s">
        <v>2</v>
      </c>
      <c r="G352" s="2" t="s">
        <v>9</v>
      </c>
      <c r="H352" s="2" t="s">
        <v>1</v>
      </c>
      <c r="I352" s="2" t="s">
        <v>3</v>
      </c>
      <c r="J352" s="2" t="s">
        <v>162</v>
      </c>
      <c r="K352" s="2" t="s">
        <v>163</v>
      </c>
      <c r="L352" s="2" t="s">
        <v>653</v>
      </c>
      <c r="M352" s="2" t="s">
        <v>640</v>
      </c>
      <c r="N352" s="2" t="s">
        <v>11</v>
      </c>
      <c r="O352" s="2" t="s">
        <v>4</v>
      </c>
      <c r="P352" s="2" t="s">
        <v>12</v>
      </c>
      <c r="Q352" s="2" t="s">
        <v>857</v>
      </c>
      <c r="R352" s="2" t="s">
        <v>164</v>
      </c>
      <c r="S352" s="2" t="s">
        <v>165</v>
      </c>
      <c r="T352" s="2" t="s">
        <v>44</v>
      </c>
      <c r="U352" s="2" t="s">
        <v>639</v>
      </c>
      <c r="V352" s="8" t="s">
        <v>5</v>
      </c>
      <c r="W352" s="15" t="s">
        <v>64</v>
      </c>
      <c r="X352" s="44"/>
      <c r="Y352" s="44"/>
    </row>
    <row r="353" spans="1:25" x14ac:dyDescent="0.25">
      <c r="N353" s="9">
        <f>1000*D353*E353/100</f>
        <v>0</v>
      </c>
      <c r="V353" s="3"/>
      <c r="W353" s="3"/>
      <c r="X353" s="44"/>
      <c r="Y353" s="44"/>
    </row>
    <row r="354" spans="1:25" x14ac:dyDescent="0.25">
      <c r="N354" s="9">
        <f>1000*D354*E354/100</f>
        <v>0</v>
      </c>
      <c r="V354" s="3"/>
      <c r="W354" s="3"/>
      <c r="X354" s="44"/>
      <c r="Y354" s="44"/>
    </row>
    <row r="355" spans="1:25" x14ac:dyDescent="0.25">
      <c r="X355" s="44"/>
      <c r="Y355" s="44"/>
    </row>
    <row r="356" spans="1:25" x14ac:dyDescent="0.25">
      <c r="A356" s="26" t="s">
        <v>226</v>
      </c>
      <c r="B356" s="26" t="s">
        <v>226</v>
      </c>
      <c r="C356" s="26" t="s">
        <v>226</v>
      </c>
      <c r="D356" s="26" t="s">
        <v>226</v>
      </c>
      <c r="E356" s="26" t="s">
        <v>226</v>
      </c>
      <c r="F356" s="26" t="s">
        <v>226</v>
      </c>
      <c r="G356" s="26" t="s">
        <v>226</v>
      </c>
      <c r="H356" s="26" t="s">
        <v>226</v>
      </c>
      <c r="I356" s="26" t="s">
        <v>226</v>
      </c>
      <c r="J356" s="26" t="s">
        <v>226</v>
      </c>
      <c r="K356" s="26" t="s">
        <v>226</v>
      </c>
      <c r="L356" s="26" t="s">
        <v>226</v>
      </c>
      <c r="M356" s="26" t="s">
        <v>226</v>
      </c>
      <c r="N356" s="26" t="s">
        <v>226</v>
      </c>
      <c r="O356" s="26" t="s">
        <v>226</v>
      </c>
      <c r="P356" s="26" t="s">
        <v>226</v>
      </c>
      <c r="Q356" s="26" t="s">
        <v>226</v>
      </c>
      <c r="R356" s="26" t="s">
        <v>226</v>
      </c>
      <c r="S356" s="26" t="s">
        <v>226</v>
      </c>
      <c r="T356" s="26" t="s">
        <v>226</v>
      </c>
      <c r="U356" s="26" t="s">
        <v>226</v>
      </c>
      <c r="V356" s="26" t="s">
        <v>226</v>
      </c>
      <c r="W356" s="26" t="s">
        <v>226</v>
      </c>
      <c r="X356" s="44"/>
      <c r="Y356" s="44"/>
    </row>
    <row r="357" spans="1:25" x14ac:dyDescent="0.25">
      <c r="A357" s="39">
        <f>COUNT(D359:D359)</f>
        <v>0</v>
      </c>
      <c r="B357" s="49" t="s">
        <v>45</v>
      </c>
      <c r="C357" s="49" t="s">
        <v>45</v>
      </c>
      <c r="V357" s="3"/>
      <c r="W357" s="3"/>
      <c r="X357" s="44"/>
      <c r="Y357" s="44"/>
    </row>
    <row r="358" spans="1:25" x14ac:dyDescent="0.25">
      <c r="A358" s="1" t="s">
        <v>150</v>
      </c>
      <c r="B358" s="1" t="s">
        <v>134</v>
      </c>
      <c r="C358" s="1" t="s">
        <v>141</v>
      </c>
      <c r="D358" s="2" t="s">
        <v>0</v>
      </c>
      <c r="E358" s="2" t="s">
        <v>10</v>
      </c>
      <c r="F358" s="2" t="s">
        <v>2</v>
      </c>
      <c r="G358" s="2" t="s">
        <v>9</v>
      </c>
      <c r="H358" s="2" t="s">
        <v>1</v>
      </c>
      <c r="I358" s="2" t="s">
        <v>3</v>
      </c>
      <c r="J358" s="2" t="s">
        <v>162</v>
      </c>
      <c r="K358" s="2" t="s">
        <v>163</v>
      </c>
      <c r="L358" s="2" t="s">
        <v>653</v>
      </c>
      <c r="M358" s="2" t="s">
        <v>640</v>
      </c>
      <c r="N358" s="2" t="s">
        <v>11</v>
      </c>
      <c r="O358" s="2" t="s">
        <v>4</v>
      </c>
      <c r="P358" s="2" t="s">
        <v>12</v>
      </c>
      <c r="Q358" s="2" t="s">
        <v>857</v>
      </c>
      <c r="R358" s="2" t="s">
        <v>164</v>
      </c>
      <c r="S358" s="2" t="s">
        <v>165</v>
      </c>
      <c r="T358" s="2" t="s">
        <v>44</v>
      </c>
      <c r="U358" s="2" t="s">
        <v>639</v>
      </c>
      <c r="V358" s="8" t="s">
        <v>5</v>
      </c>
      <c r="W358" s="15" t="s">
        <v>64</v>
      </c>
      <c r="X358" s="44"/>
      <c r="Y358" s="44"/>
    </row>
    <row r="359" spans="1:25" x14ac:dyDescent="0.25">
      <c r="N359" s="9">
        <f>1000*D359*E359/100</f>
        <v>0</v>
      </c>
      <c r="V359" s="3"/>
      <c r="W359" s="3"/>
      <c r="X359" s="44"/>
      <c r="Y359" s="44"/>
    </row>
    <row r="360" spans="1:25" x14ac:dyDescent="0.25">
      <c r="V360" s="3"/>
      <c r="W360" s="3"/>
      <c r="X360" s="44"/>
      <c r="Y360" s="44"/>
    </row>
    <row r="361" spans="1:25" x14ac:dyDescent="0.25">
      <c r="A361" s="26" t="s">
        <v>235</v>
      </c>
      <c r="B361" s="26" t="s">
        <v>235</v>
      </c>
      <c r="C361" s="26" t="s">
        <v>235</v>
      </c>
      <c r="D361" s="26" t="s">
        <v>235</v>
      </c>
      <c r="E361" s="26" t="s">
        <v>235</v>
      </c>
      <c r="F361" s="26" t="s">
        <v>235</v>
      </c>
      <c r="G361" s="26" t="s">
        <v>235</v>
      </c>
      <c r="H361" s="26" t="s">
        <v>235</v>
      </c>
      <c r="I361" s="26" t="s">
        <v>235</v>
      </c>
      <c r="J361" s="26" t="s">
        <v>235</v>
      </c>
      <c r="K361" s="26" t="s">
        <v>235</v>
      </c>
      <c r="L361" s="26" t="s">
        <v>235</v>
      </c>
      <c r="M361" s="26" t="s">
        <v>235</v>
      </c>
      <c r="N361" s="26" t="s">
        <v>235</v>
      </c>
      <c r="O361" s="26" t="s">
        <v>235</v>
      </c>
      <c r="P361" s="26" t="s">
        <v>235</v>
      </c>
      <c r="Q361" s="26" t="s">
        <v>235</v>
      </c>
      <c r="R361" s="26" t="s">
        <v>235</v>
      </c>
      <c r="S361" s="26" t="s">
        <v>235</v>
      </c>
      <c r="T361" s="26" t="s">
        <v>235</v>
      </c>
      <c r="U361" s="26" t="s">
        <v>235</v>
      </c>
      <c r="V361" s="26" t="s">
        <v>235</v>
      </c>
      <c r="W361" s="26" t="s">
        <v>235</v>
      </c>
      <c r="X361" s="44"/>
      <c r="Y361" s="44"/>
    </row>
    <row r="362" spans="1:25" x14ac:dyDescent="0.25">
      <c r="A362" s="39">
        <f>COUNT(D364:D365)</f>
        <v>2</v>
      </c>
      <c r="B362" s="49" t="s">
        <v>45</v>
      </c>
      <c r="C362" s="49" t="s">
        <v>45</v>
      </c>
      <c r="D362" s="19">
        <f>SUM(D364:D365)</f>
        <v>80.480999999999995</v>
      </c>
      <c r="E362" s="14">
        <f>100*(N362/1000)/D362</f>
        <v>2.1414450615673268</v>
      </c>
      <c r="F362" s="14">
        <f>100*(O362/1000)/D362</f>
        <v>0.29894385010126617</v>
      </c>
      <c r="G362" s="30">
        <f>100*(P362/1000)/D362</f>
        <v>0.15068090605236018</v>
      </c>
      <c r="N362" s="19">
        <f t="shared" ref="N362:P362" si="115">SUM(N364:N365)</f>
        <v>1723.4564</v>
      </c>
      <c r="O362" s="19">
        <f t="shared" si="115"/>
        <v>240.59299999999999</v>
      </c>
      <c r="P362" s="19">
        <f t="shared" si="115"/>
        <v>121.26949999999999</v>
      </c>
      <c r="X362" s="44"/>
      <c r="Y362" s="44"/>
    </row>
    <row r="363" spans="1:25" x14ac:dyDescent="0.25">
      <c r="A363" s="1" t="s">
        <v>150</v>
      </c>
      <c r="B363" s="1" t="s">
        <v>134</v>
      </c>
      <c r="C363" s="1" t="s">
        <v>141</v>
      </c>
      <c r="D363" s="2" t="s">
        <v>0</v>
      </c>
      <c r="E363" s="2" t="s">
        <v>10</v>
      </c>
      <c r="F363" s="2" t="s">
        <v>2</v>
      </c>
      <c r="G363" s="2" t="s">
        <v>9</v>
      </c>
      <c r="H363" s="2" t="s">
        <v>1</v>
      </c>
      <c r="I363" s="2" t="s">
        <v>3</v>
      </c>
      <c r="J363" s="2" t="s">
        <v>162</v>
      </c>
      <c r="K363" s="2" t="s">
        <v>163</v>
      </c>
      <c r="L363" s="2" t="s">
        <v>653</v>
      </c>
      <c r="M363" s="2" t="s">
        <v>640</v>
      </c>
      <c r="N363" s="2" t="s">
        <v>11</v>
      </c>
      <c r="O363" s="2" t="s">
        <v>4</v>
      </c>
      <c r="P363" s="2" t="s">
        <v>12</v>
      </c>
      <c r="Q363" s="2" t="s">
        <v>857</v>
      </c>
      <c r="R363" s="2" t="s">
        <v>164</v>
      </c>
      <c r="S363" s="2" t="s">
        <v>165</v>
      </c>
      <c r="T363" s="2" t="s">
        <v>44</v>
      </c>
      <c r="U363" s="2" t="s">
        <v>639</v>
      </c>
      <c r="V363" s="8" t="s">
        <v>5</v>
      </c>
      <c r="W363" s="15" t="s">
        <v>64</v>
      </c>
      <c r="X363" s="44"/>
      <c r="Y363" s="44"/>
    </row>
    <row r="364" spans="1:25" x14ac:dyDescent="0.25">
      <c r="B364" s="3" t="s">
        <v>236</v>
      </c>
      <c r="C364" s="3" t="s">
        <v>145</v>
      </c>
      <c r="D364" s="3">
        <f>13.8+23.4+21</f>
        <v>58.2</v>
      </c>
      <c r="E364" s="5">
        <f>(2.49*13.8+2.72*23.4+2.6*21)/$D364</f>
        <v>2.6221649484536083</v>
      </c>
      <c r="F364" s="5">
        <f>(0.34*13.8+0.36*23.4+0.3*21)/$D364</f>
        <v>0.33360824742268042</v>
      </c>
      <c r="G364" s="5">
        <f>(0.21*13.8+0.19*23.4+0.2*21)/$D364</f>
        <v>0.19835051546391752</v>
      </c>
      <c r="J364" s="5">
        <f>(0.16*13.8+0.42*23.4+0.3*21)/$D364</f>
        <v>0.31505154639175253</v>
      </c>
      <c r="K364" s="5">
        <f>(0.19*13.8+0.28*23.4+0.3*21)/$D364</f>
        <v>0.26587628865979379</v>
      </c>
      <c r="N364" s="9">
        <f t="shared" ref="N364:P365" si="116">1000*$D364*E364/100</f>
        <v>1526.1</v>
      </c>
      <c r="O364" s="9">
        <f t="shared" si="116"/>
        <v>194.16</v>
      </c>
      <c r="P364" s="9">
        <f t="shared" si="116"/>
        <v>115.44</v>
      </c>
      <c r="Q364" s="9">
        <f>$D364*J364</f>
        <v>18.335999999999999</v>
      </c>
      <c r="R364" s="9">
        <f>$D364*K364</f>
        <v>15.474</v>
      </c>
      <c r="T364" s="50" t="s">
        <v>669</v>
      </c>
      <c r="U364" s="3" t="s">
        <v>877</v>
      </c>
      <c r="V364" s="4" t="s">
        <v>247</v>
      </c>
      <c r="X364" s="44" t="s">
        <v>623</v>
      </c>
      <c r="Y364" s="44" t="s">
        <v>626</v>
      </c>
    </row>
    <row r="365" spans="1:25" x14ac:dyDescent="0.25">
      <c r="B365" s="3" t="s">
        <v>332</v>
      </c>
      <c r="C365" s="3" t="s">
        <v>145</v>
      </c>
      <c r="D365" s="3">
        <v>22.280999999999999</v>
      </c>
      <c r="E365" s="5">
        <f>(1.74*1.871+0.91*3.11+0.7*1.9+0.8*15.4)/$D365</f>
        <v>0.88576096225483603</v>
      </c>
      <c r="F365" s="5">
        <f>(0.3*1.871+0.2*3.11+0.2*1.9+0.2*15.4)/$D365</f>
        <v>0.20839728917014497</v>
      </c>
      <c r="G365" s="5">
        <f>(0.05*1.871+0.04*3.11+0.03*1.9+0.02*15.4)/$D365</f>
        <v>2.6163547417081823E-2</v>
      </c>
      <c r="H365" s="5">
        <f>(0.021*1.871+0.008*3.11+0.02*1.9+0.02*15.4)/$D365</f>
        <v>1.8409003186571519E-2</v>
      </c>
      <c r="J365" s="5">
        <f>(0.033*1.871+0.012*3.11+0.02*1.9+0.03*15.4)/$D365</f>
        <v>2.6886719626587677E-2</v>
      </c>
      <c r="K365" s="5">
        <f>(0.041*1.871+0.015*3.11+0.02*1.9+0.04*15.4)/$D365</f>
        <v>3.4888963691037209E-2</v>
      </c>
      <c r="N365" s="9">
        <f t="shared" si="116"/>
        <v>197.35640000000004</v>
      </c>
      <c r="O365" s="9">
        <f t="shared" si="116"/>
        <v>46.433</v>
      </c>
      <c r="P365" s="9">
        <f t="shared" si="116"/>
        <v>5.8295000000000003</v>
      </c>
      <c r="Q365" s="9">
        <f>$D365*J365</f>
        <v>0.59906300000000001</v>
      </c>
      <c r="R365" s="9">
        <f>$D365*K365</f>
        <v>0.77736099999999997</v>
      </c>
      <c r="S365" s="9">
        <f>$D365*H365</f>
        <v>0.41017100000000001</v>
      </c>
      <c r="T365" s="3" t="s">
        <v>45</v>
      </c>
      <c r="U365" s="3" t="s">
        <v>834</v>
      </c>
      <c r="V365" s="4" t="s">
        <v>333</v>
      </c>
      <c r="X365" s="44" t="s">
        <v>623</v>
      </c>
      <c r="Y365" s="44" t="s">
        <v>635</v>
      </c>
    </row>
    <row r="366" spans="1:25" x14ac:dyDescent="0.25">
      <c r="X366" s="44"/>
      <c r="Y366" s="44"/>
    </row>
    <row r="367" spans="1:25" x14ac:dyDescent="0.25">
      <c r="A367" s="26" t="s">
        <v>246</v>
      </c>
      <c r="B367" s="26" t="s">
        <v>246</v>
      </c>
      <c r="C367" s="26" t="s">
        <v>246</v>
      </c>
      <c r="D367" s="26" t="s">
        <v>246</v>
      </c>
      <c r="E367" s="26" t="s">
        <v>246</v>
      </c>
      <c r="F367" s="26" t="s">
        <v>246</v>
      </c>
      <c r="G367" s="26" t="s">
        <v>246</v>
      </c>
      <c r="H367" s="26" t="s">
        <v>246</v>
      </c>
      <c r="I367" s="26" t="s">
        <v>246</v>
      </c>
      <c r="J367" s="26" t="s">
        <v>246</v>
      </c>
      <c r="K367" s="26" t="s">
        <v>246</v>
      </c>
      <c r="L367" s="26" t="s">
        <v>246</v>
      </c>
      <c r="M367" s="26" t="s">
        <v>246</v>
      </c>
      <c r="N367" s="26" t="s">
        <v>246</v>
      </c>
      <c r="O367" s="26" t="s">
        <v>246</v>
      </c>
      <c r="P367" s="26" t="s">
        <v>246</v>
      </c>
      <c r="Q367" s="26" t="s">
        <v>246</v>
      </c>
      <c r="R367" s="26" t="s">
        <v>246</v>
      </c>
      <c r="S367" s="26" t="s">
        <v>246</v>
      </c>
      <c r="T367" s="26" t="s">
        <v>246</v>
      </c>
      <c r="U367" s="26" t="s">
        <v>246</v>
      </c>
      <c r="V367" s="26" t="s">
        <v>246</v>
      </c>
      <c r="W367" s="26" t="s">
        <v>246</v>
      </c>
      <c r="X367" s="44"/>
      <c r="Y367" s="44"/>
    </row>
    <row r="368" spans="1:25" x14ac:dyDescent="0.25">
      <c r="A368" s="39">
        <f>COUNT(D370:D370)</f>
        <v>0</v>
      </c>
      <c r="B368" s="49" t="s">
        <v>45</v>
      </c>
      <c r="C368" s="49" t="s">
        <v>45</v>
      </c>
      <c r="V368" s="3"/>
      <c r="W368" s="3"/>
      <c r="X368" s="44"/>
      <c r="Y368" s="44"/>
    </row>
    <row r="369" spans="1:27" x14ac:dyDescent="0.25">
      <c r="A369" s="1" t="s">
        <v>150</v>
      </c>
      <c r="B369" s="1" t="s">
        <v>134</v>
      </c>
      <c r="C369" s="1" t="s">
        <v>141</v>
      </c>
      <c r="D369" s="2" t="s">
        <v>0</v>
      </c>
      <c r="E369" s="2" t="s">
        <v>10</v>
      </c>
      <c r="F369" s="2" t="s">
        <v>2</v>
      </c>
      <c r="G369" s="2" t="s">
        <v>9</v>
      </c>
      <c r="H369" s="2" t="s">
        <v>1</v>
      </c>
      <c r="I369" s="2" t="s">
        <v>3</v>
      </c>
      <c r="J369" s="2" t="s">
        <v>162</v>
      </c>
      <c r="K369" s="2" t="s">
        <v>163</v>
      </c>
      <c r="L369" s="2" t="s">
        <v>653</v>
      </c>
      <c r="M369" s="2" t="s">
        <v>640</v>
      </c>
      <c r="N369" s="2" t="s">
        <v>11</v>
      </c>
      <c r="O369" s="2" t="s">
        <v>4</v>
      </c>
      <c r="P369" s="2" t="s">
        <v>12</v>
      </c>
      <c r="Q369" s="2" t="s">
        <v>857</v>
      </c>
      <c r="R369" s="2" t="s">
        <v>164</v>
      </c>
      <c r="S369" s="2" t="s">
        <v>165</v>
      </c>
      <c r="T369" s="2" t="s">
        <v>44</v>
      </c>
      <c r="U369" s="2" t="s">
        <v>639</v>
      </c>
      <c r="V369" s="8" t="s">
        <v>5</v>
      </c>
      <c r="W369" s="15" t="s">
        <v>64</v>
      </c>
      <c r="X369" s="44"/>
      <c r="Y369" s="44"/>
    </row>
    <row r="370" spans="1:27" x14ac:dyDescent="0.25">
      <c r="N370" s="9">
        <f>1000*D370*E370/100</f>
        <v>0</v>
      </c>
      <c r="V370" s="3"/>
      <c r="W370" s="3"/>
      <c r="X370" s="44"/>
      <c r="Y370" s="44"/>
    </row>
    <row r="371" spans="1:27" x14ac:dyDescent="0.25">
      <c r="X371" s="44"/>
      <c r="Y371" s="44"/>
    </row>
    <row r="372" spans="1:27" x14ac:dyDescent="0.25">
      <c r="A372" s="26" t="s">
        <v>258</v>
      </c>
      <c r="B372" s="26" t="s">
        <v>258</v>
      </c>
      <c r="C372" s="26" t="s">
        <v>258</v>
      </c>
      <c r="D372" s="26" t="s">
        <v>258</v>
      </c>
      <c r="E372" s="26" t="s">
        <v>258</v>
      </c>
      <c r="F372" s="26" t="s">
        <v>258</v>
      </c>
      <c r="G372" s="26" t="s">
        <v>258</v>
      </c>
      <c r="H372" s="26" t="s">
        <v>258</v>
      </c>
      <c r="I372" s="26" t="s">
        <v>258</v>
      </c>
      <c r="J372" s="26" t="s">
        <v>258</v>
      </c>
      <c r="K372" s="26" t="s">
        <v>258</v>
      </c>
      <c r="L372" s="26" t="s">
        <v>258</v>
      </c>
      <c r="M372" s="26" t="s">
        <v>258</v>
      </c>
      <c r="N372" s="26" t="s">
        <v>258</v>
      </c>
      <c r="O372" s="26" t="s">
        <v>258</v>
      </c>
      <c r="P372" s="26" t="s">
        <v>258</v>
      </c>
      <c r="Q372" s="26" t="s">
        <v>258</v>
      </c>
      <c r="R372" s="26" t="s">
        <v>258</v>
      </c>
      <c r="S372" s="26" t="s">
        <v>258</v>
      </c>
      <c r="T372" s="26" t="s">
        <v>258</v>
      </c>
      <c r="U372" s="26" t="s">
        <v>258</v>
      </c>
      <c r="V372" s="26" t="s">
        <v>258</v>
      </c>
      <c r="W372" s="26" t="s">
        <v>258</v>
      </c>
      <c r="X372" s="44"/>
      <c r="Y372" s="44"/>
    </row>
    <row r="373" spans="1:27" x14ac:dyDescent="0.25">
      <c r="A373" s="39">
        <f>COUNT(D375:D384)</f>
        <v>10</v>
      </c>
      <c r="B373" s="49" t="s">
        <v>45</v>
      </c>
      <c r="C373" s="49" t="s">
        <v>45</v>
      </c>
      <c r="D373" s="19">
        <f>SUM(D375:D384)</f>
        <v>3663.2506143999994</v>
      </c>
      <c r="E373" s="14">
        <f>100*(N373/1000)/D373</f>
        <v>0.13846368947384627</v>
      </c>
      <c r="F373" s="14">
        <f>100*(O373/1000)/D373</f>
        <v>0.42800933836897542</v>
      </c>
      <c r="G373" s="30">
        <f>100*(P373/1000)/D373</f>
        <v>5.0020643870196521E-3</v>
      </c>
      <c r="N373" s="19">
        <f t="shared" ref="N373:S373" si="117">SUM(N375:N384)</f>
        <v>5072.2719553715806</v>
      </c>
      <c r="O373" s="19">
        <f t="shared" si="117"/>
        <v>15679.054717490864</v>
      </c>
      <c r="P373" s="19">
        <f t="shared" si="117"/>
        <v>183.23815439018099</v>
      </c>
      <c r="Q373" s="19">
        <f t="shared" si="117"/>
        <v>390.38725642526015</v>
      </c>
      <c r="R373" s="19">
        <f t="shared" si="117"/>
        <v>1128.8677975899318</v>
      </c>
      <c r="S373" s="19">
        <f t="shared" si="117"/>
        <v>140.99712448602017</v>
      </c>
      <c r="X373" s="44"/>
      <c r="Y373" s="44"/>
    </row>
    <row r="374" spans="1:27" x14ac:dyDescent="0.25">
      <c r="A374" s="1" t="s">
        <v>150</v>
      </c>
      <c r="B374" s="1" t="s">
        <v>134</v>
      </c>
      <c r="C374" s="1" t="s">
        <v>141</v>
      </c>
      <c r="D374" s="2" t="s">
        <v>0</v>
      </c>
      <c r="E374" s="2" t="s">
        <v>10</v>
      </c>
      <c r="F374" s="2" t="s">
        <v>2</v>
      </c>
      <c r="G374" s="2" t="s">
        <v>9</v>
      </c>
      <c r="H374" s="2" t="s">
        <v>1</v>
      </c>
      <c r="I374" s="2" t="s">
        <v>3</v>
      </c>
      <c r="J374" s="2" t="s">
        <v>162</v>
      </c>
      <c r="K374" s="2" t="s">
        <v>163</v>
      </c>
      <c r="L374" s="2" t="s">
        <v>653</v>
      </c>
      <c r="M374" s="2" t="s">
        <v>640</v>
      </c>
      <c r="N374" s="2" t="s">
        <v>11</v>
      </c>
      <c r="O374" s="2" t="s">
        <v>4</v>
      </c>
      <c r="P374" s="2" t="s">
        <v>12</v>
      </c>
      <c r="Q374" s="2" t="s">
        <v>857</v>
      </c>
      <c r="R374" s="2" t="s">
        <v>164</v>
      </c>
      <c r="S374" s="2" t="s">
        <v>165</v>
      </c>
      <c r="T374" s="2" t="s">
        <v>44</v>
      </c>
      <c r="U374" s="2" t="s">
        <v>639</v>
      </c>
      <c r="V374" s="8" t="s">
        <v>5</v>
      </c>
      <c r="W374" s="15" t="s">
        <v>64</v>
      </c>
      <c r="X374" s="44"/>
      <c r="Y374" s="44"/>
    </row>
    <row r="375" spans="1:27" x14ac:dyDescent="0.25">
      <c r="B375" s="3" t="s">
        <v>259</v>
      </c>
      <c r="C375" s="3" t="s">
        <v>143</v>
      </c>
      <c r="D375" s="3">
        <f>4.3+0.19+0.02</f>
        <v>4.51</v>
      </c>
      <c r="E375" s="20">
        <f>(3.16*4.3+3.57*0.19+2.55*0.02)/$D375</f>
        <v>3.174567627494457</v>
      </c>
      <c r="F375" s="20">
        <f>(2.69*4.3+2.43*0.19+1.72*0.02)/$D375</f>
        <v>2.6747450110864746</v>
      </c>
      <c r="H375" s="20">
        <f>(0.23*4.3+0.25*0.19+0.11*0.02)/$D375</f>
        <v>0.23031042128603105</v>
      </c>
      <c r="N375" s="9">
        <f t="shared" ref="N375:N384" si="118">1000*$D375*E375/100</f>
        <v>143.173</v>
      </c>
      <c r="O375" s="9">
        <f t="shared" ref="O375:O384" si="119">1000*$D375*F375/100</f>
        <v>120.631</v>
      </c>
      <c r="S375" s="9">
        <f>$D375*H375</f>
        <v>1.0387</v>
      </c>
      <c r="T375" s="3" t="s">
        <v>45</v>
      </c>
      <c r="U375" s="3" t="s">
        <v>649</v>
      </c>
      <c r="V375" s="4" t="s">
        <v>154</v>
      </c>
      <c r="X375" s="44" t="s">
        <v>623</v>
      </c>
      <c r="Y375" s="44" t="s">
        <v>595</v>
      </c>
    </row>
    <row r="376" spans="1:27" x14ac:dyDescent="0.25">
      <c r="B376" s="3" t="s">
        <v>530</v>
      </c>
      <c r="C376" s="3" t="s">
        <v>145</v>
      </c>
      <c r="D376" s="7">
        <v>1200</v>
      </c>
      <c r="E376" s="5">
        <v>0.09</v>
      </c>
      <c r="F376" s="5">
        <v>0.43</v>
      </c>
      <c r="N376" s="9">
        <f t="shared" si="118"/>
        <v>1080</v>
      </c>
      <c r="O376" s="9">
        <f t="shared" si="119"/>
        <v>5160</v>
      </c>
      <c r="T376" s="3" t="s">
        <v>45</v>
      </c>
      <c r="U376" s="3" t="s">
        <v>860</v>
      </c>
      <c r="V376" s="4" t="s">
        <v>531</v>
      </c>
      <c r="X376" s="44" t="s">
        <v>623</v>
      </c>
      <c r="Y376" s="44" t="s">
        <v>595</v>
      </c>
    </row>
    <row r="377" spans="1:27" x14ac:dyDescent="0.25">
      <c r="B377" s="3" t="s">
        <v>273</v>
      </c>
      <c r="C377" s="3" t="s">
        <v>143</v>
      </c>
      <c r="D377" s="5">
        <f>(550.038+273.835)*0.9072</f>
        <v>747.41758560000005</v>
      </c>
      <c r="E377" s="5">
        <f>(0.2*550.038+0.207*273.835)/(550.038+273.835)</f>
        <v>0.20232662679806229</v>
      </c>
      <c r="F377" s="5">
        <f>(0.639*550.038+0.632*273.835)/(550.038+273.835)</f>
        <v>0.63667337320193762</v>
      </c>
      <c r="G377" s="5">
        <f>(0.01*550.038+0.01*273.835)/(550.038+273.835)</f>
        <v>0.01</v>
      </c>
      <c r="H377" s="11">
        <f>(0.092*550.038+0.091*273.835)/(550.038+273.835)</f>
        <v>9.1667624743133946E-2</v>
      </c>
      <c r="J377" s="11">
        <f>(0.176*550.038+0.185*273.835)/(550.038+273.835)</f>
        <v>0.1789913773117944</v>
      </c>
      <c r="K377" s="11">
        <f>(0.392*550.038+0.409*273.835)/(550.038+273.835)</f>
        <v>0.39765037936672276</v>
      </c>
      <c r="N377" s="9">
        <f t="shared" si="118"/>
        <v>1512.2247890399999</v>
      </c>
      <c r="O377" s="9">
        <f t="shared" si="119"/>
        <v>4758.6087541440002</v>
      </c>
      <c r="P377" s="9">
        <f>1000*$D377*G377/100</f>
        <v>74.741758560000022</v>
      </c>
      <c r="Q377" s="9">
        <f t="shared" ref="Q377:R380" si="120">$D377*J377</f>
        <v>133.78130307360001</v>
      </c>
      <c r="R377" s="9">
        <f t="shared" si="120"/>
        <v>297.21088645920003</v>
      </c>
      <c r="S377" s="9">
        <f>$D377*H377</f>
        <v>68.513994763200003</v>
      </c>
      <c r="T377" s="3" t="s">
        <v>45</v>
      </c>
      <c r="U377" s="3" t="s">
        <v>862</v>
      </c>
      <c r="V377" s="4" t="s">
        <v>861</v>
      </c>
      <c r="X377" s="44" t="s">
        <v>623</v>
      </c>
      <c r="Y377" s="44" t="s">
        <v>595</v>
      </c>
      <c r="Z377" s="3" t="s">
        <v>596</v>
      </c>
    </row>
    <row r="378" spans="1:27" x14ac:dyDescent="0.25">
      <c r="B378" s="3" t="s">
        <v>274</v>
      </c>
      <c r="C378" s="3" t="s">
        <v>143</v>
      </c>
      <c r="D378" s="9">
        <f>(234.4+654.2+289.6)*0.9072</f>
        <v>1068.86304</v>
      </c>
      <c r="E378" s="11">
        <f>(0.077*234.4+0.066*654.2+0.068*289.6)/(234.4+654.2+289.6)</f>
        <v>6.8680020370056022E-2</v>
      </c>
      <c r="F378" s="11">
        <f>(0.263*234.4+0.223*654.2+0.246*289.6)/(234.4+654.2+289.6)</f>
        <v>0.23661127143099642</v>
      </c>
      <c r="G378" s="11">
        <f>(0.0071*187+0.0066*451.1+0.0052*251.6)/(187+451.1+251.6)</f>
        <v>6.3091828706305503E-3</v>
      </c>
      <c r="H378" s="11">
        <f>(0.033*187+0.029*451.1+0.032*251.6)/(187+451.1+251.6)</f>
        <v>3.0689108688321903E-2</v>
      </c>
      <c r="J378" s="11">
        <f>(0.064*187+0.054*451.1+0.062*251.6)/(187+451.1+251.6)</f>
        <v>5.8364167696976499E-2</v>
      </c>
      <c r="K378" s="11">
        <f>(0.232*187+0.187*451.1+0.221*251.6)/(187+451.1+251.6)</f>
        <v>0.20607317073170731</v>
      </c>
      <c r="N378" s="9">
        <f t="shared" si="118"/>
        <v>734.09535360000007</v>
      </c>
      <c r="O378" s="9">
        <f t="shared" si="119"/>
        <v>2529.0504287999997</v>
      </c>
      <c r="P378" s="9">
        <f>1000*$D378*G378/100</f>
        <v>67.436523830180974</v>
      </c>
      <c r="Q378" s="9">
        <f t="shared" si="120"/>
        <v>62.383301711660096</v>
      </c>
      <c r="R378" s="9">
        <f t="shared" si="120"/>
        <v>220.26399573073169</v>
      </c>
      <c r="S378" s="9">
        <f>$D378*H378</f>
        <v>32.802454007490162</v>
      </c>
      <c r="T378" s="3" t="s">
        <v>45</v>
      </c>
      <c r="U378" s="3" t="s">
        <v>864</v>
      </c>
      <c r="V378" s="4" t="s">
        <v>275</v>
      </c>
      <c r="X378" s="44" t="s">
        <v>623</v>
      </c>
      <c r="Y378" s="44" t="s">
        <v>595</v>
      </c>
      <c r="Z378" s="3" t="s">
        <v>596</v>
      </c>
    </row>
    <row r="379" spans="1:27" x14ac:dyDescent="0.25">
      <c r="B379" s="3" t="s">
        <v>276</v>
      </c>
      <c r="C379" s="3" t="s">
        <v>145</v>
      </c>
      <c r="D379" s="10">
        <f>119.9*0.9072</f>
        <v>108.77328</v>
      </c>
      <c r="E379" s="3">
        <v>0.25</v>
      </c>
      <c r="F379" s="3">
        <v>0.67</v>
      </c>
      <c r="G379" s="3">
        <v>0.02</v>
      </c>
      <c r="H379" s="3">
        <v>0.04</v>
      </c>
      <c r="J379" s="3">
        <v>0.09</v>
      </c>
      <c r="K379" s="3">
        <v>0.25</v>
      </c>
      <c r="N379" s="9">
        <f t="shared" si="118"/>
        <v>271.9332</v>
      </c>
      <c r="O379" s="9">
        <f t="shared" si="119"/>
        <v>728.78097600000012</v>
      </c>
      <c r="P379" s="9">
        <f>1000*$D379*G379/100</f>
        <v>21.754656000000001</v>
      </c>
      <c r="Q379" s="9">
        <f t="shared" si="120"/>
        <v>9.7895951999999991</v>
      </c>
      <c r="R379" s="9">
        <f t="shared" si="120"/>
        <v>27.19332</v>
      </c>
      <c r="S379" s="9">
        <f>$D379*H379</f>
        <v>4.3509311999999998</v>
      </c>
      <c r="T379" s="3" t="s">
        <v>45</v>
      </c>
      <c r="U379" s="3" t="s">
        <v>696</v>
      </c>
      <c r="V379" s="4" t="s">
        <v>863</v>
      </c>
      <c r="X379" s="44" t="s">
        <v>623</v>
      </c>
      <c r="Y379" s="44" t="s">
        <v>595</v>
      </c>
      <c r="Z379" s="3" t="s">
        <v>596</v>
      </c>
    </row>
    <row r="380" spans="1:27" x14ac:dyDescent="0.25">
      <c r="B380" s="3" t="s">
        <v>277</v>
      </c>
      <c r="C380" s="3" t="s">
        <v>145</v>
      </c>
      <c r="D380" s="5">
        <f>(176.8+40)*0.9072</f>
        <v>196.68096</v>
      </c>
      <c r="E380" s="5">
        <f>(0.169*176.8+0.157*40)/(176.8+40)</f>
        <v>0.16678597785977861</v>
      </c>
      <c r="F380" s="5">
        <f>(0.528*176.8+0.496*40)/(176.8+40)</f>
        <v>0.52209594095940959</v>
      </c>
      <c r="G380" s="5">
        <f>(0.01*176.8+0.009*40)/(176.8+40)</f>
        <v>9.8154981549815491E-3</v>
      </c>
      <c r="H380" s="11">
        <f>(0.117*176.8+0.103*40)/(176.8+40)</f>
        <v>0.1144169741697417</v>
      </c>
      <c r="J380" s="11">
        <f>(0.239*176.8+0.21*40)/(176.8+40)</f>
        <v>0.23364944649446492</v>
      </c>
      <c r="K380" s="11">
        <f>(0.515*176.8+0.431*40)/(176.8+40)</f>
        <v>0.49950184501845019</v>
      </c>
      <c r="N380" s="9">
        <f t="shared" si="118"/>
        <v>328.0362624</v>
      </c>
      <c r="O380" s="9">
        <f t="shared" si="119"/>
        <v>1026.8633087999999</v>
      </c>
      <c r="P380" s="9">
        <f>1000*$D380*G380/100</f>
        <v>19.305215999999998</v>
      </c>
      <c r="Q380" s="9">
        <f t="shared" si="120"/>
        <v>45.954397439999994</v>
      </c>
      <c r="R380" s="9">
        <f t="shared" si="120"/>
        <v>98.242502400000006</v>
      </c>
      <c r="S380" s="9">
        <f t="shared" ref="S380" si="121">$D380*H380</f>
        <v>22.503640319999999</v>
      </c>
      <c r="T380" s="3" t="s">
        <v>45</v>
      </c>
      <c r="U380" s="3" t="s">
        <v>696</v>
      </c>
      <c r="V380" s="4" t="s">
        <v>863</v>
      </c>
      <c r="X380" s="44" t="s">
        <v>623</v>
      </c>
      <c r="Y380" s="44" t="s">
        <v>595</v>
      </c>
      <c r="Z380" s="3" t="s">
        <v>596</v>
      </c>
    </row>
    <row r="381" spans="1:27" x14ac:dyDescent="0.25">
      <c r="B381" s="3" t="s">
        <v>543</v>
      </c>
      <c r="C381" s="3" t="s">
        <v>145</v>
      </c>
      <c r="D381" s="59">
        <f>145*0.9072</f>
        <v>131.54400000000001</v>
      </c>
      <c r="E381" s="6">
        <v>0.31</v>
      </c>
      <c r="F381" s="6">
        <v>0.28999999999999998</v>
      </c>
      <c r="N381" s="9">
        <f t="shared" si="118"/>
        <v>407.78640000000001</v>
      </c>
      <c r="O381" s="9">
        <f t="shared" si="119"/>
        <v>381.47759999999994</v>
      </c>
      <c r="T381" s="3" t="s">
        <v>45</v>
      </c>
      <c r="U381" s="3" t="s">
        <v>826</v>
      </c>
      <c r="V381" s="4" t="s">
        <v>544</v>
      </c>
      <c r="X381" s="44" t="s">
        <v>623</v>
      </c>
      <c r="Y381" s="44" t="s">
        <v>580</v>
      </c>
      <c r="Z381" s="3" t="s">
        <v>607</v>
      </c>
      <c r="AA381" s="3" t="s">
        <v>634</v>
      </c>
    </row>
    <row r="382" spans="1:27" x14ac:dyDescent="0.25">
      <c r="B382" s="3" t="s">
        <v>545</v>
      </c>
      <c r="C382" s="3" t="s">
        <v>145</v>
      </c>
      <c r="D382" s="59">
        <f>60*0.9072</f>
        <v>54.432000000000002</v>
      </c>
      <c r="E382" s="6">
        <v>0.59</v>
      </c>
      <c r="F382" s="6">
        <v>0.52</v>
      </c>
      <c r="N382" s="9">
        <f t="shared" si="118"/>
        <v>321.14879999999999</v>
      </c>
      <c r="O382" s="9">
        <f t="shared" si="119"/>
        <v>283.04640000000001</v>
      </c>
      <c r="T382" s="3" t="s">
        <v>45</v>
      </c>
      <c r="U382" s="3" t="s">
        <v>826</v>
      </c>
      <c r="V382" s="4" t="s">
        <v>544</v>
      </c>
      <c r="X382" s="44" t="s">
        <v>623</v>
      </c>
      <c r="Y382" s="44" t="s">
        <v>580</v>
      </c>
      <c r="Z382" s="3" t="s">
        <v>607</v>
      </c>
      <c r="AA382" s="3" t="s">
        <v>634</v>
      </c>
    </row>
    <row r="383" spans="1:27" x14ac:dyDescent="0.25">
      <c r="B383" s="3" t="s">
        <v>870</v>
      </c>
      <c r="C383" s="3" t="s">
        <v>145</v>
      </c>
      <c r="D383" s="53">
        <f>(2.782+12.262+2.228+25.207)*0.9072</f>
        <v>38.536948799999998</v>
      </c>
      <c r="E383" s="62">
        <v>9.7670603157820737E-2</v>
      </c>
      <c r="F383" s="61">
        <v>6.9773893845129026E-2</v>
      </c>
      <c r="H383" s="62">
        <v>0.30587279383493893</v>
      </c>
      <c r="J383" s="9">
        <f>((0.14*2.782+0.13*12.262+0.09*2.228+0.09*25.207)/(2.782+12.262+2.228+25.207))*31.1/0.9072</f>
        <v>3.5933996673862265</v>
      </c>
      <c r="K383" s="9">
        <f>((0.48*2.782+0.47*12.262+0.32*2.228+0.31*25.207)/(2.782+12.262+2.228+25.207))*31.1/0.9072</f>
        <v>12.610160070586595</v>
      </c>
      <c r="N383" s="9">
        <f t="shared" si="118"/>
        <v>37.639270331580562</v>
      </c>
      <c r="O383" s="9">
        <f t="shared" si="119"/>
        <v>26.888729746863724</v>
      </c>
      <c r="Q383" s="9">
        <f t="shared" ref="Q383" si="122">$D383*J383</f>
        <v>138.47865900000002</v>
      </c>
      <c r="R383" s="9">
        <f t="shared" ref="R383" si="123">$D383*K383</f>
        <v>485.95709299999999</v>
      </c>
      <c r="S383" s="9">
        <f>$D383*H383</f>
        <v>11.787404195329996</v>
      </c>
      <c r="T383" s="3" t="s">
        <v>45</v>
      </c>
      <c r="U383" s="3" t="s">
        <v>649</v>
      </c>
      <c r="V383" s="4" t="s">
        <v>871</v>
      </c>
      <c r="W383" s="60" t="s">
        <v>872</v>
      </c>
      <c r="X383" s="44" t="s">
        <v>623</v>
      </c>
      <c r="Y383" s="44" t="s">
        <v>580</v>
      </c>
      <c r="Z383" s="3" t="s">
        <v>607</v>
      </c>
      <c r="AA383" s="3" t="s">
        <v>634</v>
      </c>
    </row>
    <row r="384" spans="1:27" x14ac:dyDescent="0.25">
      <c r="B384" s="3" t="s">
        <v>371</v>
      </c>
      <c r="C384" s="3" t="s">
        <v>145</v>
      </c>
      <c r="D384" s="59">
        <f>124*0.9072</f>
        <v>112.4928</v>
      </c>
      <c r="E384" s="3">
        <v>0.21</v>
      </c>
      <c r="F384" s="3">
        <v>0.59</v>
      </c>
      <c r="N384" s="9">
        <f t="shared" si="118"/>
        <v>236.23488</v>
      </c>
      <c r="O384" s="9">
        <f t="shared" si="119"/>
        <v>663.70751999999993</v>
      </c>
      <c r="T384" s="3" t="s">
        <v>45</v>
      </c>
      <c r="U384" s="3" t="s">
        <v>696</v>
      </c>
      <c r="V384" s="4" t="s">
        <v>863</v>
      </c>
      <c r="X384" s="44" t="s">
        <v>623</v>
      </c>
      <c r="Y384" s="44" t="s">
        <v>595</v>
      </c>
      <c r="Z384" s="3" t="s">
        <v>596</v>
      </c>
    </row>
    <row r="385" spans="1:25" x14ac:dyDescent="0.25">
      <c r="X385" s="44"/>
      <c r="Y385" s="44"/>
    </row>
    <row r="386" spans="1:25" x14ac:dyDescent="0.25">
      <c r="A386" s="26" t="s">
        <v>292</v>
      </c>
      <c r="B386" s="26" t="s">
        <v>292</v>
      </c>
      <c r="C386" s="26" t="s">
        <v>292</v>
      </c>
      <c r="D386" s="26" t="s">
        <v>292</v>
      </c>
      <c r="E386" s="26" t="s">
        <v>292</v>
      </c>
      <c r="F386" s="26" t="s">
        <v>292</v>
      </c>
      <c r="G386" s="26" t="s">
        <v>292</v>
      </c>
      <c r="H386" s="26" t="s">
        <v>292</v>
      </c>
      <c r="I386" s="26" t="s">
        <v>292</v>
      </c>
      <c r="J386" s="26" t="s">
        <v>292</v>
      </c>
      <c r="K386" s="26" t="s">
        <v>292</v>
      </c>
      <c r="L386" s="26" t="s">
        <v>292</v>
      </c>
      <c r="M386" s="26" t="s">
        <v>292</v>
      </c>
      <c r="N386" s="26" t="s">
        <v>292</v>
      </c>
      <c r="O386" s="26" t="s">
        <v>292</v>
      </c>
      <c r="P386" s="26" t="s">
        <v>292</v>
      </c>
      <c r="Q386" s="26" t="s">
        <v>292</v>
      </c>
      <c r="R386" s="26" t="s">
        <v>292</v>
      </c>
      <c r="S386" s="26" t="s">
        <v>292</v>
      </c>
      <c r="T386" s="26" t="s">
        <v>292</v>
      </c>
      <c r="U386" s="26" t="s">
        <v>292</v>
      </c>
      <c r="V386" s="26" t="s">
        <v>292</v>
      </c>
      <c r="W386" s="26" t="s">
        <v>292</v>
      </c>
      <c r="X386" s="44"/>
      <c r="Y386" s="44"/>
    </row>
    <row r="387" spans="1:25" x14ac:dyDescent="0.25">
      <c r="A387" s="39">
        <f>COUNT(D389)</f>
        <v>1</v>
      </c>
      <c r="B387" s="49" t="s">
        <v>45</v>
      </c>
      <c r="C387" s="49" t="s">
        <v>45</v>
      </c>
      <c r="D387" s="19">
        <f>SUM(D389)</f>
        <v>12.972000000000001</v>
      </c>
      <c r="E387" s="14">
        <f>100*(N387/1000)/D387</f>
        <v>0.56179463459759471</v>
      </c>
      <c r="F387" s="14">
        <f>100*(O387/1000)/D387</f>
        <v>0.45838729571384523</v>
      </c>
      <c r="N387" s="19">
        <f t="shared" ref="N387:P387" si="124">SUM(N389)</f>
        <v>72.875999999999991</v>
      </c>
      <c r="O387" s="19">
        <f t="shared" si="124"/>
        <v>59.46200000000001</v>
      </c>
      <c r="P387" s="19">
        <f t="shared" si="124"/>
        <v>0</v>
      </c>
      <c r="X387" s="44"/>
      <c r="Y387" s="44"/>
    </row>
    <row r="388" spans="1:25" x14ac:dyDescent="0.25">
      <c r="A388" s="1" t="s">
        <v>150</v>
      </c>
      <c r="B388" s="1" t="s">
        <v>134</v>
      </c>
      <c r="C388" s="1" t="s">
        <v>141</v>
      </c>
      <c r="D388" s="2" t="s">
        <v>0</v>
      </c>
      <c r="E388" s="2" t="s">
        <v>10</v>
      </c>
      <c r="F388" s="2" t="s">
        <v>2</v>
      </c>
      <c r="G388" s="2" t="s">
        <v>9</v>
      </c>
      <c r="H388" s="2" t="s">
        <v>1</v>
      </c>
      <c r="I388" s="2" t="s">
        <v>3</v>
      </c>
      <c r="J388" s="2" t="s">
        <v>162</v>
      </c>
      <c r="K388" s="2" t="s">
        <v>163</v>
      </c>
      <c r="L388" s="2" t="s">
        <v>653</v>
      </c>
      <c r="M388" s="2" t="s">
        <v>640</v>
      </c>
      <c r="N388" s="2" t="s">
        <v>11</v>
      </c>
      <c r="O388" s="2" t="s">
        <v>4</v>
      </c>
      <c r="P388" s="2" t="s">
        <v>12</v>
      </c>
      <c r="Q388" s="2" t="s">
        <v>857</v>
      </c>
      <c r="R388" s="2" t="s">
        <v>164</v>
      </c>
      <c r="S388" s="2" t="s">
        <v>165</v>
      </c>
      <c r="T388" s="2" t="s">
        <v>44</v>
      </c>
      <c r="U388" s="2" t="s">
        <v>639</v>
      </c>
      <c r="V388" s="8" t="s">
        <v>5</v>
      </c>
      <c r="W388" s="15" t="s">
        <v>64</v>
      </c>
      <c r="X388" s="44"/>
      <c r="Y388" s="44"/>
    </row>
    <row r="389" spans="1:25" x14ac:dyDescent="0.25">
      <c r="B389" s="3" t="s">
        <v>293</v>
      </c>
      <c r="C389" s="3" t="s">
        <v>142</v>
      </c>
      <c r="D389" s="3">
        <f>11.32+1.21+0.442</f>
        <v>12.972000000000001</v>
      </c>
      <c r="E389" s="5">
        <f>(0.6*11.32+0.3*1.21+0.3*0.442)/D389</f>
        <v>0.56179463459759471</v>
      </c>
      <c r="F389" s="5">
        <f>(0.5*11.32+0.2*1.21+0.1*0.442)/D389</f>
        <v>0.45838729571384518</v>
      </c>
      <c r="N389" s="9">
        <f>1000*$D389*E389/100</f>
        <v>72.875999999999991</v>
      </c>
      <c r="O389" s="9">
        <f>1000*$D389*F389/100</f>
        <v>59.46200000000001</v>
      </c>
      <c r="T389" s="50" t="s">
        <v>650</v>
      </c>
      <c r="U389" s="3" t="s">
        <v>649</v>
      </c>
      <c r="V389" s="4" t="s">
        <v>294</v>
      </c>
      <c r="X389" s="44" t="s">
        <v>623</v>
      </c>
      <c r="Y389" s="44" t="s">
        <v>626</v>
      </c>
    </row>
    <row r="390" spans="1:25" x14ac:dyDescent="0.25">
      <c r="X390" s="44"/>
      <c r="Y390" s="44"/>
    </row>
    <row r="391" spans="1:25" x14ac:dyDescent="0.25">
      <c r="A391" s="26" t="s">
        <v>314</v>
      </c>
      <c r="B391" s="26" t="s">
        <v>315</v>
      </c>
      <c r="C391" s="26" t="s">
        <v>314</v>
      </c>
      <c r="D391" s="26" t="s">
        <v>315</v>
      </c>
      <c r="E391" s="26" t="s">
        <v>314</v>
      </c>
      <c r="F391" s="26" t="s">
        <v>315</v>
      </c>
      <c r="G391" s="26" t="s">
        <v>314</v>
      </c>
      <c r="H391" s="26" t="s">
        <v>315</v>
      </c>
      <c r="I391" s="26" t="s">
        <v>314</v>
      </c>
      <c r="J391" s="26" t="s">
        <v>315</v>
      </c>
      <c r="K391" s="26" t="s">
        <v>314</v>
      </c>
      <c r="L391" s="26" t="s">
        <v>315</v>
      </c>
      <c r="M391" s="26" t="s">
        <v>315</v>
      </c>
      <c r="N391" s="26" t="s">
        <v>314</v>
      </c>
      <c r="O391" s="26" t="s">
        <v>315</v>
      </c>
      <c r="P391" s="26" t="s">
        <v>314</v>
      </c>
      <c r="Q391" s="26" t="s">
        <v>315</v>
      </c>
      <c r="R391" s="26" t="s">
        <v>314</v>
      </c>
      <c r="S391" s="26" t="s">
        <v>315</v>
      </c>
      <c r="T391" s="26" t="s">
        <v>314</v>
      </c>
      <c r="U391" s="26" t="s">
        <v>315</v>
      </c>
      <c r="V391" s="26" t="s">
        <v>314</v>
      </c>
      <c r="W391" s="26" t="s">
        <v>315</v>
      </c>
      <c r="X391" s="44"/>
      <c r="Y391" s="44"/>
    </row>
    <row r="392" spans="1:25" x14ac:dyDescent="0.25">
      <c r="A392" s="39">
        <f>COUNT(D394:D395)</f>
        <v>0</v>
      </c>
      <c r="B392" s="49" t="s">
        <v>45</v>
      </c>
      <c r="C392" s="49" t="s">
        <v>45</v>
      </c>
      <c r="V392" s="3"/>
      <c r="W392" s="3"/>
      <c r="X392" s="44"/>
      <c r="Y392" s="44"/>
    </row>
    <row r="393" spans="1:25" x14ac:dyDescent="0.25">
      <c r="A393" s="1" t="s">
        <v>150</v>
      </c>
      <c r="B393" s="1" t="s">
        <v>134</v>
      </c>
      <c r="C393" s="1" t="s">
        <v>141</v>
      </c>
      <c r="D393" s="2" t="s">
        <v>0</v>
      </c>
      <c r="E393" s="2" t="s">
        <v>10</v>
      </c>
      <c r="F393" s="2" t="s">
        <v>2</v>
      </c>
      <c r="G393" s="2" t="s">
        <v>9</v>
      </c>
      <c r="H393" s="2" t="s">
        <v>1</v>
      </c>
      <c r="I393" s="2" t="s">
        <v>3</v>
      </c>
      <c r="J393" s="2" t="s">
        <v>162</v>
      </c>
      <c r="K393" s="2" t="s">
        <v>163</v>
      </c>
      <c r="L393" s="2" t="s">
        <v>653</v>
      </c>
      <c r="M393" s="2" t="s">
        <v>640</v>
      </c>
      <c r="N393" s="2" t="s">
        <v>11</v>
      </c>
      <c r="O393" s="2" t="s">
        <v>4</v>
      </c>
      <c r="P393" s="2" t="s">
        <v>12</v>
      </c>
      <c r="Q393" s="2" t="s">
        <v>857</v>
      </c>
      <c r="R393" s="2" t="s">
        <v>164</v>
      </c>
      <c r="S393" s="2" t="s">
        <v>165</v>
      </c>
      <c r="T393" s="2" t="s">
        <v>44</v>
      </c>
      <c r="U393" s="2" t="s">
        <v>639</v>
      </c>
      <c r="V393" s="8" t="s">
        <v>5</v>
      </c>
      <c r="W393" s="15" t="s">
        <v>64</v>
      </c>
      <c r="X393" s="44"/>
      <c r="Y393" s="44"/>
    </row>
    <row r="394" spans="1:25" x14ac:dyDescent="0.25">
      <c r="N394" s="9">
        <f>1000*D394*E394/100</f>
        <v>0</v>
      </c>
      <c r="V394" s="3"/>
      <c r="W394" s="3"/>
      <c r="X394" s="44"/>
      <c r="Y394" s="44"/>
    </row>
    <row r="395" spans="1:25" x14ac:dyDescent="0.25">
      <c r="N395" s="9">
        <f>1000*D395*E395/100</f>
        <v>0</v>
      </c>
      <c r="V395" s="3"/>
      <c r="W395" s="3"/>
      <c r="X395" s="44"/>
      <c r="Y395" s="44"/>
    </row>
    <row r="396" spans="1:25" x14ac:dyDescent="0.25">
      <c r="X396" s="44"/>
      <c r="Y396" s="44"/>
    </row>
    <row r="397" spans="1:25" x14ac:dyDescent="0.25">
      <c r="A397" s="26" t="s">
        <v>325</v>
      </c>
      <c r="B397" s="26" t="s">
        <v>325</v>
      </c>
      <c r="C397" s="26" t="s">
        <v>325</v>
      </c>
      <c r="D397" s="26" t="s">
        <v>325</v>
      </c>
      <c r="E397" s="26" t="s">
        <v>325</v>
      </c>
      <c r="F397" s="26" t="s">
        <v>325</v>
      </c>
      <c r="G397" s="26" t="s">
        <v>325</v>
      </c>
      <c r="H397" s="26" t="s">
        <v>325</v>
      </c>
      <c r="I397" s="26" t="s">
        <v>325</v>
      </c>
      <c r="J397" s="26" t="s">
        <v>325</v>
      </c>
      <c r="K397" s="26" t="s">
        <v>325</v>
      </c>
      <c r="L397" s="26" t="s">
        <v>325</v>
      </c>
      <c r="M397" s="26" t="s">
        <v>325</v>
      </c>
      <c r="N397" s="26" t="s">
        <v>325</v>
      </c>
      <c r="O397" s="26" t="s">
        <v>325</v>
      </c>
      <c r="P397" s="26" t="s">
        <v>325</v>
      </c>
      <c r="Q397" s="26" t="s">
        <v>325</v>
      </c>
      <c r="R397" s="26" t="s">
        <v>325</v>
      </c>
      <c r="S397" s="26" t="s">
        <v>325</v>
      </c>
      <c r="T397" s="26" t="s">
        <v>325</v>
      </c>
      <c r="U397" s="26" t="s">
        <v>325</v>
      </c>
      <c r="V397" s="26" t="s">
        <v>325</v>
      </c>
      <c r="W397" s="26" t="s">
        <v>325</v>
      </c>
      <c r="X397" s="44"/>
      <c r="Y397" s="44"/>
    </row>
    <row r="398" spans="1:25" x14ac:dyDescent="0.25">
      <c r="A398" s="39">
        <f>COUNT(D400)</f>
        <v>0</v>
      </c>
      <c r="B398" s="49" t="s">
        <v>45</v>
      </c>
      <c r="C398" s="49" t="s">
        <v>45</v>
      </c>
      <c r="V398" s="3"/>
      <c r="W398" s="3"/>
      <c r="X398" s="44"/>
      <c r="Y398" s="44"/>
    </row>
    <row r="399" spans="1:25" x14ac:dyDescent="0.25">
      <c r="A399" s="1" t="s">
        <v>150</v>
      </c>
      <c r="B399" s="1" t="s">
        <v>134</v>
      </c>
      <c r="C399" s="1" t="s">
        <v>141</v>
      </c>
      <c r="D399" s="2" t="s">
        <v>0</v>
      </c>
      <c r="E399" s="2" t="s">
        <v>10</v>
      </c>
      <c r="F399" s="2" t="s">
        <v>2</v>
      </c>
      <c r="G399" s="2" t="s">
        <v>9</v>
      </c>
      <c r="H399" s="2" t="s">
        <v>1</v>
      </c>
      <c r="I399" s="2" t="s">
        <v>3</v>
      </c>
      <c r="J399" s="2" t="s">
        <v>162</v>
      </c>
      <c r="K399" s="2" t="s">
        <v>163</v>
      </c>
      <c r="L399" s="2" t="s">
        <v>653</v>
      </c>
      <c r="M399" s="2" t="s">
        <v>640</v>
      </c>
      <c r="N399" s="2" t="s">
        <v>11</v>
      </c>
      <c r="O399" s="2" t="s">
        <v>4</v>
      </c>
      <c r="P399" s="2" t="s">
        <v>12</v>
      </c>
      <c r="Q399" s="2" t="s">
        <v>857</v>
      </c>
      <c r="R399" s="2" t="s">
        <v>164</v>
      </c>
      <c r="S399" s="2" t="s">
        <v>165</v>
      </c>
      <c r="T399" s="2" t="s">
        <v>44</v>
      </c>
      <c r="U399" s="2" t="s">
        <v>639</v>
      </c>
      <c r="V399" s="8" t="s">
        <v>5</v>
      </c>
      <c r="W399" s="15" t="s">
        <v>64</v>
      </c>
      <c r="X399" s="44"/>
      <c r="Y399" s="44"/>
    </row>
    <row r="400" spans="1:25" x14ac:dyDescent="0.25">
      <c r="N400" s="9">
        <f>1000*D400*E400/100</f>
        <v>0</v>
      </c>
      <c r="V400" s="3"/>
      <c r="W400" s="3"/>
      <c r="X400" s="44"/>
      <c r="Y400" s="44"/>
    </row>
    <row r="401" spans="1:27" x14ac:dyDescent="0.25">
      <c r="V401" s="3"/>
      <c r="W401" s="3"/>
      <c r="X401" s="44"/>
      <c r="Y401" s="44"/>
    </row>
    <row r="402" spans="1:27" x14ac:dyDescent="0.25">
      <c r="A402" s="26" t="s">
        <v>328</v>
      </c>
      <c r="B402" s="26" t="s">
        <v>329</v>
      </c>
      <c r="C402" s="26" t="s">
        <v>328</v>
      </c>
      <c r="D402" s="26" t="s">
        <v>329</v>
      </c>
      <c r="E402" s="26" t="s">
        <v>328</v>
      </c>
      <c r="F402" s="26" t="s">
        <v>329</v>
      </c>
      <c r="G402" s="26" t="s">
        <v>328</v>
      </c>
      <c r="H402" s="26" t="s">
        <v>329</v>
      </c>
      <c r="I402" s="26" t="s">
        <v>328</v>
      </c>
      <c r="J402" s="26" t="s">
        <v>329</v>
      </c>
      <c r="K402" s="26" t="s">
        <v>328</v>
      </c>
      <c r="L402" s="26" t="s">
        <v>329</v>
      </c>
      <c r="M402" s="26" t="s">
        <v>329</v>
      </c>
      <c r="N402" s="26" t="s">
        <v>328</v>
      </c>
      <c r="O402" s="26" t="s">
        <v>329</v>
      </c>
      <c r="P402" s="26" t="s">
        <v>328</v>
      </c>
      <c r="Q402" s="26" t="s">
        <v>329</v>
      </c>
      <c r="R402" s="26" t="s">
        <v>328</v>
      </c>
      <c r="S402" s="26" t="s">
        <v>329</v>
      </c>
      <c r="T402" s="26" t="s">
        <v>328</v>
      </c>
      <c r="U402" s="26" t="s">
        <v>329</v>
      </c>
      <c r="V402" s="26" t="s">
        <v>328</v>
      </c>
      <c r="W402" s="26" t="s">
        <v>329</v>
      </c>
      <c r="X402" s="44"/>
      <c r="Y402" s="44"/>
    </row>
    <row r="403" spans="1:27" x14ac:dyDescent="0.25">
      <c r="A403" s="39">
        <f>COUNT(D405)</f>
        <v>0</v>
      </c>
      <c r="B403" s="49" t="s">
        <v>45</v>
      </c>
      <c r="C403" s="49" t="s">
        <v>45</v>
      </c>
      <c r="X403" s="44"/>
      <c r="Y403" s="44"/>
    </row>
    <row r="404" spans="1:27" x14ac:dyDescent="0.25">
      <c r="A404" s="1" t="s">
        <v>150</v>
      </c>
      <c r="B404" s="1" t="s">
        <v>134</v>
      </c>
      <c r="C404" s="1" t="s">
        <v>141</v>
      </c>
      <c r="D404" s="2" t="s">
        <v>0</v>
      </c>
      <c r="E404" s="2" t="s">
        <v>10</v>
      </c>
      <c r="F404" s="2" t="s">
        <v>2</v>
      </c>
      <c r="G404" s="2" t="s">
        <v>9</v>
      </c>
      <c r="H404" s="2" t="s">
        <v>1</v>
      </c>
      <c r="I404" s="2" t="s">
        <v>3</v>
      </c>
      <c r="J404" s="2" t="s">
        <v>162</v>
      </c>
      <c r="K404" s="2" t="s">
        <v>163</v>
      </c>
      <c r="L404" s="2" t="s">
        <v>653</v>
      </c>
      <c r="M404" s="2" t="s">
        <v>640</v>
      </c>
      <c r="N404" s="2" t="s">
        <v>11</v>
      </c>
      <c r="O404" s="2" t="s">
        <v>4</v>
      </c>
      <c r="P404" s="2" t="s">
        <v>12</v>
      </c>
      <c r="Q404" s="2" t="s">
        <v>857</v>
      </c>
      <c r="R404" s="2" t="s">
        <v>164</v>
      </c>
      <c r="S404" s="2" t="s">
        <v>165</v>
      </c>
      <c r="T404" s="2" t="s">
        <v>44</v>
      </c>
      <c r="U404" s="2" t="s">
        <v>639</v>
      </c>
      <c r="V404" s="8" t="s">
        <v>5</v>
      </c>
      <c r="W404" s="15" t="s">
        <v>64</v>
      </c>
      <c r="X404" s="44"/>
      <c r="Y404" s="44"/>
    </row>
    <row r="405" spans="1:27" s="48" customFormat="1" x14ac:dyDescent="0.25">
      <c r="N405" s="55">
        <f>1000*D405*E405/100</f>
        <v>0</v>
      </c>
      <c r="V405" s="52"/>
      <c r="W405" s="52"/>
      <c r="X405" s="44"/>
      <c r="Y405" s="44"/>
      <c r="Z405" s="3"/>
      <c r="AA405" s="3"/>
    </row>
    <row r="406" spans="1:27" s="48" customFormat="1" x14ac:dyDescent="0.25">
      <c r="V406" s="52"/>
      <c r="W406" s="52"/>
      <c r="X406" s="44"/>
      <c r="Y406" s="44"/>
      <c r="Z406" s="3"/>
      <c r="AA406" s="3"/>
    </row>
    <row r="407" spans="1:27" s="48" customFormat="1" x14ac:dyDescent="0.25">
      <c r="A407" s="26" t="s">
        <v>158</v>
      </c>
      <c r="B407" s="26" t="s">
        <v>158</v>
      </c>
      <c r="C407" s="26" t="s">
        <v>158</v>
      </c>
      <c r="D407" s="26" t="s">
        <v>158</v>
      </c>
      <c r="E407" s="26" t="s">
        <v>158</v>
      </c>
      <c r="F407" s="26" t="s">
        <v>158</v>
      </c>
      <c r="G407" s="26" t="s">
        <v>158</v>
      </c>
      <c r="H407" s="26" t="s">
        <v>158</v>
      </c>
      <c r="I407" s="26" t="s">
        <v>158</v>
      </c>
      <c r="J407" s="26" t="s">
        <v>158</v>
      </c>
      <c r="K407" s="26" t="s">
        <v>158</v>
      </c>
      <c r="L407" s="26" t="s">
        <v>158</v>
      </c>
      <c r="M407" s="26" t="s">
        <v>158</v>
      </c>
      <c r="N407" s="26" t="s">
        <v>158</v>
      </c>
      <c r="O407" s="26" t="s">
        <v>158</v>
      </c>
      <c r="P407" s="26" t="s">
        <v>158</v>
      </c>
      <c r="Q407" s="26" t="s">
        <v>158</v>
      </c>
      <c r="R407" s="26" t="s">
        <v>158</v>
      </c>
      <c r="S407" s="26" t="s">
        <v>158</v>
      </c>
      <c r="T407" s="26" t="s">
        <v>158</v>
      </c>
      <c r="U407" s="26" t="s">
        <v>158</v>
      </c>
      <c r="V407" s="26" t="s">
        <v>158</v>
      </c>
      <c r="W407" s="26" t="s">
        <v>158</v>
      </c>
      <c r="X407" s="44"/>
      <c r="Y407" s="44"/>
      <c r="Z407" s="3"/>
      <c r="AA407" s="3"/>
    </row>
    <row r="408" spans="1:27" s="48" customFormat="1" x14ac:dyDescent="0.25">
      <c r="A408" s="39">
        <f>COUNT(D410:D411)</f>
        <v>0</v>
      </c>
      <c r="B408" s="54" t="s">
        <v>45</v>
      </c>
      <c r="C408" s="54" t="s">
        <v>45</v>
      </c>
      <c r="X408" s="44"/>
      <c r="Y408" s="44"/>
      <c r="Z408" s="3"/>
      <c r="AA408" s="3"/>
    </row>
    <row r="409" spans="1:27" s="48" customFormat="1" x14ac:dyDescent="0.25">
      <c r="A409" s="1" t="s">
        <v>150</v>
      </c>
      <c r="B409" s="1" t="s">
        <v>134</v>
      </c>
      <c r="C409" s="1" t="s">
        <v>141</v>
      </c>
      <c r="D409" s="2" t="s">
        <v>0</v>
      </c>
      <c r="E409" s="2" t="s">
        <v>10</v>
      </c>
      <c r="F409" s="2" t="s">
        <v>2</v>
      </c>
      <c r="G409" s="2" t="s">
        <v>9</v>
      </c>
      <c r="H409" s="2" t="s">
        <v>1</v>
      </c>
      <c r="I409" s="2" t="s">
        <v>3</v>
      </c>
      <c r="J409" s="2" t="s">
        <v>162</v>
      </c>
      <c r="K409" s="2" t="s">
        <v>163</v>
      </c>
      <c r="L409" s="2" t="s">
        <v>653</v>
      </c>
      <c r="M409" s="2" t="s">
        <v>640</v>
      </c>
      <c r="N409" s="2" t="s">
        <v>11</v>
      </c>
      <c r="O409" s="2" t="s">
        <v>4</v>
      </c>
      <c r="P409" s="2" t="s">
        <v>12</v>
      </c>
      <c r="Q409" s="2" t="s">
        <v>857</v>
      </c>
      <c r="R409" s="2" t="s">
        <v>164</v>
      </c>
      <c r="S409" s="2" t="s">
        <v>165</v>
      </c>
      <c r="T409" s="2" t="s">
        <v>44</v>
      </c>
      <c r="U409" s="2" t="s">
        <v>639</v>
      </c>
      <c r="V409" s="8" t="s">
        <v>5</v>
      </c>
      <c r="W409" s="15" t="s">
        <v>64</v>
      </c>
      <c r="X409" s="44"/>
      <c r="Y409" s="44"/>
      <c r="Z409" s="3"/>
      <c r="AA409" s="3"/>
    </row>
    <row r="410" spans="1:27" s="48" customFormat="1" x14ac:dyDescent="0.25">
      <c r="N410" s="55">
        <f>1000*D410*E410/100</f>
        <v>0</v>
      </c>
      <c r="X410" s="44"/>
      <c r="Y410" s="44"/>
      <c r="Z410" s="3"/>
      <c r="AA410" s="3"/>
    </row>
    <row r="411" spans="1:27" s="48" customFormat="1" x14ac:dyDescent="0.25">
      <c r="N411" s="55">
        <f>1000*D411*E411/100</f>
        <v>0</v>
      </c>
      <c r="X411" s="44"/>
      <c r="Y411" s="44"/>
      <c r="Z411" s="3"/>
      <c r="AA411" s="3"/>
    </row>
    <row r="412" spans="1:27" s="48" customFormat="1" x14ac:dyDescent="0.25">
      <c r="V412" s="52"/>
      <c r="W412" s="52"/>
      <c r="X412" s="44"/>
      <c r="Y412" s="44"/>
      <c r="Z412" s="3"/>
      <c r="AA412" s="3"/>
    </row>
    <row r="413" spans="1:27" s="48" customFormat="1" x14ac:dyDescent="0.25">
      <c r="A413" s="26" t="s">
        <v>156</v>
      </c>
      <c r="B413" s="26" t="s">
        <v>156</v>
      </c>
      <c r="C413" s="26" t="s">
        <v>156</v>
      </c>
      <c r="D413" s="26" t="s">
        <v>156</v>
      </c>
      <c r="E413" s="26" t="s">
        <v>156</v>
      </c>
      <c r="F413" s="26" t="s">
        <v>156</v>
      </c>
      <c r="G413" s="26" t="s">
        <v>156</v>
      </c>
      <c r="H413" s="26" t="s">
        <v>156</v>
      </c>
      <c r="I413" s="26" t="s">
        <v>156</v>
      </c>
      <c r="J413" s="26" t="s">
        <v>156</v>
      </c>
      <c r="K413" s="26" t="s">
        <v>156</v>
      </c>
      <c r="L413" s="26" t="s">
        <v>156</v>
      </c>
      <c r="M413" s="26" t="s">
        <v>156</v>
      </c>
      <c r="N413" s="26" t="s">
        <v>156</v>
      </c>
      <c r="O413" s="26" t="s">
        <v>156</v>
      </c>
      <c r="P413" s="26" t="s">
        <v>156</v>
      </c>
      <c r="Q413" s="26" t="s">
        <v>156</v>
      </c>
      <c r="R413" s="26" t="s">
        <v>156</v>
      </c>
      <c r="S413" s="26" t="s">
        <v>156</v>
      </c>
      <c r="T413" s="26" t="s">
        <v>156</v>
      </c>
      <c r="U413" s="26" t="s">
        <v>156</v>
      </c>
      <c r="V413" s="26" t="s">
        <v>156</v>
      </c>
      <c r="W413" s="26" t="s">
        <v>156</v>
      </c>
      <c r="X413" s="44"/>
      <c r="Y413" s="44"/>
      <c r="Z413" s="3"/>
      <c r="AA413" s="3"/>
    </row>
    <row r="414" spans="1:27" s="48" customFormat="1" x14ac:dyDescent="0.25">
      <c r="A414" s="39">
        <f>COUNT(D416:D417)</f>
        <v>0</v>
      </c>
      <c r="B414" s="54" t="s">
        <v>45</v>
      </c>
      <c r="C414" s="54" t="s">
        <v>45</v>
      </c>
      <c r="X414" s="44"/>
      <c r="Y414" s="44"/>
      <c r="Z414" s="3"/>
      <c r="AA414" s="3"/>
    </row>
    <row r="415" spans="1:27" s="48" customFormat="1" x14ac:dyDescent="0.25">
      <c r="A415" s="1" t="s">
        <v>150</v>
      </c>
      <c r="B415" s="1" t="s">
        <v>134</v>
      </c>
      <c r="C415" s="1" t="s">
        <v>141</v>
      </c>
      <c r="D415" s="2" t="s">
        <v>0</v>
      </c>
      <c r="E415" s="2" t="s">
        <v>10</v>
      </c>
      <c r="F415" s="2" t="s">
        <v>2</v>
      </c>
      <c r="G415" s="2" t="s">
        <v>9</v>
      </c>
      <c r="H415" s="2" t="s">
        <v>1</v>
      </c>
      <c r="I415" s="2" t="s">
        <v>3</v>
      </c>
      <c r="J415" s="2" t="s">
        <v>162</v>
      </c>
      <c r="K415" s="2" t="s">
        <v>163</v>
      </c>
      <c r="L415" s="2" t="s">
        <v>653</v>
      </c>
      <c r="M415" s="2" t="s">
        <v>640</v>
      </c>
      <c r="N415" s="2" t="s">
        <v>11</v>
      </c>
      <c r="O415" s="2" t="s">
        <v>4</v>
      </c>
      <c r="P415" s="2" t="s">
        <v>12</v>
      </c>
      <c r="Q415" s="2" t="s">
        <v>857</v>
      </c>
      <c r="R415" s="2" t="s">
        <v>164</v>
      </c>
      <c r="S415" s="2" t="s">
        <v>165</v>
      </c>
      <c r="T415" s="2" t="s">
        <v>44</v>
      </c>
      <c r="U415" s="2" t="s">
        <v>639</v>
      </c>
      <c r="V415" s="8" t="s">
        <v>5</v>
      </c>
      <c r="W415" s="15" t="s">
        <v>64</v>
      </c>
      <c r="X415" s="44"/>
      <c r="Y415" s="44"/>
      <c r="Z415" s="3"/>
      <c r="AA415" s="3"/>
    </row>
    <row r="416" spans="1:27" s="48" customFormat="1" x14ac:dyDescent="0.25">
      <c r="N416" s="55">
        <f>1000*D416*E416/100</f>
        <v>0</v>
      </c>
      <c r="X416" s="44"/>
      <c r="Y416" s="44"/>
      <c r="Z416" s="3"/>
      <c r="AA416" s="3"/>
    </row>
    <row r="417" spans="1:27" s="48" customFormat="1" x14ac:dyDescent="0.25">
      <c r="N417" s="55">
        <f>1000*D417*E417/100</f>
        <v>0</v>
      </c>
      <c r="X417" s="44"/>
      <c r="Y417" s="44"/>
      <c r="Z417" s="3"/>
      <c r="AA417" s="3"/>
    </row>
    <row r="418" spans="1:27" x14ac:dyDescent="0.25">
      <c r="X418" s="44"/>
      <c r="Y418" s="44"/>
    </row>
    <row r="419" spans="1:27" x14ac:dyDescent="0.25">
      <c r="A419" s="26" t="s">
        <v>446</v>
      </c>
      <c r="B419" s="26" t="s">
        <v>446</v>
      </c>
      <c r="C419" s="26" t="s">
        <v>446</v>
      </c>
      <c r="D419" s="26" t="s">
        <v>446</v>
      </c>
      <c r="E419" s="26" t="s">
        <v>446</v>
      </c>
      <c r="F419" s="26" t="s">
        <v>446</v>
      </c>
      <c r="G419" s="26" t="s">
        <v>446</v>
      </c>
      <c r="H419" s="26" t="s">
        <v>446</v>
      </c>
      <c r="I419" s="26" t="s">
        <v>446</v>
      </c>
      <c r="J419" s="26" t="s">
        <v>446</v>
      </c>
      <c r="K419" s="26" t="s">
        <v>446</v>
      </c>
      <c r="L419" s="26" t="s">
        <v>446</v>
      </c>
      <c r="M419" s="26" t="s">
        <v>446</v>
      </c>
      <c r="N419" s="26" t="s">
        <v>446</v>
      </c>
      <c r="O419" s="26" t="s">
        <v>446</v>
      </c>
      <c r="P419" s="26" t="s">
        <v>446</v>
      </c>
      <c r="Q419" s="26" t="s">
        <v>446</v>
      </c>
      <c r="R419" s="26" t="s">
        <v>446</v>
      </c>
      <c r="S419" s="26" t="s">
        <v>446</v>
      </c>
      <c r="T419" s="26" t="s">
        <v>446</v>
      </c>
      <c r="U419" s="26" t="s">
        <v>446</v>
      </c>
      <c r="V419" s="26" t="s">
        <v>446</v>
      </c>
      <c r="W419" s="26" t="s">
        <v>446</v>
      </c>
      <c r="X419" s="44"/>
      <c r="Y419" s="44"/>
    </row>
    <row r="420" spans="1:27" x14ac:dyDescent="0.25">
      <c r="A420" s="39">
        <f>COUNT(D422:D423)</f>
        <v>0</v>
      </c>
      <c r="B420" s="49" t="s">
        <v>45</v>
      </c>
      <c r="C420" s="49" t="s">
        <v>45</v>
      </c>
      <c r="V420" s="3"/>
      <c r="W420" s="3"/>
      <c r="X420" s="44"/>
      <c r="Y420" s="44"/>
    </row>
    <row r="421" spans="1:27" x14ac:dyDescent="0.25">
      <c r="A421" s="1" t="s">
        <v>150</v>
      </c>
      <c r="B421" s="1" t="s">
        <v>134</v>
      </c>
      <c r="C421" s="1" t="s">
        <v>141</v>
      </c>
      <c r="D421" s="2" t="s">
        <v>0</v>
      </c>
      <c r="E421" s="2" t="s">
        <v>10</v>
      </c>
      <c r="F421" s="2" t="s">
        <v>2</v>
      </c>
      <c r="G421" s="2" t="s">
        <v>9</v>
      </c>
      <c r="H421" s="2" t="s">
        <v>1</v>
      </c>
      <c r="I421" s="2" t="s">
        <v>3</v>
      </c>
      <c r="J421" s="2" t="s">
        <v>162</v>
      </c>
      <c r="K421" s="2" t="s">
        <v>163</v>
      </c>
      <c r="L421" s="2" t="s">
        <v>653</v>
      </c>
      <c r="M421" s="2" t="s">
        <v>640</v>
      </c>
      <c r="N421" s="2" t="s">
        <v>11</v>
      </c>
      <c r="O421" s="2" t="s">
        <v>4</v>
      </c>
      <c r="P421" s="2" t="s">
        <v>12</v>
      </c>
      <c r="Q421" s="2" t="s">
        <v>857</v>
      </c>
      <c r="R421" s="2" t="s">
        <v>164</v>
      </c>
      <c r="S421" s="2" t="s">
        <v>165</v>
      </c>
      <c r="T421" s="2" t="s">
        <v>44</v>
      </c>
      <c r="U421" s="2" t="s">
        <v>639</v>
      </c>
      <c r="V421" s="8" t="s">
        <v>5</v>
      </c>
      <c r="W421" s="15" t="s">
        <v>64</v>
      </c>
      <c r="X421" s="44"/>
      <c r="Y421" s="44"/>
    </row>
    <row r="422" spans="1:27" x14ac:dyDescent="0.25">
      <c r="N422" s="9">
        <f>1000*D422*E422/100</f>
        <v>0</v>
      </c>
      <c r="V422" s="3"/>
      <c r="W422" s="3"/>
      <c r="X422" s="44"/>
      <c r="Y422" s="44"/>
    </row>
    <row r="423" spans="1:27" x14ac:dyDescent="0.25">
      <c r="N423" s="9">
        <f>1000*D423*E423/100</f>
        <v>0</v>
      </c>
      <c r="V423" s="3"/>
      <c r="W423" s="3"/>
      <c r="X423" s="44"/>
      <c r="Y423" s="44"/>
    </row>
    <row r="424" spans="1:27" x14ac:dyDescent="0.25">
      <c r="X424" s="44"/>
      <c r="Y424" s="44"/>
    </row>
    <row r="425" spans="1:27" x14ac:dyDescent="0.25">
      <c r="A425" s="26" t="s">
        <v>1096</v>
      </c>
      <c r="B425" s="26" t="s">
        <v>456</v>
      </c>
      <c r="C425" s="26" t="s">
        <v>1096</v>
      </c>
      <c r="D425" s="26" t="s">
        <v>456</v>
      </c>
      <c r="E425" s="26" t="s">
        <v>1096</v>
      </c>
      <c r="F425" s="26" t="s">
        <v>456</v>
      </c>
      <c r="G425" s="26" t="s">
        <v>1096</v>
      </c>
      <c r="H425" s="26" t="s">
        <v>456</v>
      </c>
      <c r="I425" s="26" t="s">
        <v>1096</v>
      </c>
      <c r="J425" s="26" t="s">
        <v>456</v>
      </c>
      <c r="K425" s="26" t="s">
        <v>1096</v>
      </c>
      <c r="L425" s="26" t="s">
        <v>456</v>
      </c>
      <c r="M425" s="26" t="s">
        <v>1096</v>
      </c>
      <c r="N425" s="26" t="s">
        <v>456</v>
      </c>
      <c r="O425" s="26" t="s">
        <v>1096</v>
      </c>
      <c r="P425" s="26" t="s">
        <v>456</v>
      </c>
      <c r="Q425" s="26" t="s">
        <v>1096</v>
      </c>
      <c r="R425" s="26" t="s">
        <v>456</v>
      </c>
      <c r="S425" s="26" t="s">
        <v>1096</v>
      </c>
      <c r="T425" s="26" t="s">
        <v>456</v>
      </c>
      <c r="U425" s="26" t="s">
        <v>1096</v>
      </c>
      <c r="V425" s="26" t="s">
        <v>456</v>
      </c>
      <c r="W425" s="26" t="s">
        <v>1096</v>
      </c>
      <c r="X425" s="44"/>
      <c r="Y425" s="44"/>
    </row>
    <row r="426" spans="1:27" x14ac:dyDescent="0.25">
      <c r="A426" s="39">
        <f>COUNT(D428:D428)</f>
        <v>1</v>
      </c>
      <c r="B426" s="49" t="s">
        <v>45</v>
      </c>
      <c r="C426" s="49" t="s">
        <v>45</v>
      </c>
      <c r="D426" s="19">
        <f>SUM(D428)</f>
        <v>40.639000000000003</v>
      </c>
      <c r="E426" s="14">
        <f>100*(N426/1000)/D426</f>
        <v>0.24</v>
      </c>
      <c r="F426" s="14">
        <f>100*(O426/1000)/D426</f>
        <v>0.18696818327222611</v>
      </c>
      <c r="G426" s="14">
        <f>100*(P426/1000)/D426</f>
        <v>1.3484091636113096E-2</v>
      </c>
      <c r="N426" s="19">
        <f t="shared" ref="N426:S426" si="125">SUM(N428)</f>
        <v>97.533599999999993</v>
      </c>
      <c r="O426" s="19">
        <f t="shared" si="125"/>
        <v>75.981999999999985</v>
      </c>
      <c r="P426" s="19">
        <f t="shared" si="125"/>
        <v>5.4798000000000009</v>
      </c>
      <c r="Q426" s="19">
        <f t="shared" si="125"/>
        <v>3.94069</v>
      </c>
      <c r="R426" s="19">
        <f t="shared" si="125"/>
        <v>12.314909999999999</v>
      </c>
      <c r="S426" s="19">
        <f t="shared" si="125"/>
        <v>1.2191700000000001</v>
      </c>
      <c r="V426" s="3"/>
      <c r="W426" s="3"/>
      <c r="X426" s="44"/>
      <c r="Y426" s="44"/>
    </row>
    <row r="427" spans="1:27" x14ac:dyDescent="0.25">
      <c r="A427" s="1" t="s">
        <v>150</v>
      </c>
      <c r="B427" s="1" t="s">
        <v>134</v>
      </c>
      <c r="C427" s="1" t="s">
        <v>141</v>
      </c>
      <c r="D427" s="2" t="s">
        <v>0</v>
      </c>
      <c r="E427" s="2" t="s">
        <v>10</v>
      </c>
      <c r="F427" s="2" t="s">
        <v>2</v>
      </c>
      <c r="G427" s="2" t="s">
        <v>9</v>
      </c>
      <c r="H427" s="2" t="s">
        <v>1</v>
      </c>
      <c r="I427" s="2" t="s">
        <v>3</v>
      </c>
      <c r="J427" s="2" t="s">
        <v>162</v>
      </c>
      <c r="K427" s="2" t="s">
        <v>163</v>
      </c>
      <c r="L427" s="2" t="s">
        <v>653</v>
      </c>
      <c r="M427" s="2" t="s">
        <v>640</v>
      </c>
      <c r="N427" s="2" t="s">
        <v>11</v>
      </c>
      <c r="O427" s="2" t="s">
        <v>4</v>
      </c>
      <c r="P427" s="2" t="s">
        <v>12</v>
      </c>
      <c r="Q427" s="2" t="s">
        <v>857</v>
      </c>
      <c r="R427" s="2" t="s">
        <v>164</v>
      </c>
      <c r="S427" s="2" t="s">
        <v>165</v>
      </c>
      <c r="T427" s="2" t="s">
        <v>44</v>
      </c>
      <c r="U427" s="2" t="s">
        <v>639</v>
      </c>
      <c r="V427" s="8" t="s">
        <v>5</v>
      </c>
      <c r="W427" s="15" t="s">
        <v>64</v>
      </c>
      <c r="X427" s="44"/>
      <c r="Y427" s="44"/>
    </row>
    <row r="428" spans="1:27" x14ac:dyDescent="0.25">
      <c r="A428" s="48"/>
      <c r="B428" s="48" t="s">
        <v>1095</v>
      </c>
      <c r="C428" s="48" t="s">
        <v>145</v>
      </c>
      <c r="D428" s="82">
        <f>14.159+26.48</f>
        <v>40.639000000000003</v>
      </c>
      <c r="E428" s="58">
        <f>(0.24*14.159+0.24*26.48)/D428</f>
        <v>0.24</v>
      </c>
      <c r="F428" s="58">
        <f>(0.2*14.159+0.18*26.48)/D428</f>
        <v>0.18696818327222617</v>
      </c>
      <c r="G428" s="58">
        <f>(0.02*14.159+0.01*26.48)/D428</f>
        <v>1.3484091636113096E-2</v>
      </c>
      <c r="H428" s="58">
        <f>(0.03*14.159+0.03*26.48)/D428</f>
        <v>0.03</v>
      </c>
      <c r="I428" s="48"/>
      <c r="J428" s="58">
        <f>(0.11*14.159+0.09*26.48)/D428</f>
        <v>9.6968183272226185E-2</v>
      </c>
      <c r="K428" s="58">
        <f>(0.29*14.159+0.31*26.48)/D428</f>
        <v>0.3030318167277738</v>
      </c>
      <c r="L428" s="48"/>
      <c r="M428" s="48"/>
      <c r="N428" s="55">
        <f>1000*D428*E428/100</f>
        <v>97.533599999999993</v>
      </c>
      <c r="O428" s="55">
        <f>1000*D428*F428/100</f>
        <v>75.981999999999985</v>
      </c>
      <c r="P428" s="55">
        <f>1000*D428*G428/100</f>
        <v>5.4798000000000009</v>
      </c>
      <c r="Q428" s="55">
        <f>$D428*J428</f>
        <v>3.94069</v>
      </c>
      <c r="R428" s="55">
        <f>$D428*K428</f>
        <v>12.314909999999999</v>
      </c>
      <c r="S428" s="55">
        <f>$D428*H428</f>
        <v>1.2191700000000001</v>
      </c>
      <c r="T428" s="48" t="s">
        <v>1116</v>
      </c>
      <c r="U428" s="48" t="s">
        <v>1099</v>
      </c>
      <c r="V428" s="48" t="s">
        <v>1098</v>
      </c>
      <c r="W428" s="48"/>
      <c r="X428" s="44" t="s">
        <v>623</v>
      </c>
      <c r="Y428" s="44" t="s">
        <v>580</v>
      </c>
    </row>
    <row r="429" spans="1:27" x14ac:dyDescent="0.25">
      <c r="V429" s="3"/>
      <c r="W429" s="3"/>
      <c r="X429" s="44"/>
      <c r="Y429" s="44"/>
    </row>
    <row r="430" spans="1:27" x14ac:dyDescent="0.25">
      <c r="A430" s="26" t="s">
        <v>459</v>
      </c>
      <c r="B430" s="26" t="s">
        <v>459</v>
      </c>
      <c r="C430" s="26" t="s">
        <v>459</v>
      </c>
      <c r="D430" s="26" t="s">
        <v>459</v>
      </c>
      <c r="E430" s="26" t="s">
        <v>459</v>
      </c>
      <c r="F430" s="26" t="s">
        <v>459</v>
      </c>
      <c r="G430" s="26" t="s">
        <v>459</v>
      </c>
      <c r="H430" s="26" t="s">
        <v>459</v>
      </c>
      <c r="I430" s="26" t="s">
        <v>459</v>
      </c>
      <c r="J430" s="26" t="s">
        <v>459</v>
      </c>
      <c r="K430" s="26" t="s">
        <v>459</v>
      </c>
      <c r="L430" s="26" t="s">
        <v>459</v>
      </c>
      <c r="M430" s="26" t="s">
        <v>459</v>
      </c>
      <c r="N430" s="26" t="s">
        <v>459</v>
      </c>
      <c r="O430" s="26" t="s">
        <v>459</v>
      </c>
      <c r="P430" s="26" t="s">
        <v>459</v>
      </c>
      <c r="Q430" s="26" t="s">
        <v>459</v>
      </c>
      <c r="R430" s="26" t="s">
        <v>459</v>
      </c>
      <c r="S430" s="26" t="s">
        <v>459</v>
      </c>
      <c r="T430" s="26" t="s">
        <v>459</v>
      </c>
      <c r="U430" s="26" t="s">
        <v>459</v>
      </c>
      <c r="V430" s="26" t="s">
        <v>459</v>
      </c>
      <c r="W430" s="26" t="s">
        <v>459</v>
      </c>
      <c r="X430" s="44"/>
      <c r="Y430" s="44"/>
    </row>
    <row r="431" spans="1:27" x14ac:dyDescent="0.25">
      <c r="A431" s="39">
        <f>COUNT(D433:D433)</f>
        <v>0</v>
      </c>
      <c r="B431" s="49" t="s">
        <v>45</v>
      </c>
      <c r="C431" s="49" t="s">
        <v>45</v>
      </c>
      <c r="V431" s="3"/>
      <c r="W431" s="3"/>
      <c r="X431" s="44"/>
      <c r="Y431" s="44"/>
    </row>
    <row r="432" spans="1:27" x14ac:dyDescent="0.25">
      <c r="A432" s="1" t="s">
        <v>150</v>
      </c>
      <c r="B432" s="1" t="s">
        <v>134</v>
      </c>
      <c r="C432" s="1" t="s">
        <v>141</v>
      </c>
      <c r="D432" s="2" t="s">
        <v>0</v>
      </c>
      <c r="E432" s="2" t="s">
        <v>10</v>
      </c>
      <c r="F432" s="2" t="s">
        <v>2</v>
      </c>
      <c r="G432" s="2" t="s">
        <v>9</v>
      </c>
      <c r="H432" s="2" t="s">
        <v>1</v>
      </c>
      <c r="I432" s="2" t="s">
        <v>3</v>
      </c>
      <c r="J432" s="2" t="s">
        <v>162</v>
      </c>
      <c r="K432" s="2" t="s">
        <v>163</v>
      </c>
      <c r="L432" s="2" t="s">
        <v>653</v>
      </c>
      <c r="M432" s="2" t="s">
        <v>640</v>
      </c>
      <c r="N432" s="2" t="s">
        <v>11</v>
      </c>
      <c r="O432" s="2" t="s">
        <v>4</v>
      </c>
      <c r="P432" s="2" t="s">
        <v>12</v>
      </c>
      <c r="Q432" s="2" t="s">
        <v>857</v>
      </c>
      <c r="R432" s="2" t="s">
        <v>164</v>
      </c>
      <c r="S432" s="2" t="s">
        <v>165</v>
      </c>
      <c r="T432" s="2" t="s">
        <v>44</v>
      </c>
      <c r="U432" s="2" t="s">
        <v>639</v>
      </c>
      <c r="V432" s="8" t="s">
        <v>5</v>
      </c>
      <c r="W432" s="15" t="s">
        <v>64</v>
      </c>
      <c r="X432" s="44"/>
      <c r="Y432" s="44"/>
    </row>
    <row r="433" spans="1:25" x14ac:dyDescent="0.25">
      <c r="N433" s="9">
        <f>1000*D433*E433/100</f>
        <v>0</v>
      </c>
      <c r="V433" s="3"/>
      <c r="W433" s="3"/>
      <c r="X433" s="44"/>
      <c r="Y433" s="44"/>
    </row>
    <row r="434" spans="1:25" x14ac:dyDescent="0.25">
      <c r="N434" s="9">
        <f>1000*D434*E434/100</f>
        <v>0</v>
      </c>
      <c r="V434" s="3"/>
      <c r="W434" s="3"/>
      <c r="X434" s="44"/>
      <c r="Y434" s="44"/>
    </row>
    <row r="435" spans="1:25" x14ac:dyDescent="0.25">
      <c r="A435" s="26" t="s">
        <v>464</v>
      </c>
      <c r="B435" s="26" t="s">
        <v>464</v>
      </c>
      <c r="C435" s="26" t="s">
        <v>464</v>
      </c>
      <c r="D435" s="26" t="s">
        <v>464</v>
      </c>
      <c r="E435" s="26" t="s">
        <v>464</v>
      </c>
      <c r="F435" s="26" t="s">
        <v>464</v>
      </c>
      <c r="G435" s="26" t="s">
        <v>464</v>
      </c>
      <c r="H435" s="26" t="s">
        <v>464</v>
      </c>
      <c r="I435" s="26" t="s">
        <v>464</v>
      </c>
      <c r="J435" s="26" t="s">
        <v>464</v>
      </c>
      <c r="K435" s="26" t="s">
        <v>464</v>
      </c>
      <c r="L435" s="26" t="s">
        <v>464</v>
      </c>
      <c r="M435" s="26" t="s">
        <v>464</v>
      </c>
      <c r="N435" s="26" t="s">
        <v>464</v>
      </c>
      <c r="O435" s="26" t="s">
        <v>464</v>
      </c>
      <c r="P435" s="26" t="s">
        <v>464</v>
      </c>
      <c r="Q435" s="26" t="s">
        <v>464</v>
      </c>
      <c r="R435" s="26" t="s">
        <v>464</v>
      </c>
      <c r="S435" s="26" t="s">
        <v>464</v>
      </c>
      <c r="T435" s="26" t="s">
        <v>464</v>
      </c>
      <c r="U435" s="26" t="s">
        <v>464</v>
      </c>
      <c r="V435" s="26" t="s">
        <v>464</v>
      </c>
      <c r="W435" s="26" t="s">
        <v>464</v>
      </c>
      <c r="X435" s="44"/>
      <c r="Y435" s="44"/>
    </row>
    <row r="436" spans="1:25" x14ac:dyDescent="0.25">
      <c r="A436" s="39">
        <f>COUNT(D438:D439)</f>
        <v>0</v>
      </c>
      <c r="B436" s="49" t="s">
        <v>45</v>
      </c>
      <c r="C436" s="49" t="s">
        <v>45</v>
      </c>
      <c r="V436" s="3"/>
      <c r="W436" s="3"/>
      <c r="X436" s="44"/>
      <c r="Y436" s="44"/>
    </row>
    <row r="437" spans="1:25" x14ac:dyDescent="0.25">
      <c r="A437" s="1" t="s">
        <v>150</v>
      </c>
      <c r="B437" s="1" t="s">
        <v>134</v>
      </c>
      <c r="C437" s="1" t="s">
        <v>141</v>
      </c>
      <c r="D437" s="2" t="s">
        <v>0</v>
      </c>
      <c r="E437" s="2" t="s">
        <v>10</v>
      </c>
      <c r="F437" s="2" t="s">
        <v>2</v>
      </c>
      <c r="G437" s="2" t="s">
        <v>9</v>
      </c>
      <c r="H437" s="2" t="s">
        <v>1</v>
      </c>
      <c r="I437" s="2" t="s">
        <v>3</v>
      </c>
      <c r="J437" s="2" t="s">
        <v>162</v>
      </c>
      <c r="K437" s="2" t="s">
        <v>163</v>
      </c>
      <c r="L437" s="2" t="s">
        <v>653</v>
      </c>
      <c r="M437" s="2" t="s">
        <v>640</v>
      </c>
      <c r="N437" s="2" t="s">
        <v>11</v>
      </c>
      <c r="O437" s="2" t="s">
        <v>4</v>
      </c>
      <c r="P437" s="2" t="s">
        <v>12</v>
      </c>
      <c r="Q437" s="2" t="s">
        <v>857</v>
      </c>
      <c r="R437" s="2" t="s">
        <v>164</v>
      </c>
      <c r="S437" s="2" t="s">
        <v>165</v>
      </c>
      <c r="T437" s="2" t="s">
        <v>44</v>
      </c>
      <c r="U437" s="2" t="s">
        <v>639</v>
      </c>
      <c r="V437" s="8" t="s">
        <v>5</v>
      </c>
      <c r="W437" s="15" t="s">
        <v>64</v>
      </c>
      <c r="X437" s="44"/>
      <c r="Y437" s="44"/>
    </row>
    <row r="438" spans="1:25" x14ac:dyDescent="0.25">
      <c r="N438" s="9">
        <f>1000*D438*E438/100</f>
        <v>0</v>
      </c>
      <c r="V438" s="3"/>
      <c r="W438" s="3"/>
      <c r="X438" s="44"/>
      <c r="Y438" s="44"/>
    </row>
    <row r="439" spans="1:25" x14ac:dyDescent="0.25">
      <c r="N439" s="9">
        <f>1000*D439*E439/100</f>
        <v>0</v>
      </c>
      <c r="V439" s="3"/>
      <c r="W439" s="3"/>
      <c r="X439" s="44"/>
      <c r="Y439" s="44"/>
    </row>
    <row r="440" spans="1:25" x14ac:dyDescent="0.25">
      <c r="X440" s="44"/>
      <c r="Y440" s="44"/>
    </row>
    <row r="441" spans="1:25" x14ac:dyDescent="0.25">
      <c r="A441" s="26" t="s">
        <v>474</v>
      </c>
      <c r="B441" s="26" t="s">
        <v>474</v>
      </c>
      <c r="C441" s="26" t="s">
        <v>474</v>
      </c>
      <c r="D441" s="26" t="s">
        <v>474</v>
      </c>
      <c r="E441" s="26" t="s">
        <v>474</v>
      </c>
      <c r="F441" s="26" t="s">
        <v>474</v>
      </c>
      <c r="G441" s="26" t="s">
        <v>474</v>
      </c>
      <c r="H441" s="26" t="s">
        <v>474</v>
      </c>
      <c r="I441" s="26" t="s">
        <v>474</v>
      </c>
      <c r="J441" s="26" t="s">
        <v>474</v>
      </c>
      <c r="K441" s="26" t="s">
        <v>474</v>
      </c>
      <c r="L441" s="26" t="s">
        <v>474</v>
      </c>
      <c r="M441" s="26" t="s">
        <v>474</v>
      </c>
      <c r="N441" s="26" t="s">
        <v>474</v>
      </c>
      <c r="O441" s="26" t="s">
        <v>474</v>
      </c>
      <c r="P441" s="26" t="s">
        <v>474</v>
      </c>
      <c r="Q441" s="26" t="s">
        <v>474</v>
      </c>
      <c r="R441" s="26" t="s">
        <v>474</v>
      </c>
      <c r="S441" s="26" t="s">
        <v>474</v>
      </c>
      <c r="T441" s="26" t="s">
        <v>474</v>
      </c>
      <c r="U441" s="26" t="s">
        <v>474</v>
      </c>
      <c r="V441" s="26" t="s">
        <v>474</v>
      </c>
      <c r="W441" s="26" t="s">
        <v>474</v>
      </c>
      <c r="X441" s="44"/>
      <c r="Y441" s="44"/>
    </row>
    <row r="442" spans="1:25" x14ac:dyDescent="0.25">
      <c r="A442" s="39">
        <f>COUNT(D444:D445)</f>
        <v>0</v>
      </c>
      <c r="B442" s="49" t="s">
        <v>45</v>
      </c>
      <c r="C442" s="49" t="s">
        <v>45</v>
      </c>
      <c r="V442" s="3"/>
      <c r="W442" s="3"/>
      <c r="X442" s="44"/>
      <c r="Y442" s="44"/>
    </row>
    <row r="443" spans="1:25" x14ac:dyDescent="0.25">
      <c r="A443" s="1" t="s">
        <v>150</v>
      </c>
      <c r="B443" s="1" t="s">
        <v>134</v>
      </c>
      <c r="C443" s="1" t="s">
        <v>141</v>
      </c>
      <c r="D443" s="2" t="s">
        <v>0</v>
      </c>
      <c r="E443" s="2" t="s">
        <v>10</v>
      </c>
      <c r="F443" s="2" t="s">
        <v>2</v>
      </c>
      <c r="G443" s="2" t="s">
        <v>9</v>
      </c>
      <c r="H443" s="2" t="s">
        <v>1</v>
      </c>
      <c r="I443" s="2" t="s">
        <v>3</v>
      </c>
      <c r="J443" s="2" t="s">
        <v>162</v>
      </c>
      <c r="K443" s="2" t="s">
        <v>163</v>
      </c>
      <c r="L443" s="2" t="s">
        <v>653</v>
      </c>
      <c r="M443" s="2" t="s">
        <v>640</v>
      </c>
      <c r="N443" s="2" t="s">
        <v>11</v>
      </c>
      <c r="O443" s="2" t="s">
        <v>4</v>
      </c>
      <c r="P443" s="2" t="s">
        <v>12</v>
      </c>
      <c r="Q443" s="2" t="s">
        <v>857</v>
      </c>
      <c r="R443" s="2" t="s">
        <v>164</v>
      </c>
      <c r="S443" s="2" t="s">
        <v>165</v>
      </c>
      <c r="T443" s="2" t="s">
        <v>44</v>
      </c>
      <c r="U443" s="2" t="s">
        <v>639</v>
      </c>
      <c r="V443" s="8" t="s">
        <v>5</v>
      </c>
      <c r="W443" s="15" t="s">
        <v>64</v>
      </c>
      <c r="X443" s="44"/>
      <c r="Y443" s="44"/>
    </row>
    <row r="444" spans="1:25" x14ac:dyDescent="0.25">
      <c r="N444" s="9">
        <f>1000*D444*E444/100</f>
        <v>0</v>
      </c>
      <c r="V444" s="3"/>
      <c r="W444" s="3"/>
      <c r="X444" s="44"/>
      <c r="Y444" s="44"/>
    </row>
    <row r="445" spans="1:25" x14ac:dyDescent="0.25">
      <c r="N445" s="9">
        <f>1000*D445*E445/100</f>
        <v>0</v>
      </c>
      <c r="V445" s="3"/>
      <c r="W445" s="3"/>
      <c r="X445" s="44"/>
      <c r="Y445" s="44"/>
    </row>
    <row r="446" spans="1:25" x14ac:dyDescent="0.25">
      <c r="X446" s="44"/>
      <c r="Y446" s="44"/>
    </row>
    <row r="447" spans="1:25" x14ac:dyDescent="0.25">
      <c r="A447" s="26" t="s">
        <v>478</v>
      </c>
      <c r="B447" s="26" t="s">
        <v>479</v>
      </c>
      <c r="C447" s="26" t="s">
        <v>478</v>
      </c>
      <c r="D447" s="26" t="s">
        <v>479</v>
      </c>
      <c r="E447" s="26" t="s">
        <v>478</v>
      </c>
      <c r="F447" s="26" t="s">
        <v>479</v>
      </c>
      <c r="G447" s="26" t="s">
        <v>478</v>
      </c>
      <c r="H447" s="26" t="s">
        <v>479</v>
      </c>
      <c r="I447" s="26" t="s">
        <v>478</v>
      </c>
      <c r="J447" s="26" t="s">
        <v>479</v>
      </c>
      <c r="K447" s="26" t="s">
        <v>478</v>
      </c>
      <c r="L447" s="26" t="s">
        <v>479</v>
      </c>
      <c r="M447" s="26" t="s">
        <v>479</v>
      </c>
      <c r="N447" s="26" t="s">
        <v>478</v>
      </c>
      <c r="O447" s="26" t="s">
        <v>479</v>
      </c>
      <c r="P447" s="26" t="s">
        <v>478</v>
      </c>
      <c r="Q447" s="26" t="s">
        <v>479</v>
      </c>
      <c r="R447" s="26" t="s">
        <v>478</v>
      </c>
      <c r="S447" s="26" t="s">
        <v>479</v>
      </c>
      <c r="T447" s="26" t="s">
        <v>478</v>
      </c>
      <c r="U447" s="26" t="s">
        <v>479</v>
      </c>
      <c r="V447" s="26" t="s">
        <v>478</v>
      </c>
      <c r="W447" s="26" t="s">
        <v>479</v>
      </c>
      <c r="X447" s="44"/>
      <c r="Y447" s="44"/>
    </row>
    <row r="448" spans="1:25" x14ac:dyDescent="0.25">
      <c r="A448" s="39">
        <f>COUNT(D450:D451)</f>
        <v>0</v>
      </c>
      <c r="B448" s="49" t="s">
        <v>45</v>
      </c>
      <c r="C448" s="49" t="s">
        <v>45</v>
      </c>
      <c r="V448" s="3"/>
      <c r="W448" s="3"/>
      <c r="X448" s="44"/>
      <c r="Y448" s="44"/>
    </row>
    <row r="449" spans="1:26" x14ac:dyDescent="0.25">
      <c r="A449" s="1" t="s">
        <v>150</v>
      </c>
      <c r="B449" s="1" t="s">
        <v>134</v>
      </c>
      <c r="C449" s="1" t="s">
        <v>141</v>
      </c>
      <c r="D449" s="2" t="s">
        <v>0</v>
      </c>
      <c r="E449" s="2" t="s">
        <v>10</v>
      </c>
      <c r="F449" s="2" t="s">
        <v>2</v>
      </c>
      <c r="G449" s="2" t="s">
        <v>9</v>
      </c>
      <c r="H449" s="2" t="s">
        <v>1</v>
      </c>
      <c r="I449" s="2" t="s">
        <v>3</v>
      </c>
      <c r="J449" s="2" t="s">
        <v>162</v>
      </c>
      <c r="K449" s="2" t="s">
        <v>163</v>
      </c>
      <c r="L449" s="2" t="s">
        <v>653</v>
      </c>
      <c r="M449" s="2" t="s">
        <v>640</v>
      </c>
      <c r="N449" s="2" t="s">
        <v>11</v>
      </c>
      <c r="O449" s="2" t="s">
        <v>4</v>
      </c>
      <c r="P449" s="2" t="s">
        <v>12</v>
      </c>
      <c r="Q449" s="2" t="s">
        <v>857</v>
      </c>
      <c r="R449" s="2" t="s">
        <v>164</v>
      </c>
      <c r="S449" s="2" t="s">
        <v>165</v>
      </c>
      <c r="T449" s="2" t="s">
        <v>44</v>
      </c>
      <c r="U449" s="2" t="s">
        <v>639</v>
      </c>
      <c r="V449" s="8" t="s">
        <v>5</v>
      </c>
      <c r="W449" s="15" t="s">
        <v>64</v>
      </c>
      <c r="X449" s="44"/>
      <c r="Y449" s="44"/>
    </row>
    <row r="450" spans="1:26" x14ac:dyDescent="0.25">
      <c r="N450" s="9">
        <f>1000*D450*E450/100</f>
        <v>0</v>
      </c>
      <c r="V450" s="3"/>
      <c r="W450" s="3"/>
      <c r="X450" s="44"/>
      <c r="Y450" s="44"/>
    </row>
    <row r="451" spans="1:26" x14ac:dyDescent="0.25">
      <c r="N451" s="9">
        <f>1000*D451*E451/100</f>
        <v>0</v>
      </c>
      <c r="V451" s="3"/>
      <c r="W451" s="3"/>
      <c r="X451" s="44"/>
      <c r="Y451" s="44"/>
    </row>
    <row r="452" spans="1:26" x14ac:dyDescent="0.25">
      <c r="X452" s="44"/>
      <c r="Y452" s="44"/>
    </row>
    <row r="453" spans="1:26" x14ac:dyDescent="0.25">
      <c r="A453" s="26" t="s">
        <v>484</v>
      </c>
      <c r="B453" s="26" t="s">
        <v>484</v>
      </c>
      <c r="C453" s="26" t="s">
        <v>484</v>
      </c>
      <c r="D453" s="26" t="s">
        <v>484</v>
      </c>
      <c r="E453" s="26" t="s">
        <v>484</v>
      </c>
      <c r="F453" s="26" t="s">
        <v>484</v>
      </c>
      <c r="G453" s="26" t="s">
        <v>484</v>
      </c>
      <c r="H453" s="26" t="s">
        <v>484</v>
      </c>
      <c r="I453" s="26" t="s">
        <v>484</v>
      </c>
      <c r="J453" s="26" t="s">
        <v>484</v>
      </c>
      <c r="K453" s="26" t="s">
        <v>484</v>
      </c>
      <c r="L453" s="26" t="s">
        <v>484</v>
      </c>
      <c r="M453" s="26" t="s">
        <v>484</v>
      </c>
      <c r="N453" s="26" t="s">
        <v>484</v>
      </c>
      <c r="O453" s="26" t="s">
        <v>484</v>
      </c>
      <c r="P453" s="26" t="s">
        <v>484</v>
      </c>
      <c r="Q453" s="26" t="s">
        <v>484</v>
      </c>
      <c r="R453" s="26" t="s">
        <v>484</v>
      </c>
      <c r="S453" s="26" t="s">
        <v>484</v>
      </c>
      <c r="T453" s="26" t="s">
        <v>484</v>
      </c>
      <c r="U453" s="26" t="s">
        <v>484</v>
      </c>
      <c r="V453" s="26" t="s">
        <v>484</v>
      </c>
      <c r="W453" s="26" t="s">
        <v>484</v>
      </c>
      <c r="X453" s="44"/>
      <c r="Y453" s="44"/>
    </row>
    <row r="454" spans="1:26" x14ac:dyDescent="0.25">
      <c r="A454" s="39">
        <f>COUNT(D456:D457)</f>
        <v>0</v>
      </c>
      <c r="B454" s="49" t="s">
        <v>45</v>
      </c>
      <c r="C454" s="49" t="s">
        <v>45</v>
      </c>
      <c r="V454" s="3"/>
      <c r="W454" s="3"/>
      <c r="X454" s="44"/>
      <c r="Y454" s="44"/>
    </row>
    <row r="455" spans="1:26" x14ac:dyDescent="0.25">
      <c r="A455" s="1" t="s">
        <v>150</v>
      </c>
      <c r="B455" s="1" t="s">
        <v>134</v>
      </c>
      <c r="C455" s="1" t="s">
        <v>141</v>
      </c>
      <c r="D455" s="2" t="s">
        <v>0</v>
      </c>
      <c r="E455" s="2" t="s">
        <v>10</v>
      </c>
      <c r="F455" s="2" t="s">
        <v>2</v>
      </c>
      <c r="G455" s="2" t="s">
        <v>9</v>
      </c>
      <c r="H455" s="2" t="s">
        <v>1</v>
      </c>
      <c r="I455" s="2" t="s">
        <v>3</v>
      </c>
      <c r="J455" s="2" t="s">
        <v>162</v>
      </c>
      <c r="K455" s="2" t="s">
        <v>163</v>
      </c>
      <c r="L455" s="2" t="s">
        <v>653</v>
      </c>
      <c r="M455" s="2" t="s">
        <v>640</v>
      </c>
      <c r="N455" s="2" t="s">
        <v>11</v>
      </c>
      <c r="O455" s="2" t="s">
        <v>4</v>
      </c>
      <c r="P455" s="2" t="s">
        <v>12</v>
      </c>
      <c r="Q455" s="2" t="s">
        <v>857</v>
      </c>
      <c r="R455" s="2" t="s">
        <v>164</v>
      </c>
      <c r="S455" s="2" t="s">
        <v>165</v>
      </c>
      <c r="T455" s="2" t="s">
        <v>44</v>
      </c>
      <c r="U455" s="2" t="s">
        <v>639</v>
      </c>
      <c r="V455" s="8" t="s">
        <v>5</v>
      </c>
      <c r="W455" s="15" t="s">
        <v>64</v>
      </c>
      <c r="X455" s="44"/>
      <c r="Y455" s="44"/>
    </row>
    <row r="456" spans="1:26" x14ac:dyDescent="0.25">
      <c r="N456" s="9">
        <f>1000*D456*E456/100</f>
        <v>0</v>
      </c>
      <c r="V456" s="3"/>
      <c r="W456" s="3"/>
      <c r="X456" s="44"/>
      <c r="Y456" s="44"/>
    </row>
    <row r="457" spans="1:26" x14ac:dyDescent="0.25">
      <c r="N457" s="9">
        <f>1000*D457*E457/100</f>
        <v>0</v>
      </c>
      <c r="V457" s="3"/>
      <c r="W457" s="3"/>
      <c r="X457" s="44"/>
      <c r="Y457" s="44"/>
    </row>
    <row r="458" spans="1:26" x14ac:dyDescent="0.25">
      <c r="X458" s="44"/>
      <c r="Y458" s="44"/>
    </row>
    <row r="459" spans="1:26" x14ac:dyDescent="0.25">
      <c r="A459" s="26" t="s">
        <v>547</v>
      </c>
      <c r="B459" s="26" t="s">
        <v>547</v>
      </c>
      <c r="C459" s="26" t="s">
        <v>547</v>
      </c>
      <c r="D459" s="26" t="s">
        <v>547</v>
      </c>
      <c r="E459" s="26" t="s">
        <v>547</v>
      </c>
      <c r="F459" s="26" t="s">
        <v>547</v>
      </c>
      <c r="G459" s="26" t="s">
        <v>547</v>
      </c>
      <c r="H459" s="26" t="s">
        <v>547</v>
      </c>
      <c r="I459" s="26" t="s">
        <v>547</v>
      </c>
      <c r="J459" s="26" t="s">
        <v>547</v>
      </c>
      <c r="K459" s="26" t="s">
        <v>547</v>
      </c>
      <c r="L459" s="26" t="s">
        <v>547</v>
      </c>
      <c r="M459" s="26" t="s">
        <v>547</v>
      </c>
      <c r="N459" s="26" t="s">
        <v>547</v>
      </c>
      <c r="O459" s="26" t="s">
        <v>547</v>
      </c>
      <c r="P459" s="26" t="s">
        <v>547</v>
      </c>
      <c r="Q459" s="26" t="s">
        <v>547</v>
      </c>
      <c r="R459" s="26" t="s">
        <v>547</v>
      </c>
      <c r="S459" s="26" t="s">
        <v>547</v>
      </c>
      <c r="T459" s="26" t="s">
        <v>547</v>
      </c>
      <c r="U459" s="26" t="s">
        <v>547</v>
      </c>
      <c r="V459" s="26" t="s">
        <v>547</v>
      </c>
      <c r="W459" s="26" t="s">
        <v>547</v>
      </c>
      <c r="X459" s="44"/>
      <c r="Y459" s="44"/>
    </row>
    <row r="460" spans="1:26" x14ac:dyDescent="0.25">
      <c r="A460" s="39">
        <f>COUNT(D462:D464)</f>
        <v>3</v>
      </c>
      <c r="B460" s="49" t="s">
        <v>45</v>
      </c>
      <c r="C460" s="49" t="s">
        <v>45</v>
      </c>
      <c r="D460" s="19">
        <f>SUM(D462:D464)</f>
        <v>13.773999999999999</v>
      </c>
      <c r="E460" s="14">
        <f>100*(N460/1000)/D460</f>
        <v>0.43881661100624358</v>
      </c>
      <c r="F460" s="14">
        <f>100*(O460/1000)/D460</f>
        <v>0.2541774357485117</v>
      </c>
      <c r="G460" s="30">
        <f>100*(P460/1000)/D460</f>
        <v>2.930593872513431E-2</v>
      </c>
      <c r="N460" s="19">
        <f>SUM(N462:N464)</f>
        <v>60.442599999999985</v>
      </c>
      <c r="O460" s="19">
        <f>SUM(O462:O464)</f>
        <v>35.010399999999997</v>
      </c>
      <c r="P460" s="19">
        <f>SUM(P462:P464)</f>
        <v>4.0366</v>
      </c>
      <c r="X460" s="44"/>
      <c r="Y460" s="44"/>
    </row>
    <row r="461" spans="1:26" x14ac:dyDescent="0.25">
      <c r="A461" s="1" t="s">
        <v>150</v>
      </c>
      <c r="B461" s="1" t="s">
        <v>134</v>
      </c>
      <c r="C461" s="1" t="s">
        <v>141</v>
      </c>
      <c r="D461" s="2" t="s">
        <v>0</v>
      </c>
      <c r="E461" s="2" t="s">
        <v>10</v>
      </c>
      <c r="F461" s="2" t="s">
        <v>2</v>
      </c>
      <c r="G461" s="2" t="s">
        <v>9</v>
      </c>
      <c r="H461" s="2" t="s">
        <v>1</v>
      </c>
      <c r="I461" s="2" t="s">
        <v>3</v>
      </c>
      <c r="J461" s="2" t="s">
        <v>162</v>
      </c>
      <c r="K461" s="2" t="s">
        <v>163</v>
      </c>
      <c r="L461" s="2" t="s">
        <v>653</v>
      </c>
      <c r="M461" s="2" t="s">
        <v>640</v>
      </c>
      <c r="N461" s="2" t="s">
        <v>11</v>
      </c>
      <c r="O461" s="2" t="s">
        <v>4</v>
      </c>
      <c r="P461" s="2" t="s">
        <v>12</v>
      </c>
      <c r="Q461" s="2" t="s">
        <v>857</v>
      </c>
      <c r="R461" s="2" t="s">
        <v>164</v>
      </c>
      <c r="S461" s="2" t="s">
        <v>165</v>
      </c>
      <c r="T461" s="2" t="s">
        <v>44</v>
      </c>
      <c r="U461" s="2" t="s">
        <v>639</v>
      </c>
      <c r="V461" s="8" t="s">
        <v>5</v>
      </c>
      <c r="W461" s="15" t="s">
        <v>64</v>
      </c>
      <c r="X461" s="44"/>
      <c r="Y461" s="44"/>
    </row>
    <row r="462" spans="1:26" x14ac:dyDescent="0.25">
      <c r="B462" s="3" t="s">
        <v>549</v>
      </c>
      <c r="C462" s="3" t="s">
        <v>145</v>
      </c>
      <c r="D462" s="3">
        <v>2.698</v>
      </c>
      <c r="E462" s="3">
        <v>0.83</v>
      </c>
      <c r="F462" s="3">
        <v>0.69</v>
      </c>
      <c r="G462" s="3">
        <v>0.06</v>
      </c>
      <c r="N462" s="9">
        <f>1000*D462*E462/100</f>
        <v>22.393399999999996</v>
      </c>
      <c r="O462" s="9">
        <f>1000*D462*F462/100</f>
        <v>18.616199999999999</v>
      </c>
      <c r="P462" s="9">
        <f>1000*D462*G462/100</f>
        <v>1.6188</v>
      </c>
      <c r="T462" s="3" t="s">
        <v>45</v>
      </c>
      <c r="U462" s="3" t="s">
        <v>825</v>
      </c>
      <c r="V462" s="4" t="s">
        <v>548</v>
      </c>
      <c r="X462" s="44" t="s">
        <v>623</v>
      </c>
      <c r="Y462" s="44" t="s">
        <v>626</v>
      </c>
      <c r="Z462" s="3" t="s">
        <v>626</v>
      </c>
    </row>
    <row r="463" spans="1:26" x14ac:dyDescent="0.25">
      <c r="B463" s="3" t="s">
        <v>550</v>
      </c>
      <c r="C463" s="3" t="s">
        <v>145</v>
      </c>
      <c r="D463" s="3">
        <v>1.0129999999999999</v>
      </c>
      <c r="E463" s="3">
        <v>1.0900000000000001</v>
      </c>
      <c r="F463" s="3">
        <v>0.48</v>
      </c>
      <c r="G463" s="3">
        <v>0.04</v>
      </c>
      <c r="N463" s="9">
        <f>1000*D463*E463/100</f>
        <v>11.041699999999999</v>
      </c>
      <c r="O463" s="9">
        <f>1000*D463*F463/100</f>
        <v>4.8623999999999992</v>
      </c>
      <c r="P463" s="9">
        <f>1000*D463*G463/100</f>
        <v>0.40519999999999995</v>
      </c>
      <c r="T463" s="3" t="s">
        <v>45</v>
      </c>
      <c r="U463" s="3" t="s">
        <v>825</v>
      </c>
      <c r="V463" s="4" t="s">
        <v>548</v>
      </c>
      <c r="X463" s="44" t="s">
        <v>623</v>
      </c>
      <c r="Y463" s="44" t="s">
        <v>626</v>
      </c>
      <c r="Z463" s="3" t="s">
        <v>626</v>
      </c>
    </row>
    <row r="464" spans="1:26" x14ac:dyDescent="0.25">
      <c r="B464" s="3" t="s">
        <v>551</v>
      </c>
      <c r="C464" s="3" t="s">
        <v>145</v>
      </c>
      <c r="D464" s="3">
        <f>4.625+5.438</f>
        <v>10.062999999999999</v>
      </c>
      <c r="E464" s="5">
        <f>(0.29*4.625+0.25*5.438)/$D464</f>
        <v>0.26838417966809103</v>
      </c>
      <c r="F464" s="5">
        <f>(0.12*4.625+0.11*5.438)/$D464</f>
        <v>0.11459604491702276</v>
      </c>
      <c r="G464" s="5">
        <f>(0.02*4.625+0.02*5.438)/$D464</f>
        <v>0.02</v>
      </c>
      <c r="N464" s="9">
        <f>1000*D464*E464/100</f>
        <v>27.007499999999997</v>
      </c>
      <c r="O464" s="9">
        <f>1000*D464*F464/100</f>
        <v>11.531799999999999</v>
      </c>
      <c r="P464" s="9">
        <f>1000*D464*G464/100</f>
        <v>2.0125999999999995</v>
      </c>
      <c r="T464" s="3" t="s">
        <v>45</v>
      </c>
      <c r="U464" s="3" t="s">
        <v>825</v>
      </c>
      <c r="V464" s="4" t="s">
        <v>548</v>
      </c>
      <c r="X464" s="44" t="s">
        <v>623</v>
      </c>
      <c r="Y464" s="44" t="s">
        <v>626</v>
      </c>
      <c r="Z464" s="3" t="s">
        <v>626</v>
      </c>
    </row>
    <row r="465" spans="1:27" x14ac:dyDescent="0.25">
      <c r="X465" s="44"/>
      <c r="Y465" s="44"/>
    </row>
    <row r="466" spans="1:27" x14ac:dyDescent="0.25">
      <c r="A466" s="26" t="s">
        <v>354</v>
      </c>
      <c r="B466" s="26" t="s">
        <v>354</v>
      </c>
      <c r="C466" s="26" t="s">
        <v>354</v>
      </c>
      <c r="D466" s="26" t="s">
        <v>354</v>
      </c>
      <c r="E466" s="26" t="s">
        <v>354</v>
      </c>
      <c r="F466" s="26" t="s">
        <v>354</v>
      </c>
      <c r="G466" s="26" t="s">
        <v>354</v>
      </c>
      <c r="H466" s="26" t="s">
        <v>354</v>
      </c>
      <c r="I466" s="26" t="s">
        <v>354</v>
      </c>
      <c r="J466" s="26" t="s">
        <v>354</v>
      </c>
      <c r="K466" s="26" t="s">
        <v>354</v>
      </c>
      <c r="L466" s="26" t="s">
        <v>354</v>
      </c>
      <c r="M466" s="26" t="s">
        <v>354</v>
      </c>
      <c r="N466" s="26" t="s">
        <v>354</v>
      </c>
      <c r="O466" s="26" t="s">
        <v>354</v>
      </c>
      <c r="P466" s="26" t="s">
        <v>354</v>
      </c>
      <c r="Q466" s="26" t="s">
        <v>354</v>
      </c>
      <c r="R466" s="26" t="s">
        <v>354</v>
      </c>
      <c r="S466" s="26" t="s">
        <v>354</v>
      </c>
      <c r="T466" s="26" t="s">
        <v>354</v>
      </c>
      <c r="U466" s="26" t="s">
        <v>354</v>
      </c>
      <c r="V466" s="26" t="s">
        <v>354</v>
      </c>
      <c r="W466" s="26" t="s">
        <v>354</v>
      </c>
      <c r="X466" s="44"/>
      <c r="Y466" s="44"/>
    </row>
    <row r="467" spans="1:27" x14ac:dyDescent="0.25">
      <c r="A467" s="39">
        <f>COUNT(D469:D478)</f>
        <v>5</v>
      </c>
      <c r="B467" s="49" t="s">
        <v>45</v>
      </c>
      <c r="C467" s="49" t="s">
        <v>45</v>
      </c>
      <c r="D467" s="19">
        <f>SUM(D469:D478)</f>
        <v>4653.5210000000006</v>
      </c>
      <c r="E467" s="30">
        <f>100*(N467/1000)/D467</f>
        <v>3.2984053150292E-2</v>
      </c>
      <c r="F467" s="30">
        <f>100*(O467/1000)/D467</f>
        <v>1.9273792897893873E-4</v>
      </c>
      <c r="G467" s="30">
        <f>100*(P467/1000)/D467</f>
        <v>3.1058203025193174E-5</v>
      </c>
      <c r="N467" s="19">
        <f>SUM(N469:N478)</f>
        <v>1534.91984</v>
      </c>
      <c r="O467" s="19">
        <f>SUM(O469:O478)</f>
        <v>8.969100000000001</v>
      </c>
      <c r="P467" s="19">
        <f>SUM(P469:P478)</f>
        <v>1.4453</v>
      </c>
      <c r="X467" s="44"/>
      <c r="Y467" s="44"/>
    </row>
    <row r="468" spans="1:27" x14ac:dyDescent="0.25">
      <c r="A468" s="1" t="s">
        <v>150</v>
      </c>
      <c r="B468" s="1" t="s">
        <v>134</v>
      </c>
      <c r="C468" s="1" t="s">
        <v>141</v>
      </c>
      <c r="D468" s="2" t="s">
        <v>0</v>
      </c>
      <c r="E468" s="2" t="s">
        <v>10</v>
      </c>
      <c r="F468" s="2" t="s">
        <v>2</v>
      </c>
      <c r="G468" s="2" t="s">
        <v>9</v>
      </c>
      <c r="H468" s="2" t="s">
        <v>1</v>
      </c>
      <c r="I468" s="2" t="s">
        <v>3</v>
      </c>
      <c r="J468" s="2" t="s">
        <v>162</v>
      </c>
      <c r="K468" s="2" t="s">
        <v>163</v>
      </c>
      <c r="L468" s="2" t="s">
        <v>653</v>
      </c>
      <c r="M468" s="2" t="s">
        <v>640</v>
      </c>
      <c r="N468" s="2" t="s">
        <v>11</v>
      </c>
      <c r="O468" s="2" t="s">
        <v>4</v>
      </c>
      <c r="P468" s="2" t="s">
        <v>12</v>
      </c>
      <c r="Q468" s="2" t="s">
        <v>857</v>
      </c>
      <c r="R468" s="2" t="s">
        <v>164</v>
      </c>
      <c r="S468" s="2" t="s">
        <v>165</v>
      </c>
      <c r="T468" s="2" t="s">
        <v>44</v>
      </c>
      <c r="U468" s="2" t="s">
        <v>639</v>
      </c>
      <c r="V468" s="8" t="s">
        <v>5</v>
      </c>
      <c r="W468" s="15" t="s">
        <v>64</v>
      </c>
      <c r="X468" s="44"/>
      <c r="Y468" s="44"/>
    </row>
    <row r="469" spans="1:27" x14ac:dyDescent="0.25">
      <c r="B469" s="3" t="s">
        <v>552</v>
      </c>
      <c r="C469" s="3" t="s">
        <v>145</v>
      </c>
      <c r="D469" s="3">
        <v>6.37</v>
      </c>
      <c r="E469" s="3">
        <v>0.35</v>
      </c>
      <c r="F469" s="3">
        <v>0.04</v>
      </c>
      <c r="G469" s="3">
        <v>0.01</v>
      </c>
      <c r="N469" s="9">
        <f t="shared" ref="N469:N478" si="126">1000*D469*E469/100</f>
        <v>22.295000000000002</v>
      </c>
      <c r="O469" s="9">
        <f t="shared" ref="O469:O478" si="127">1000*D469*F469/100</f>
        <v>2.548</v>
      </c>
      <c r="P469" s="9">
        <f>1000*D469*G469/100</f>
        <v>0.63700000000000001</v>
      </c>
      <c r="T469" s="3" t="s">
        <v>45</v>
      </c>
      <c r="U469" s="3" t="s">
        <v>826</v>
      </c>
      <c r="V469" s="4" t="s">
        <v>548</v>
      </c>
      <c r="X469" s="44" t="s">
        <v>623</v>
      </c>
      <c r="Y469" s="44" t="s">
        <v>635</v>
      </c>
    </row>
    <row r="470" spans="1:27" x14ac:dyDescent="0.25">
      <c r="B470" s="3" t="s">
        <v>553</v>
      </c>
      <c r="C470" s="3" t="s">
        <v>145</v>
      </c>
      <c r="D470" s="3">
        <v>0.64500000000000002</v>
      </c>
      <c r="E470" s="3">
        <v>1.33</v>
      </c>
      <c r="F470" s="3">
        <v>0.66</v>
      </c>
      <c r="G470" s="3">
        <v>0.09</v>
      </c>
      <c r="N470" s="9">
        <f t="shared" si="126"/>
        <v>8.5785</v>
      </c>
      <c r="O470" s="9">
        <f t="shared" si="127"/>
        <v>4.2570000000000006</v>
      </c>
      <c r="P470" s="9">
        <f>1000*D470*G470/100</f>
        <v>0.58050000000000002</v>
      </c>
      <c r="T470" s="3" t="s">
        <v>45</v>
      </c>
      <c r="U470" s="3" t="s">
        <v>826</v>
      </c>
      <c r="V470" s="4" t="s">
        <v>548</v>
      </c>
      <c r="X470" s="44" t="s">
        <v>623</v>
      </c>
      <c r="Y470" s="44" t="s">
        <v>635</v>
      </c>
    </row>
    <row r="471" spans="1:27" x14ac:dyDescent="0.25">
      <c r="B471" s="3" t="s">
        <v>554</v>
      </c>
      <c r="C471" s="3" t="s">
        <v>145</v>
      </c>
      <c r="D471" s="3">
        <v>1.139</v>
      </c>
      <c r="E471" s="3">
        <v>0.91</v>
      </c>
      <c r="F471" s="3">
        <v>0.19</v>
      </c>
      <c r="G471" s="3">
        <v>0.02</v>
      </c>
      <c r="N471" s="9">
        <f t="shared" si="126"/>
        <v>10.3649</v>
      </c>
      <c r="O471" s="9">
        <f t="shared" si="127"/>
        <v>2.1640999999999999</v>
      </c>
      <c r="P471" s="9">
        <f>1000*D471*G471/100</f>
        <v>0.2278</v>
      </c>
      <c r="T471" s="3" t="s">
        <v>45</v>
      </c>
      <c r="U471" s="3" t="s">
        <v>826</v>
      </c>
      <c r="V471" s="4" t="s">
        <v>548</v>
      </c>
      <c r="X471" s="44" t="s">
        <v>623</v>
      </c>
      <c r="Y471" s="44" t="s">
        <v>635</v>
      </c>
    </row>
    <row r="472" spans="1:27" x14ac:dyDescent="0.25">
      <c r="B472" s="3" t="s">
        <v>555</v>
      </c>
      <c r="C472" s="3" t="s">
        <v>145</v>
      </c>
      <c r="N472" s="9">
        <f t="shared" si="126"/>
        <v>0</v>
      </c>
      <c r="O472" s="9">
        <f t="shared" si="127"/>
        <v>0</v>
      </c>
      <c r="T472" s="3" t="s">
        <v>45</v>
      </c>
      <c r="V472" s="4" t="s">
        <v>548</v>
      </c>
      <c r="X472" s="44" t="s">
        <v>623</v>
      </c>
      <c r="Y472" s="44" t="s">
        <v>635</v>
      </c>
    </row>
    <row r="473" spans="1:27" x14ac:dyDescent="0.25">
      <c r="B473" s="3" t="s">
        <v>556</v>
      </c>
      <c r="C473" s="3" t="s">
        <v>145</v>
      </c>
      <c r="N473" s="9">
        <f t="shared" si="126"/>
        <v>0</v>
      </c>
      <c r="O473" s="9">
        <f t="shared" si="127"/>
        <v>0</v>
      </c>
      <c r="T473" s="3" t="s">
        <v>45</v>
      </c>
      <c r="V473" s="4" t="s">
        <v>548</v>
      </c>
      <c r="X473" s="44" t="s">
        <v>623</v>
      </c>
      <c r="Y473" s="44" t="s">
        <v>635</v>
      </c>
    </row>
    <row r="474" spans="1:27" x14ac:dyDescent="0.25">
      <c r="B474" s="3" t="s">
        <v>557</v>
      </c>
      <c r="C474" s="3" t="s">
        <v>145</v>
      </c>
      <c r="N474" s="9">
        <f t="shared" si="126"/>
        <v>0</v>
      </c>
      <c r="O474" s="9">
        <f t="shared" si="127"/>
        <v>0</v>
      </c>
      <c r="T474" s="3" t="s">
        <v>45</v>
      </c>
      <c r="V474" s="4" t="s">
        <v>548</v>
      </c>
      <c r="X474" s="44" t="s">
        <v>623</v>
      </c>
      <c r="Y474" s="44" t="s">
        <v>635</v>
      </c>
    </row>
    <row r="475" spans="1:27" x14ac:dyDescent="0.25">
      <c r="B475" s="3" t="s">
        <v>558</v>
      </c>
      <c r="C475" s="3" t="s">
        <v>145</v>
      </c>
      <c r="N475" s="9">
        <f t="shared" si="126"/>
        <v>0</v>
      </c>
      <c r="O475" s="9">
        <f t="shared" si="127"/>
        <v>0</v>
      </c>
      <c r="T475" s="3" t="s">
        <v>45</v>
      </c>
      <c r="V475" s="4" t="s">
        <v>548</v>
      </c>
      <c r="X475" s="44" t="s">
        <v>623</v>
      </c>
      <c r="Y475" s="44" t="s">
        <v>635</v>
      </c>
    </row>
    <row r="476" spans="1:27" x14ac:dyDescent="0.25">
      <c r="B476" s="3" t="s">
        <v>559</v>
      </c>
      <c r="C476" s="3" t="s">
        <v>145</v>
      </c>
      <c r="N476" s="9">
        <f t="shared" ref="N476" si="128">1000*D476*E476/100</f>
        <v>0</v>
      </c>
      <c r="O476" s="9">
        <f t="shared" ref="O476" si="129">1000*D476*F476/100</f>
        <v>0</v>
      </c>
      <c r="T476" s="3" t="s">
        <v>45</v>
      </c>
      <c r="V476" s="4" t="s">
        <v>548</v>
      </c>
      <c r="X476" s="44" t="s">
        <v>623</v>
      </c>
      <c r="Y476" s="44" t="s">
        <v>635</v>
      </c>
    </row>
    <row r="477" spans="1:27" x14ac:dyDescent="0.25">
      <c r="B477" s="3" t="s">
        <v>964</v>
      </c>
      <c r="C477" s="3" t="s">
        <v>145</v>
      </c>
      <c r="D477" s="66">
        <v>1791</v>
      </c>
      <c r="E477" s="3">
        <v>3.2399999999999998E-2</v>
      </c>
      <c r="N477" s="9">
        <f t="shared" ref="N477" si="130">1000*D477*E477/100</f>
        <v>580.28399999999999</v>
      </c>
      <c r="O477" s="9">
        <f t="shared" ref="O477" si="131">1000*D477*F477/100</f>
        <v>0</v>
      </c>
      <c r="T477" s="3" t="s">
        <v>45</v>
      </c>
      <c r="U477" s="3" t="s">
        <v>966</v>
      </c>
      <c r="V477" s="4" t="s">
        <v>965</v>
      </c>
      <c r="X477" s="44" t="s">
        <v>579</v>
      </c>
      <c r="Y477" s="44" t="s">
        <v>977</v>
      </c>
      <c r="Z477" s="3" t="s">
        <v>978</v>
      </c>
      <c r="AA477" s="3" t="s">
        <v>581</v>
      </c>
    </row>
    <row r="478" spans="1:27" x14ac:dyDescent="0.25">
      <c r="B478" s="3" t="s">
        <v>961</v>
      </c>
      <c r="C478" s="3" t="s">
        <v>145</v>
      </c>
      <c r="D478" s="32">
        <f>23.61+2830.757</f>
        <v>2854.3670000000002</v>
      </c>
      <c r="E478" s="3">
        <f>(0.032*23.61+0.032*2830.757)/D478</f>
        <v>3.2000000000000001E-2</v>
      </c>
      <c r="M478" s="3" t="s">
        <v>962</v>
      </c>
      <c r="N478" s="9">
        <f t="shared" si="126"/>
        <v>913.39744000000007</v>
      </c>
      <c r="O478" s="9">
        <f t="shared" si="127"/>
        <v>0</v>
      </c>
      <c r="T478" s="3" t="s">
        <v>45</v>
      </c>
      <c r="U478" s="3" t="s">
        <v>1063</v>
      </c>
      <c r="V478" s="4" t="s">
        <v>963</v>
      </c>
      <c r="X478" s="44" t="s">
        <v>579</v>
      </c>
      <c r="Y478" s="44" t="s">
        <v>977</v>
      </c>
      <c r="Z478" s="3" t="s">
        <v>978</v>
      </c>
      <c r="AA478" s="3" t="s">
        <v>581</v>
      </c>
    </row>
    <row r="479" spans="1:27" x14ac:dyDescent="0.25">
      <c r="X479" s="44"/>
      <c r="Y479" s="44"/>
    </row>
    <row r="480" spans="1:27" x14ac:dyDescent="0.25">
      <c r="A480" s="26" t="s">
        <v>575</v>
      </c>
      <c r="B480" s="26" t="s">
        <v>575</v>
      </c>
      <c r="C480" s="26" t="s">
        <v>575</v>
      </c>
      <c r="D480" s="26" t="s">
        <v>575</v>
      </c>
      <c r="E480" s="26" t="s">
        <v>575</v>
      </c>
      <c r="F480" s="26" t="s">
        <v>575</v>
      </c>
      <c r="G480" s="26" t="s">
        <v>575</v>
      </c>
      <c r="H480" s="26" t="s">
        <v>575</v>
      </c>
      <c r="I480" s="26" t="s">
        <v>575</v>
      </c>
      <c r="J480" s="26" t="s">
        <v>575</v>
      </c>
      <c r="K480" s="26" t="s">
        <v>575</v>
      </c>
      <c r="L480" s="26" t="s">
        <v>575</v>
      </c>
      <c r="M480" s="26" t="s">
        <v>575</v>
      </c>
      <c r="N480" s="26" t="s">
        <v>575</v>
      </c>
      <c r="O480" s="26" t="s">
        <v>575</v>
      </c>
      <c r="P480" s="26" t="s">
        <v>575</v>
      </c>
      <c r="Q480" s="26" t="s">
        <v>575</v>
      </c>
      <c r="R480" s="26" t="s">
        <v>575</v>
      </c>
      <c r="S480" s="26" t="s">
        <v>575</v>
      </c>
      <c r="T480" s="26" t="s">
        <v>575</v>
      </c>
      <c r="U480" s="26" t="s">
        <v>575</v>
      </c>
      <c r="V480" s="26" t="s">
        <v>575</v>
      </c>
      <c r="W480" s="26" t="s">
        <v>575</v>
      </c>
      <c r="X480" s="44"/>
      <c r="Y480" s="44"/>
    </row>
    <row r="481" spans="1:25" x14ac:dyDescent="0.25">
      <c r="A481" s="39">
        <f>COUNT(D483:D483)</f>
        <v>1</v>
      </c>
      <c r="B481" s="49" t="s">
        <v>45</v>
      </c>
      <c r="C481" s="49" t="s">
        <v>45</v>
      </c>
      <c r="D481" s="19">
        <f>SUM(D483)</f>
        <v>4.6028000000000002</v>
      </c>
      <c r="E481" s="14">
        <f>100*(N481/1000)/D481</f>
        <v>0.41</v>
      </c>
      <c r="F481" s="14">
        <f>100*(O481/1000)/D481</f>
        <v>0.40836360476231848</v>
      </c>
      <c r="G481" s="14">
        <f>100*(P481/1000)/D481</f>
        <v>2.9999999999999995E-2</v>
      </c>
      <c r="N481" s="19">
        <f t="shared" ref="N481:P481" si="132">SUM(N483)</f>
        <v>18.871479999999998</v>
      </c>
      <c r="O481" s="19">
        <f t="shared" si="132"/>
        <v>18.796159999999997</v>
      </c>
      <c r="P481" s="19">
        <f t="shared" si="132"/>
        <v>1.3808399999999998</v>
      </c>
      <c r="X481" s="44"/>
      <c r="Y481" s="44"/>
    </row>
    <row r="482" spans="1:25" x14ac:dyDescent="0.25">
      <c r="A482" s="1" t="s">
        <v>150</v>
      </c>
      <c r="B482" s="1" t="s">
        <v>134</v>
      </c>
      <c r="C482" s="1" t="s">
        <v>141</v>
      </c>
      <c r="D482" s="2" t="s">
        <v>0</v>
      </c>
      <c r="E482" s="2" t="s">
        <v>10</v>
      </c>
      <c r="F482" s="2" t="s">
        <v>2</v>
      </c>
      <c r="G482" s="2" t="s">
        <v>9</v>
      </c>
      <c r="H482" s="2" t="s">
        <v>1</v>
      </c>
      <c r="I482" s="2" t="s">
        <v>3</v>
      </c>
      <c r="J482" s="2" t="s">
        <v>162</v>
      </c>
      <c r="K482" s="2" t="s">
        <v>163</v>
      </c>
      <c r="L482" s="2" t="s">
        <v>653</v>
      </c>
      <c r="M482" s="2" t="s">
        <v>640</v>
      </c>
      <c r="N482" s="2" t="s">
        <v>11</v>
      </c>
      <c r="O482" s="2" t="s">
        <v>4</v>
      </c>
      <c r="P482" s="2" t="s">
        <v>12</v>
      </c>
      <c r="Q482" s="2" t="s">
        <v>857</v>
      </c>
      <c r="R482" s="2" t="s">
        <v>164</v>
      </c>
      <c r="S482" s="2" t="s">
        <v>165</v>
      </c>
      <c r="T482" s="2" t="s">
        <v>44</v>
      </c>
      <c r="U482" s="2" t="s">
        <v>639</v>
      </c>
      <c r="V482" s="8" t="s">
        <v>5</v>
      </c>
      <c r="W482" s="15" t="s">
        <v>64</v>
      </c>
      <c r="X482" s="44"/>
      <c r="Y482" s="44"/>
    </row>
    <row r="483" spans="1:25" x14ac:dyDescent="0.25">
      <c r="B483" s="3" t="s">
        <v>576</v>
      </c>
      <c r="C483" s="3" t="s">
        <v>145</v>
      </c>
      <c r="D483" s="11">
        <f>3.2638+1.339</f>
        <v>4.6028000000000002</v>
      </c>
      <c r="E483" s="5">
        <f>(0.41*3.2638+0.41*1.339)/$D483</f>
        <v>0.40999999999999992</v>
      </c>
      <c r="F483" s="5">
        <f>(0.42*3.2638+0.38*1.339)/$D483</f>
        <v>0.40836360476231853</v>
      </c>
      <c r="G483" s="5">
        <f>(0.03*3.2638+0.03*1.339)/$D483</f>
        <v>2.9999999999999995E-2</v>
      </c>
      <c r="H483" s="5">
        <f>(0.05*3.2638+0.02*1.339)/$D483</f>
        <v>4.1272703571738942E-2</v>
      </c>
      <c r="J483" s="5">
        <f>(0.16*3.2638+0.03*1.339)/$D483</f>
        <v>0.12218171547753541</v>
      </c>
      <c r="K483" s="5">
        <f>(0.19*3.2638+0.03*1.339)/$D483</f>
        <v>0.14345441904927433</v>
      </c>
      <c r="N483" s="9">
        <f>1000*$D483*E483/100</f>
        <v>18.871479999999998</v>
      </c>
      <c r="O483" s="9">
        <f>1000*$D483*F483/100</f>
        <v>18.796159999999997</v>
      </c>
      <c r="P483" s="9">
        <f>1000*D483*G483/100</f>
        <v>1.3808399999999998</v>
      </c>
      <c r="Q483" s="9">
        <f>$D483*J483</f>
        <v>0.56237800000000004</v>
      </c>
      <c r="R483" s="9">
        <f>$D483*K483</f>
        <v>0.66029199999999999</v>
      </c>
      <c r="S483" s="9">
        <f t="shared" ref="S483" si="133">$D483*H483</f>
        <v>0.18997</v>
      </c>
      <c r="T483" s="3" t="s">
        <v>45</v>
      </c>
      <c r="U483" s="3" t="s">
        <v>876</v>
      </c>
      <c r="V483" s="4" t="s">
        <v>875</v>
      </c>
      <c r="X483" s="44" t="s">
        <v>623</v>
      </c>
      <c r="Y483" s="44" t="s">
        <v>626</v>
      </c>
    </row>
    <row r="484" spans="1:25" x14ac:dyDescent="0.25">
      <c r="Y484" s="52"/>
    </row>
    <row r="485" spans="1:25" x14ac:dyDescent="0.25">
      <c r="A485" s="26" t="s">
        <v>1075</v>
      </c>
      <c r="B485" s="26" t="s">
        <v>1076</v>
      </c>
      <c r="C485" s="26" t="s">
        <v>1075</v>
      </c>
      <c r="D485" s="26" t="s">
        <v>1077</v>
      </c>
      <c r="E485" s="26" t="s">
        <v>1075</v>
      </c>
      <c r="F485" s="26" t="s">
        <v>1077</v>
      </c>
      <c r="G485" s="26" t="s">
        <v>1075</v>
      </c>
      <c r="H485" s="26" t="s">
        <v>1077</v>
      </c>
      <c r="I485" s="26" t="s">
        <v>1075</v>
      </c>
      <c r="J485" s="26" t="s">
        <v>1077</v>
      </c>
      <c r="K485" s="26" t="s">
        <v>1075</v>
      </c>
      <c r="L485" s="26" t="s">
        <v>1077</v>
      </c>
      <c r="M485" s="26" t="s">
        <v>1075</v>
      </c>
      <c r="N485" s="26" t="s">
        <v>1077</v>
      </c>
      <c r="O485" s="26" t="s">
        <v>1075</v>
      </c>
      <c r="P485" s="26" t="s">
        <v>1077</v>
      </c>
      <c r="Q485" s="26" t="s">
        <v>1075</v>
      </c>
      <c r="R485" s="26" t="s">
        <v>1077</v>
      </c>
      <c r="S485" s="26" t="s">
        <v>1075</v>
      </c>
      <c r="T485" s="26" t="s">
        <v>1077</v>
      </c>
      <c r="U485" s="26" t="s">
        <v>1076</v>
      </c>
      <c r="V485" s="26" t="s">
        <v>1076</v>
      </c>
      <c r="W485" s="26" t="s">
        <v>1076</v>
      </c>
      <c r="X485" s="44"/>
      <c r="Y485" s="44"/>
    </row>
    <row r="486" spans="1:25" x14ac:dyDescent="0.25">
      <c r="A486" s="39">
        <f>COUNT(D488:D488)</f>
        <v>1</v>
      </c>
      <c r="B486" s="49" t="s">
        <v>45</v>
      </c>
      <c r="C486" s="49" t="s">
        <v>45</v>
      </c>
      <c r="D486" s="19">
        <f>SUM(D488)</f>
        <v>308</v>
      </c>
      <c r="E486" s="14">
        <f>100*(N486/1000)/D486</f>
        <v>1.2000000000000002</v>
      </c>
      <c r="F486" s="14">
        <f>100*(O486/1000)/D486</f>
        <v>1.1000000000000001</v>
      </c>
      <c r="G486" s="14">
        <f>100*(P486/1000)/D486</f>
        <v>0.24000000000000002</v>
      </c>
      <c r="N486" s="19">
        <f t="shared" ref="N486:P486" si="134">SUM(N488)</f>
        <v>3696</v>
      </c>
      <c r="O486" s="19">
        <f t="shared" si="134"/>
        <v>3388</v>
      </c>
      <c r="P486" s="19">
        <f t="shared" si="134"/>
        <v>739.2</v>
      </c>
      <c r="X486" s="44"/>
      <c r="Y486" s="44"/>
    </row>
    <row r="487" spans="1:25" x14ac:dyDescent="0.25">
      <c r="A487" s="1" t="s">
        <v>150</v>
      </c>
      <c r="B487" s="1" t="s">
        <v>134</v>
      </c>
      <c r="C487" s="1" t="s">
        <v>141</v>
      </c>
      <c r="D487" s="2" t="s">
        <v>0</v>
      </c>
      <c r="E487" s="2" t="s">
        <v>10</v>
      </c>
      <c r="F487" s="2" t="s">
        <v>2</v>
      </c>
      <c r="G487" s="2" t="s">
        <v>9</v>
      </c>
      <c r="H487" s="2" t="s">
        <v>1</v>
      </c>
      <c r="I487" s="2" t="s">
        <v>3</v>
      </c>
      <c r="J487" s="2" t="s">
        <v>162</v>
      </c>
      <c r="K487" s="2" t="s">
        <v>163</v>
      </c>
      <c r="L487" s="2" t="s">
        <v>653</v>
      </c>
      <c r="M487" s="2" t="s">
        <v>640</v>
      </c>
      <c r="N487" s="2" t="s">
        <v>11</v>
      </c>
      <c r="O487" s="2" t="s">
        <v>4</v>
      </c>
      <c r="P487" s="2" t="s">
        <v>12</v>
      </c>
      <c r="Q487" s="2" t="s">
        <v>857</v>
      </c>
      <c r="R487" s="2" t="s">
        <v>164</v>
      </c>
      <c r="S487" s="2" t="s">
        <v>165</v>
      </c>
      <c r="T487" s="2" t="s">
        <v>44</v>
      </c>
      <c r="U487" s="2" t="s">
        <v>639</v>
      </c>
      <c r="V487" s="8" t="s">
        <v>5</v>
      </c>
      <c r="W487" s="15" t="s">
        <v>64</v>
      </c>
      <c r="X487" s="44"/>
      <c r="Y487" s="44"/>
    </row>
    <row r="488" spans="1:25" x14ac:dyDescent="0.25">
      <c r="A488" s="48"/>
      <c r="B488" s="48" t="s">
        <v>1078</v>
      </c>
      <c r="C488" s="48" t="s">
        <v>145</v>
      </c>
      <c r="D488" s="82">
        <f>440*0.7</f>
        <v>308</v>
      </c>
      <c r="E488" s="48">
        <v>1.2</v>
      </c>
      <c r="F488" s="48">
        <v>1.1000000000000001</v>
      </c>
      <c r="G488" s="48">
        <v>0.24</v>
      </c>
      <c r="H488" s="48"/>
      <c r="I488" s="48"/>
      <c r="J488" s="48"/>
      <c r="K488" s="48"/>
      <c r="L488" s="48"/>
      <c r="M488" s="48"/>
      <c r="N488" s="55">
        <f>1000*$D488*E488/100</f>
        <v>3696</v>
      </c>
      <c r="O488" s="55">
        <f>1000*$D488*F488/100</f>
        <v>3388</v>
      </c>
      <c r="P488" s="55">
        <f>1000*D488*G488/100</f>
        <v>739.2</v>
      </c>
      <c r="Q488" s="48"/>
      <c r="R488" s="48"/>
      <c r="S488" s="48"/>
      <c r="T488" s="48" t="s">
        <v>45</v>
      </c>
      <c r="U488" s="48" t="s">
        <v>1081</v>
      </c>
      <c r="V488" s="52" t="s">
        <v>1079</v>
      </c>
      <c r="W488" s="52"/>
      <c r="X488" s="44" t="s">
        <v>579</v>
      </c>
      <c r="Y488" s="44" t="s">
        <v>1082</v>
      </c>
    </row>
  </sheetData>
  <pageMargins left="0.7" right="0.7" top="0.75" bottom="0.75" header="0.3" footer="0.3"/>
  <pageSetup orientation="portrait" r:id="rId1"/>
  <colBreaks count="1" manualBreakCount="1">
    <brk id="1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5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69921875" defaultRowHeight="13.8" x14ac:dyDescent="0.25"/>
  <cols>
    <col min="1" max="1" width="6.69921875" style="3" customWidth="1"/>
    <col min="2" max="2" width="24.69921875" style="3" customWidth="1"/>
    <col min="3" max="3" width="12.69921875" style="3" customWidth="1"/>
    <col min="4" max="4" width="9.69921875" style="3" customWidth="1"/>
    <col min="5" max="6" width="7.69921875" style="3" customWidth="1"/>
    <col min="7" max="7" width="6.69921875" style="3" customWidth="1"/>
    <col min="8" max="8" width="10.69921875" style="3" customWidth="1"/>
    <col min="9" max="9" width="8.69921875" style="3" customWidth="1"/>
    <col min="10" max="11" width="24.69921875" style="3" customWidth="1"/>
    <col min="12" max="13" width="32.69921875" style="4" customWidth="1"/>
    <col min="14" max="14" width="30.69921875" style="52" customWidth="1"/>
    <col min="15" max="15" width="34.09765625" style="48" bestFit="1" customWidth="1"/>
    <col min="16" max="16384" width="9.69921875" style="3"/>
  </cols>
  <sheetData>
    <row r="1" spans="1:15" x14ac:dyDescent="0.25">
      <c r="B1" s="1" t="s">
        <v>572</v>
      </c>
      <c r="C1" s="1" t="s">
        <v>573</v>
      </c>
      <c r="D1" s="2" t="s">
        <v>0</v>
      </c>
      <c r="E1" s="2" t="s">
        <v>10</v>
      </c>
      <c r="F1" s="2" t="s">
        <v>9</v>
      </c>
      <c r="G1" s="2" t="s">
        <v>6</v>
      </c>
      <c r="H1" s="2" t="s">
        <v>11</v>
      </c>
      <c r="I1" s="2" t="s">
        <v>12</v>
      </c>
      <c r="J1" s="2" t="s">
        <v>641</v>
      </c>
      <c r="K1" s="2" t="s">
        <v>639</v>
      </c>
      <c r="L1" s="8"/>
      <c r="M1" s="15"/>
      <c r="N1" s="45"/>
      <c r="O1" s="42"/>
    </row>
    <row r="2" spans="1:15" x14ac:dyDescent="0.25">
      <c r="B2" s="22" t="s">
        <v>46</v>
      </c>
      <c r="C2" s="18">
        <f>A5+A78+A114+A120+A149+A171+A185+A197+A204+A210+A222+A229+A257+A280+A286+A292+A306+A312+A318+A325+A331+A342+A348+A357+A363+A372+A379+A386+A391+A398+A404+A413+A432+A437+A443</f>
        <v>224</v>
      </c>
      <c r="D2" s="19">
        <f>D5+D78+D114+D120+D149+D171+D185+D197+D204+D210+D222+D229+D257+D280+D286+D292+D306+D312+D318+D325+D331+D342+D348+D357+D363+D372+D379+D386+D391+D398+D404+D413+D432+D437+D443</f>
        <v>15838.328239000004</v>
      </c>
      <c r="E2" s="40">
        <f>H2/$D2/10</f>
        <v>1.1246900604826799</v>
      </c>
      <c r="F2" s="41">
        <f>I2/$D2/10</f>
        <v>4.7901120900321434E-2</v>
      </c>
      <c r="H2" s="19">
        <f>H5+H78+H114+H120+H149+H171+H185+H197+H204+H210+H222+H229+H257+H280+H286+H292+H306+H312+H318+H325+H331+H342+H348+H357+H363+H372+H379+H386+H391+H398+H404+H413+H432+H437+H443</f>
        <v>178132.10345065451</v>
      </c>
      <c r="I2" s="19">
        <f>I5+I78+I114+I120+I149+I171+I185+I197+I204+I210+I222+I229+I257+I280+I286+I292+I306+I312+I318+I325+I331+I342+I348+I357+I363+I372+I379+I386+I391+I398+I404+I413+I432+I437+I443</f>
        <v>7586.7367583531422</v>
      </c>
      <c r="N2" s="46"/>
      <c r="O2" s="42"/>
    </row>
    <row r="3" spans="1:15" x14ac:dyDescent="0.25">
      <c r="N3" s="46"/>
      <c r="O3" s="42"/>
    </row>
    <row r="4" spans="1:15" x14ac:dyDescent="0.25">
      <c r="A4" s="26" t="s">
        <v>320</v>
      </c>
      <c r="B4" s="26" t="s">
        <v>320</v>
      </c>
      <c r="C4" s="26" t="s">
        <v>320</v>
      </c>
      <c r="D4" s="26" t="s">
        <v>320</v>
      </c>
      <c r="E4" s="26" t="s">
        <v>320</v>
      </c>
      <c r="F4" s="26" t="s">
        <v>320</v>
      </c>
      <c r="G4" s="26" t="s">
        <v>320</v>
      </c>
      <c r="H4" s="26" t="s">
        <v>320</v>
      </c>
      <c r="I4" s="26" t="s">
        <v>320</v>
      </c>
      <c r="J4" s="26" t="s">
        <v>320</v>
      </c>
      <c r="K4" s="26" t="s">
        <v>320</v>
      </c>
      <c r="L4" s="26" t="s">
        <v>320</v>
      </c>
      <c r="M4" s="26" t="s">
        <v>320</v>
      </c>
      <c r="N4" s="47"/>
      <c r="O4" s="42"/>
    </row>
    <row r="5" spans="1:15" x14ac:dyDescent="0.25">
      <c r="A5" s="39">
        <f>COUNT(D7:D75)</f>
        <v>69</v>
      </c>
      <c r="B5" s="22" t="s">
        <v>46</v>
      </c>
      <c r="C5" s="22" t="s">
        <v>46</v>
      </c>
      <c r="D5" s="23">
        <f>SUM(D7:D75)</f>
        <v>4181.5786999999991</v>
      </c>
      <c r="E5" s="14">
        <f>100*(H5/1000)/D5</f>
        <v>0.75399866012326899</v>
      </c>
      <c r="F5" s="30">
        <f>100*(I5/1000)/D5</f>
        <v>4.5868739717848668E-2</v>
      </c>
      <c r="H5" s="23">
        <f>SUM(H7:H75)</f>
        <v>31529.047370000004</v>
      </c>
      <c r="I5" s="23">
        <f>SUM(I7:I75)</f>
        <v>1918.0374499999998</v>
      </c>
      <c r="N5" s="46"/>
      <c r="O5" s="42"/>
    </row>
    <row r="6" spans="1:15" x14ac:dyDescent="0.25">
      <c r="A6" s="1" t="s">
        <v>150</v>
      </c>
      <c r="B6" s="1" t="s">
        <v>134</v>
      </c>
      <c r="C6" s="1" t="s">
        <v>141</v>
      </c>
      <c r="D6" s="2" t="s">
        <v>0</v>
      </c>
      <c r="E6" s="2" t="s">
        <v>10</v>
      </c>
      <c r="F6" s="2" t="s">
        <v>9</v>
      </c>
      <c r="G6" s="2" t="s">
        <v>6</v>
      </c>
      <c r="H6" s="2" t="s">
        <v>11</v>
      </c>
      <c r="I6" s="2" t="s">
        <v>12</v>
      </c>
      <c r="J6" s="2" t="s">
        <v>641</v>
      </c>
      <c r="K6" s="2" t="s">
        <v>639</v>
      </c>
      <c r="L6" s="8" t="s">
        <v>5</v>
      </c>
      <c r="M6" s="15" t="s">
        <v>64</v>
      </c>
      <c r="N6" s="42" t="s">
        <v>577</v>
      </c>
      <c r="O6" s="42" t="s">
        <v>586</v>
      </c>
    </row>
    <row r="7" spans="1:15" x14ac:dyDescent="0.25">
      <c r="A7" s="3" t="s">
        <v>138</v>
      </c>
      <c r="B7" s="3" t="s">
        <v>704</v>
      </c>
      <c r="C7" s="3" t="s">
        <v>145</v>
      </c>
      <c r="D7" s="3">
        <f>40.4+13.4</f>
        <v>53.8</v>
      </c>
      <c r="E7" s="5">
        <f>(0.77*40.4+0.71*13.4)/D7</f>
        <v>0.75505576208178438</v>
      </c>
      <c r="F7" s="11">
        <f>(0.049*40.4+0.045*13.4)/D7</f>
        <v>4.8003717472118963E-2</v>
      </c>
      <c r="H7" s="9">
        <f t="shared" ref="H7:H75" si="0">1000*D7*E7/100</f>
        <v>406.22</v>
      </c>
      <c r="I7" s="9">
        <f t="shared" ref="I7:I44" si="1">1000*D7*F7/100</f>
        <v>25.826000000000004</v>
      </c>
      <c r="J7" s="3" t="s">
        <v>46</v>
      </c>
      <c r="K7" s="3" t="s">
        <v>649</v>
      </c>
      <c r="L7" s="4" t="s">
        <v>37</v>
      </c>
      <c r="N7" s="72" t="s">
        <v>602</v>
      </c>
      <c r="O7" s="42" t="s">
        <v>602</v>
      </c>
    </row>
    <row r="8" spans="1:15" x14ac:dyDescent="0.25">
      <c r="A8" s="3" t="s">
        <v>138</v>
      </c>
      <c r="B8" s="3" t="s">
        <v>705</v>
      </c>
      <c r="C8" s="3" t="s">
        <v>145</v>
      </c>
      <c r="D8" s="3">
        <v>66.599999999999994</v>
      </c>
      <c r="E8" s="3">
        <v>0.67</v>
      </c>
      <c r="F8" s="3">
        <v>3.1E-2</v>
      </c>
      <c r="H8" s="9">
        <f t="shared" ref="H8" si="2">1000*D8*E8/100</f>
        <v>446.22</v>
      </c>
      <c r="I8" s="9">
        <f t="shared" ref="I8" si="3">1000*D8*F8/100</f>
        <v>20.646000000000001</v>
      </c>
      <c r="J8" s="3" t="s">
        <v>46</v>
      </c>
      <c r="K8" s="3" t="s">
        <v>649</v>
      </c>
      <c r="L8" s="4" t="s">
        <v>37</v>
      </c>
      <c r="N8" s="72" t="s">
        <v>1033</v>
      </c>
      <c r="O8" s="42" t="s">
        <v>1028</v>
      </c>
    </row>
    <row r="9" spans="1:15" x14ac:dyDescent="0.25">
      <c r="A9" s="3" t="s">
        <v>138</v>
      </c>
      <c r="B9" s="3" t="s">
        <v>706</v>
      </c>
      <c r="C9" s="3" t="s">
        <v>145</v>
      </c>
      <c r="D9" s="3">
        <f>5.6+48.1+47</f>
        <v>100.7</v>
      </c>
      <c r="E9" s="5">
        <f>(1.11*5.6+0.85*48.1+0.69*47)/D9</f>
        <v>0.7897815292949355</v>
      </c>
      <c r="F9" s="11">
        <f>(0.107*5.6+0.067*48.1+0.035*47)/D9</f>
        <v>5.428897715988084E-2</v>
      </c>
      <c r="H9" s="9">
        <f t="shared" ref="H9:H15" si="4">1000*D9*E9/100</f>
        <v>795.31</v>
      </c>
      <c r="I9" s="9">
        <f t="shared" ref="I9:I15" si="5">1000*D9*F9/100</f>
        <v>54.669000000000004</v>
      </c>
      <c r="J9" s="3" t="s">
        <v>46</v>
      </c>
      <c r="K9" s="3" t="s">
        <v>649</v>
      </c>
      <c r="L9" s="4" t="s">
        <v>37</v>
      </c>
      <c r="N9" s="72" t="s">
        <v>602</v>
      </c>
      <c r="O9" s="42" t="s">
        <v>602</v>
      </c>
    </row>
    <row r="10" spans="1:15" x14ac:dyDescent="0.25">
      <c r="A10" s="3" t="s">
        <v>138</v>
      </c>
      <c r="B10" s="3" t="s">
        <v>707</v>
      </c>
      <c r="C10" s="3" t="s">
        <v>145</v>
      </c>
      <c r="D10" s="10">
        <f>52.6+40.4</f>
        <v>93</v>
      </c>
      <c r="E10" s="5">
        <f>(0.72*52.6+0.7*40.4)/D10</f>
        <v>0.71131182795698922</v>
      </c>
      <c r="F10" s="11">
        <f>(0.039*52.6+0.038*40.4)/D10</f>
        <v>3.8565591397849458E-2</v>
      </c>
      <c r="H10" s="9">
        <f t="shared" si="4"/>
        <v>661.52</v>
      </c>
      <c r="I10" s="9">
        <f t="shared" si="5"/>
        <v>35.865999999999993</v>
      </c>
      <c r="J10" s="3" t="s">
        <v>46</v>
      </c>
      <c r="K10" s="3" t="s">
        <v>649</v>
      </c>
      <c r="L10" s="4" t="s">
        <v>37</v>
      </c>
      <c r="N10" s="72" t="s">
        <v>602</v>
      </c>
      <c r="O10" s="42" t="s">
        <v>602</v>
      </c>
    </row>
    <row r="11" spans="1:15" x14ac:dyDescent="0.25">
      <c r="A11" s="3" t="s">
        <v>138</v>
      </c>
      <c r="B11" s="3" t="s">
        <v>708</v>
      </c>
      <c r="C11" s="3" t="s">
        <v>145</v>
      </c>
      <c r="D11" s="3">
        <v>11.2</v>
      </c>
      <c r="E11" s="3">
        <v>0.77</v>
      </c>
      <c r="F11" s="11">
        <v>0.08</v>
      </c>
      <c r="H11" s="9">
        <f t="shared" si="4"/>
        <v>86.24</v>
      </c>
      <c r="I11" s="9">
        <f t="shared" si="5"/>
        <v>8.9600000000000009</v>
      </c>
      <c r="J11" s="3" t="s">
        <v>46</v>
      </c>
      <c r="K11" s="3" t="s">
        <v>649</v>
      </c>
      <c r="L11" s="4" t="s">
        <v>37</v>
      </c>
      <c r="N11" s="72" t="s">
        <v>602</v>
      </c>
      <c r="O11" s="42" t="s">
        <v>602</v>
      </c>
    </row>
    <row r="12" spans="1:15" x14ac:dyDescent="0.25">
      <c r="A12" s="3" t="s">
        <v>138</v>
      </c>
      <c r="B12" s="3" t="s">
        <v>709</v>
      </c>
      <c r="C12" s="3" t="s">
        <v>145</v>
      </c>
      <c r="D12" s="3">
        <v>111.8</v>
      </c>
      <c r="E12" s="3">
        <v>0.65</v>
      </c>
      <c r="F12" s="3">
        <v>3.5000000000000003E-2</v>
      </c>
      <c r="H12" s="9">
        <f t="shared" si="4"/>
        <v>726.7</v>
      </c>
      <c r="I12" s="9">
        <f t="shared" si="5"/>
        <v>39.130000000000003</v>
      </c>
      <c r="J12" s="3" t="s">
        <v>46</v>
      </c>
      <c r="K12" s="3" t="s">
        <v>649</v>
      </c>
      <c r="L12" s="4" t="s">
        <v>37</v>
      </c>
      <c r="N12" s="72" t="s">
        <v>1033</v>
      </c>
      <c r="O12" s="42" t="s">
        <v>1028</v>
      </c>
    </row>
    <row r="13" spans="1:15" x14ac:dyDescent="0.25">
      <c r="A13" s="3" t="s">
        <v>138</v>
      </c>
      <c r="B13" s="3" t="s">
        <v>710</v>
      </c>
      <c r="C13" s="3" t="s">
        <v>145</v>
      </c>
      <c r="D13" s="10">
        <f>15.5+75.9</f>
        <v>91.4</v>
      </c>
      <c r="E13" s="5">
        <f>(0.71*15.5+0.73*75.9)/D13</f>
        <v>0.72660831509846824</v>
      </c>
      <c r="F13" s="11">
        <f>(0.04*15.5+0.033*75.9)/D13</f>
        <v>3.4187089715536106E-2</v>
      </c>
      <c r="H13" s="9">
        <f t="shared" si="4"/>
        <v>664.12</v>
      </c>
      <c r="I13" s="9">
        <f t="shared" si="5"/>
        <v>31.247000000000003</v>
      </c>
      <c r="J13" s="3" t="s">
        <v>46</v>
      </c>
      <c r="K13" s="3" t="s">
        <v>649</v>
      </c>
      <c r="L13" s="4" t="s">
        <v>37</v>
      </c>
      <c r="N13" s="72" t="s">
        <v>1033</v>
      </c>
      <c r="O13" s="42" t="s">
        <v>1028</v>
      </c>
    </row>
    <row r="14" spans="1:15" x14ac:dyDescent="0.25">
      <c r="A14" s="3" t="s">
        <v>138</v>
      </c>
      <c r="B14" s="3" t="s">
        <v>711</v>
      </c>
      <c r="C14" s="3" t="s">
        <v>145</v>
      </c>
      <c r="D14" s="3">
        <v>20.399999999999999</v>
      </c>
      <c r="E14" s="3">
        <v>0.75</v>
      </c>
      <c r="F14" s="3">
        <v>0.10199999999999999</v>
      </c>
      <c r="H14" s="9">
        <f t="shared" si="4"/>
        <v>153</v>
      </c>
      <c r="I14" s="9">
        <f t="shared" si="5"/>
        <v>20.807999999999996</v>
      </c>
      <c r="J14" s="3" t="s">
        <v>46</v>
      </c>
      <c r="K14" s="3" t="s">
        <v>649</v>
      </c>
      <c r="L14" s="4" t="s">
        <v>37</v>
      </c>
      <c r="N14" s="72" t="s">
        <v>1033</v>
      </c>
      <c r="O14" s="42" t="s">
        <v>1028</v>
      </c>
    </row>
    <row r="15" spans="1:15" x14ac:dyDescent="0.25">
      <c r="A15" s="3" t="s">
        <v>138</v>
      </c>
      <c r="B15" s="3" t="s">
        <v>712</v>
      </c>
      <c r="C15" s="3" t="s">
        <v>145</v>
      </c>
      <c r="D15" s="3">
        <v>47.3</v>
      </c>
      <c r="E15" s="3">
        <v>0.66</v>
      </c>
      <c r="F15" s="3">
        <v>4.2000000000000003E-2</v>
      </c>
      <c r="H15" s="9">
        <f t="shared" si="4"/>
        <v>312.18</v>
      </c>
      <c r="I15" s="9">
        <f t="shared" si="5"/>
        <v>19.866</v>
      </c>
      <c r="J15" s="3" t="s">
        <v>46</v>
      </c>
      <c r="K15" s="3" t="s">
        <v>649</v>
      </c>
      <c r="L15" s="4" t="s">
        <v>37</v>
      </c>
      <c r="N15" s="72" t="s">
        <v>1033</v>
      </c>
      <c r="O15" s="42" t="s">
        <v>1028</v>
      </c>
    </row>
    <row r="16" spans="1:15" x14ac:dyDescent="0.25">
      <c r="A16" s="3" t="s">
        <v>138</v>
      </c>
      <c r="B16" s="3" t="s">
        <v>713</v>
      </c>
      <c r="C16" s="3" t="s">
        <v>145</v>
      </c>
      <c r="D16" s="3">
        <f>16.7+38</f>
        <v>54.7</v>
      </c>
      <c r="E16" s="5">
        <f>(0.9*16.7+0.81*38)/D16</f>
        <v>0.83747714808043872</v>
      </c>
      <c r="F16" s="11">
        <f>(0.047*16.7+0.053*38)/D16</f>
        <v>5.116819012797074E-2</v>
      </c>
      <c r="H16" s="9">
        <f t="shared" ref="H16" si="6">1000*D16*E16/100</f>
        <v>458.1</v>
      </c>
      <c r="I16" s="9">
        <f t="shared" ref="I16" si="7">1000*D16*F16/100</f>
        <v>27.988999999999997</v>
      </c>
      <c r="J16" s="3" t="s">
        <v>46</v>
      </c>
      <c r="K16" s="3" t="s">
        <v>649</v>
      </c>
      <c r="L16" s="4" t="s">
        <v>37</v>
      </c>
      <c r="N16" s="72" t="s">
        <v>1029</v>
      </c>
      <c r="O16" s="42" t="s">
        <v>1029</v>
      </c>
    </row>
    <row r="17" spans="1:16" x14ac:dyDescent="0.25">
      <c r="A17" s="3" t="s">
        <v>138</v>
      </c>
      <c r="B17" s="3" t="s">
        <v>721</v>
      </c>
      <c r="C17" s="3" t="s">
        <v>145</v>
      </c>
      <c r="D17" s="6">
        <v>76.400000000000006</v>
      </c>
      <c r="E17" s="6">
        <v>0.73</v>
      </c>
      <c r="F17" s="6">
        <v>4.3999999999999997E-2</v>
      </c>
      <c r="H17" s="9">
        <f t="shared" ref="H17:H21" si="8">1000*D17*E17/100</f>
        <v>557.72</v>
      </c>
      <c r="I17" s="9">
        <f t="shared" ref="I17:I21" si="9">1000*D17*F17/100</f>
        <v>33.616</v>
      </c>
      <c r="J17" s="3" t="s">
        <v>46</v>
      </c>
      <c r="K17" s="3" t="s">
        <v>649</v>
      </c>
      <c r="L17" s="4" t="s">
        <v>37</v>
      </c>
      <c r="N17" s="72" t="s">
        <v>1085</v>
      </c>
      <c r="O17" s="42" t="s">
        <v>1030</v>
      </c>
    </row>
    <row r="18" spans="1:16" x14ac:dyDescent="0.25">
      <c r="A18" s="3" t="s">
        <v>138</v>
      </c>
      <c r="B18" s="3" t="s">
        <v>719</v>
      </c>
      <c r="C18" s="3" t="s">
        <v>145</v>
      </c>
      <c r="D18" s="3">
        <v>1</v>
      </c>
      <c r="E18" s="3">
        <v>1</v>
      </c>
      <c r="F18" s="11"/>
      <c r="H18" s="9">
        <f t="shared" ref="H18:H19" si="10">1000*D18*E18/100</f>
        <v>10</v>
      </c>
      <c r="J18" s="3" t="s">
        <v>46</v>
      </c>
      <c r="K18" s="3" t="s">
        <v>670</v>
      </c>
      <c r="L18" s="4" t="s">
        <v>720</v>
      </c>
      <c r="N18" s="72" t="s">
        <v>1029</v>
      </c>
      <c r="O18" s="42" t="s">
        <v>1029</v>
      </c>
    </row>
    <row r="19" spans="1:16" x14ac:dyDescent="0.25">
      <c r="A19" s="3" t="s">
        <v>138</v>
      </c>
      <c r="B19" s="3" t="s">
        <v>34</v>
      </c>
      <c r="C19" s="3" t="s">
        <v>145</v>
      </c>
      <c r="D19" s="3">
        <v>339</v>
      </c>
      <c r="E19" s="3">
        <v>0.81</v>
      </c>
      <c r="F19" s="11"/>
      <c r="H19" s="9">
        <f t="shared" si="10"/>
        <v>2745.9</v>
      </c>
      <c r="J19" s="3" t="s">
        <v>46</v>
      </c>
      <c r="K19" s="3" t="s">
        <v>1065</v>
      </c>
      <c r="L19" s="4" t="s">
        <v>372</v>
      </c>
      <c r="N19" s="72" t="s">
        <v>1067</v>
      </c>
      <c r="O19" s="72" t="s">
        <v>1067</v>
      </c>
    </row>
    <row r="20" spans="1:16" x14ac:dyDescent="0.25">
      <c r="A20" s="3" t="s">
        <v>138</v>
      </c>
      <c r="B20" s="3" t="s">
        <v>1066</v>
      </c>
      <c r="C20" s="3" t="s">
        <v>145</v>
      </c>
      <c r="D20" s="3">
        <f>88+81.8</f>
        <v>169.8</v>
      </c>
      <c r="E20" s="5">
        <f>(0.86*88+0.79*81.8)/D20</f>
        <v>0.8262779740871613</v>
      </c>
      <c r="F20" s="11"/>
      <c r="H20" s="9">
        <f t="shared" ref="H20" si="11">1000*D20*E20/100</f>
        <v>1403.02</v>
      </c>
      <c r="J20" s="3" t="s">
        <v>46</v>
      </c>
      <c r="K20" s="3" t="s">
        <v>1065</v>
      </c>
      <c r="L20" s="4" t="s">
        <v>372</v>
      </c>
      <c r="N20" s="72" t="s">
        <v>1051</v>
      </c>
      <c r="O20" s="72" t="s">
        <v>1051</v>
      </c>
    </row>
    <row r="21" spans="1:16" x14ac:dyDescent="0.25">
      <c r="A21" s="3" t="s">
        <v>138</v>
      </c>
      <c r="B21" s="3" t="s">
        <v>29</v>
      </c>
      <c r="C21" s="3" t="s">
        <v>142</v>
      </c>
      <c r="D21" s="3">
        <f>184.582+72.914+10.479</f>
        <v>267.97499999999997</v>
      </c>
      <c r="E21" s="5">
        <f>(1.01*184.582+1*72.914+0.94*10.479)/D21</f>
        <v>1.0045417669558727</v>
      </c>
      <c r="F21" s="11">
        <f>(0.073*184.582+0.079*72.914+0.059*10.479)/D21</f>
        <v>7.4085093758746154E-2</v>
      </c>
      <c r="H21" s="9">
        <f t="shared" si="8"/>
        <v>2691.9207999999994</v>
      </c>
      <c r="I21" s="9">
        <f t="shared" si="9"/>
        <v>198.52952999999997</v>
      </c>
      <c r="J21" s="3" t="s">
        <v>46</v>
      </c>
      <c r="K21" s="3" t="s">
        <v>649</v>
      </c>
      <c r="L21" s="4" t="s">
        <v>717</v>
      </c>
      <c r="N21" s="72" t="s">
        <v>1029</v>
      </c>
      <c r="O21" s="42" t="s">
        <v>1029</v>
      </c>
      <c r="P21" s="3" t="s">
        <v>604</v>
      </c>
    </row>
    <row r="22" spans="1:16" x14ac:dyDescent="0.25">
      <c r="A22" s="3" t="s">
        <v>138</v>
      </c>
      <c r="B22" s="3" t="s">
        <v>80</v>
      </c>
      <c r="C22" s="3" t="s">
        <v>145</v>
      </c>
      <c r="D22" s="3">
        <v>330</v>
      </c>
      <c r="E22" s="3">
        <v>0.75</v>
      </c>
      <c r="F22" s="3">
        <v>0.06</v>
      </c>
      <c r="H22" s="9">
        <f t="shared" si="0"/>
        <v>2475</v>
      </c>
      <c r="I22" s="9">
        <f t="shared" si="1"/>
        <v>198</v>
      </c>
      <c r="J22" s="3" t="s">
        <v>46</v>
      </c>
      <c r="K22" s="3" t="s">
        <v>670</v>
      </c>
      <c r="L22" s="4" t="s">
        <v>81</v>
      </c>
      <c r="N22" s="72" t="s">
        <v>1035</v>
      </c>
      <c r="O22" s="42" t="s">
        <v>1031</v>
      </c>
    </row>
    <row r="23" spans="1:16" x14ac:dyDescent="0.25">
      <c r="A23" s="3" t="s">
        <v>138</v>
      </c>
      <c r="B23" s="3" t="s">
        <v>695</v>
      </c>
      <c r="C23" s="3" t="s">
        <v>142</v>
      </c>
      <c r="D23" s="3">
        <f>52.1+5.8+6.7+4.8+63.1+113.8+15+25.9+37.6+31.4+25.3</f>
        <v>381.5</v>
      </c>
      <c r="E23" s="5">
        <f>(0.86*52.1+0.73*5.8+0.6*6.7+0.41*4.8+0.62*63.1+0.57*113.8+0.44*15+0.62*25.9+0.55*37.6+0.55*31.4+0.53*25.3)/$D23</f>
        <v>0.61083355176933163</v>
      </c>
      <c r="F23" s="11">
        <f>(0.03*52.1+0.03*5.8+0.02*6.7+0.01*4.8+0.03*63.1+0.03*113.8+0.02*15+0.03*25.9+0.03*37.6+0.02*31.4+0.02*25.3)/$D23</f>
        <v>2.7693315858453471E-2</v>
      </c>
      <c r="H23" s="9">
        <f t="shared" si="0"/>
        <v>2330.3300000000004</v>
      </c>
      <c r="I23" s="9">
        <f t="shared" si="1"/>
        <v>105.65</v>
      </c>
      <c r="J23" s="3" t="s">
        <v>46</v>
      </c>
      <c r="K23" s="3" t="s">
        <v>696</v>
      </c>
      <c r="L23" s="4" t="s">
        <v>28</v>
      </c>
      <c r="M23" s="4" t="s">
        <v>697</v>
      </c>
      <c r="N23" s="72" t="s">
        <v>602</v>
      </c>
      <c r="O23" s="42" t="s">
        <v>602</v>
      </c>
    </row>
    <row r="24" spans="1:16" x14ac:dyDescent="0.25">
      <c r="A24" s="3" t="s">
        <v>138</v>
      </c>
      <c r="B24" s="3" t="s">
        <v>82</v>
      </c>
      <c r="C24" s="3" t="s">
        <v>145</v>
      </c>
      <c r="D24" s="3">
        <f>137+168</f>
        <v>305</v>
      </c>
      <c r="E24" s="5">
        <f>(0.7*137+0.68*168)/D24</f>
        <v>0.688983606557377</v>
      </c>
      <c r="F24" s="11">
        <f>(0.039*137+0.041*168)/D24</f>
        <v>4.0101639344262294E-2</v>
      </c>
      <c r="H24" s="9">
        <f t="shared" si="0"/>
        <v>2101.4</v>
      </c>
      <c r="I24" s="9">
        <f t="shared" si="1"/>
        <v>122.31</v>
      </c>
      <c r="J24" s="3" t="s">
        <v>46</v>
      </c>
      <c r="K24" s="3" t="s">
        <v>670</v>
      </c>
      <c r="L24" s="4" t="s">
        <v>717</v>
      </c>
      <c r="N24" s="72" t="s">
        <v>1032</v>
      </c>
      <c r="O24" s="42" t="s">
        <v>1032</v>
      </c>
    </row>
    <row r="25" spans="1:16" x14ac:dyDescent="0.25">
      <c r="A25" s="3" t="s">
        <v>138</v>
      </c>
      <c r="B25" s="3" t="s">
        <v>30</v>
      </c>
      <c r="C25" s="3" t="s">
        <v>145</v>
      </c>
      <c r="D25" s="3">
        <f>68.847+98.623+15.727</f>
        <v>183.197</v>
      </c>
      <c r="E25" s="5">
        <f>(1*68.847+0.97*98.623+0.97*15.727)/D25</f>
        <v>0.98127425667450874</v>
      </c>
      <c r="F25" s="5">
        <f>(0.08*68.847+0.08*98.623+0.07*15.727)/D25</f>
        <v>7.9141525243317301E-2</v>
      </c>
      <c r="H25" s="9">
        <f t="shared" si="0"/>
        <v>1797.6649999999997</v>
      </c>
      <c r="I25" s="9">
        <f t="shared" si="1"/>
        <v>144.98490000000001</v>
      </c>
      <c r="J25" s="3" t="s">
        <v>46</v>
      </c>
      <c r="K25" s="3" t="s">
        <v>649</v>
      </c>
      <c r="L25" s="4" t="s">
        <v>38</v>
      </c>
      <c r="N25" s="72" t="s">
        <v>602</v>
      </c>
      <c r="O25" s="42" t="s">
        <v>602</v>
      </c>
    </row>
    <row r="26" spans="1:16" x14ac:dyDescent="0.25">
      <c r="A26" s="3" t="s">
        <v>138</v>
      </c>
      <c r="B26" s="12" t="s">
        <v>724</v>
      </c>
      <c r="C26" s="3" t="s">
        <v>145</v>
      </c>
      <c r="D26" s="3">
        <v>3.3</v>
      </c>
      <c r="E26" s="3">
        <v>1.04</v>
      </c>
      <c r="F26" s="3">
        <v>6.7000000000000004E-2</v>
      </c>
      <c r="H26" s="9">
        <f t="shared" si="0"/>
        <v>34.32</v>
      </c>
      <c r="I26" s="9">
        <f t="shared" si="1"/>
        <v>2.2110000000000003</v>
      </c>
      <c r="J26" s="3" t="s">
        <v>46</v>
      </c>
      <c r="K26" s="3" t="s">
        <v>649</v>
      </c>
      <c r="L26" s="4" t="s">
        <v>62</v>
      </c>
      <c r="N26" s="72" t="s">
        <v>1029</v>
      </c>
      <c r="O26" s="42" t="s">
        <v>1029</v>
      </c>
    </row>
    <row r="27" spans="1:16" x14ac:dyDescent="0.25">
      <c r="A27" s="3" t="s">
        <v>138</v>
      </c>
      <c r="B27" s="12" t="s">
        <v>725</v>
      </c>
      <c r="C27" s="3" t="s">
        <v>145</v>
      </c>
      <c r="D27" s="3">
        <v>23.2</v>
      </c>
      <c r="E27" s="3">
        <v>1.04</v>
      </c>
      <c r="F27" s="3">
        <v>6.5000000000000002E-2</v>
      </c>
      <c r="H27" s="9">
        <f t="shared" ref="H27" si="12">1000*D27*E27/100</f>
        <v>241.28</v>
      </c>
      <c r="I27" s="9">
        <f t="shared" ref="I27" si="13">1000*D27*F27/100</f>
        <v>15.08</v>
      </c>
      <c r="J27" s="3" t="s">
        <v>46</v>
      </c>
      <c r="K27" s="3" t="s">
        <v>649</v>
      </c>
      <c r="L27" s="4" t="s">
        <v>62</v>
      </c>
      <c r="N27" s="72" t="s">
        <v>1029</v>
      </c>
      <c r="O27" s="42" t="s">
        <v>1029</v>
      </c>
    </row>
    <row r="28" spans="1:16" x14ac:dyDescent="0.25">
      <c r="A28" s="3" t="s">
        <v>138</v>
      </c>
      <c r="B28" s="12" t="s">
        <v>755</v>
      </c>
      <c r="C28" s="3" t="s">
        <v>145</v>
      </c>
      <c r="D28" s="3">
        <v>28.12</v>
      </c>
      <c r="E28" s="3">
        <v>0.98</v>
      </c>
      <c r="F28" s="3">
        <v>6.2E-2</v>
      </c>
      <c r="H28" s="9">
        <f t="shared" ref="H28:H33" si="14">1000*D28*E28/100</f>
        <v>275.57599999999996</v>
      </c>
      <c r="I28" s="9">
        <f t="shared" ref="I28:I33" si="15">1000*D28*F28/100</f>
        <v>17.4344</v>
      </c>
      <c r="J28" s="3" t="s">
        <v>46</v>
      </c>
      <c r="K28" s="3" t="s">
        <v>649</v>
      </c>
      <c r="L28" s="4" t="s">
        <v>62</v>
      </c>
      <c r="N28" s="72" t="s">
        <v>1029</v>
      </c>
      <c r="O28" s="42" t="s">
        <v>1029</v>
      </c>
    </row>
    <row r="29" spans="1:16" x14ac:dyDescent="0.25">
      <c r="A29" s="3" t="s">
        <v>138</v>
      </c>
      <c r="B29" s="12" t="s">
        <v>726</v>
      </c>
      <c r="C29" s="3" t="s">
        <v>145</v>
      </c>
      <c r="D29" s="3">
        <v>10.7</v>
      </c>
      <c r="E29" s="5">
        <v>1</v>
      </c>
      <c r="F29" s="3">
        <v>6.6000000000000003E-2</v>
      </c>
      <c r="H29" s="9">
        <f t="shared" si="14"/>
        <v>107</v>
      </c>
      <c r="I29" s="9">
        <f t="shared" si="15"/>
        <v>7.0620000000000003</v>
      </c>
      <c r="J29" s="3" t="s">
        <v>46</v>
      </c>
      <c r="K29" s="3" t="s">
        <v>649</v>
      </c>
      <c r="L29" s="4" t="s">
        <v>62</v>
      </c>
      <c r="N29" s="72" t="s">
        <v>1029</v>
      </c>
      <c r="O29" s="42" t="s">
        <v>1029</v>
      </c>
    </row>
    <row r="30" spans="1:16" x14ac:dyDescent="0.25">
      <c r="A30" s="3" t="s">
        <v>138</v>
      </c>
      <c r="B30" s="12" t="s">
        <v>727</v>
      </c>
      <c r="C30" s="3" t="s">
        <v>145</v>
      </c>
      <c r="D30" s="3">
        <v>3.7</v>
      </c>
      <c r="E30" s="3">
        <v>0.97</v>
      </c>
      <c r="F30" s="3">
        <v>0.06</v>
      </c>
      <c r="H30" s="9">
        <f t="shared" si="14"/>
        <v>35.89</v>
      </c>
      <c r="I30" s="9">
        <f t="shared" si="15"/>
        <v>2.2200000000000002</v>
      </c>
      <c r="J30" s="3" t="s">
        <v>46</v>
      </c>
      <c r="K30" s="3" t="s">
        <v>649</v>
      </c>
      <c r="L30" s="4" t="s">
        <v>62</v>
      </c>
      <c r="N30" s="72" t="s">
        <v>1029</v>
      </c>
      <c r="O30" s="42" t="s">
        <v>1029</v>
      </c>
    </row>
    <row r="31" spans="1:16" x14ac:dyDescent="0.25">
      <c r="A31" s="3" t="s">
        <v>138</v>
      </c>
      <c r="B31" s="12" t="s">
        <v>728</v>
      </c>
      <c r="C31" s="3" t="s">
        <v>145</v>
      </c>
      <c r="D31" s="3">
        <v>1.9</v>
      </c>
      <c r="E31" s="3">
        <v>0.98</v>
      </c>
      <c r="F31" s="3">
        <v>5.1999999999999998E-2</v>
      </c>
      <c r="H31" s="9">
        <f t="shared" si="14"/>
        <v>18.62</v>
      </c>
      <c r="I31" s="9">
        <f t="shared" si="15"/>
        <v>0.98799999999999999</v>
      </c>
      <c r="J31" s="3" t="s">
        <v>46</v>
      </c>
      <c r="K31" s="3" t="s">
        <v>649</v>
      </c>
      <c r="L31" s="4" t="s">
        <v>62</v>
      </c>
      <c r="N31" s="72" t="s">
        <v>1029</v>
      </c>
      <c r="O31" s="42" t="s">
        <v>1029</v>
      </c>
    </row>
    <row r="32" spans="1:16" x14ac:dyDescent="0.25">
      <c r="A32" s="3" t="s">
        <v>138</v>
      </c>
      <c r="B32" s="12" t="s">
        <v>729</v>
      </c>
      <c r="C32" s="3" t="s">
        <v>145</v>
      </c>
      <c r="D32" s="3">
        <v>1.9</v>
      </c>
      <c r="E32" s="3">
        <v>0.98</v>
      </c>
      <c r="F32" s="3">
        <v>7.6999999999999999E-2</v>
      </c>
      <c r="H32" s="9">
        <f t="shared" si="14"/>
        <v>18.62</v>
      </c>
      <c r="I32" s="9">
        <f t="shared" si="15"/>
        <v>1.4630000000000001</v>
      </c>
      <c r="J32" s="3" t="s">
        <v>46</v>
      </c>
      <c r="K32" s="3" t="s">
        <v>649</v>
      </c>
      <c r="L32" s="4" t="s">
        <v>62</v>
      </c>
      <c r="N32" s="72" t="s">
        <v>1029</v>
      </c>
      <c r="O32" s="42" t="s">
        <v>1029</v>
      </c>
    </row>
    <row r="33" spans="1:16" x14ac:dyDescent="0.25">
      <c r="A33" s="3" t="s">
        <v>138</v>
      </c>
      <c r="B33" s="12" t="s">
        <v>730</v>
      </c>
      <c r="C33" s="3" t="s">
        <v>145</v>
      </c>
      <c r="D33" s="3">
        <v>3.94</v>
      </c>
      <c r="E33" s="3">
        <v>0.96</v>
      </c>
      <c r="F33" s="3">
        <v>7.6999999999999999E-2</v>
      </c>
      <c r="H33" s="9">
        <f t="shared" si="14"/>
        <v>37.823999999999998</v>
      </c>
      <c r="I33" s="9">
        <f t="shared" si="15"/>
        <v>3.0337999999999998</v>
      </c>
      <c r="J33" s="3" t="s">
        <v>46</v>
      </c>
      <c r="K33" s="3" t="s">
        <v>649</v>
      </c>
      <c r="L33" s="4" t="s">
        <v>62</v>
      </c>
      <c r="N33" s="72" t="s">
        <v>1029</v>
      </c>
      <c r="O33" s="42" t="s">
        <v>1029</v>
      </c>
    </row>
    <row r="34" spans="1:16" x14ac:dyDescent="0.25">
      <c r="A34" s="3" t="s">
        <v>138</v>
      </c>
      <c r="B34" s="3" t="s">
        <v>731</v>
      </c>
      <c r="C34" s="3" t="s">
        <v>145</v>
      </c>
      <c r="D34" s="3">
        <v>0.3</v>
      </c>
      <c r="E34" s="3">
        <v>1.4</v>
      </c>
      <c r="F34" s="3">
        <v>0.15</v>
      </c>
      <c r="H34" s="9">
        <f t="shared" ref="H34" si="16">1000*D34*E34/100</f>
        <v>4.2</v>
      </c>
      <c r="I34" s="9">
        <f t="shared" ref="I34" si="17">1000*D34*F34/100</f>
        <v>0.45</v>
      </c>
      <c r="J34" s="3" t="s">
        <v>46</v>
      </c>
      <c r="K34" s="3" t="s">
        <v>670</v>
      </c>
      <c r="L34" s="4" t="s">
        <v>62</v>
      </c>
      <c r="N34" s="72" t="s">
        <v>1029</v>
      </c>
      <c r="O34" s="42" t="s">
        <v>1029</v>
      </c>
    </row>
    <row r="35" spans="1:16" x14ac:dyDescent="0.25">
      <c r="A35" s="3" t="s">
        <v>136</v>
      </c>
      <c r="B35" s="3" t="s">
        <v>147</v>
      </c>
      <c r="C35" s="3" t="s">
        <v>145</v>
      </c>
      <c r="D35" s="3">
        <f>140+27</f>
        <v>167</v>
      </c>
      <c r="E35" s="5">
        <f>(0.72*140+0.72*27)/D35</f>
        <v>0.72</v>
      </c>
      <c r="F35" s="5">
        <f>(0.07*140+0.07*27)/D35</f>
        <v>7.0000000000000007E-2</v>
      </c>
      <c r="H35" s="9">
        <f t="shared" si="0"/>
        <v>1202.4000000000001</v>
      </c>
      <c r="I35" s="9">
        <f t="shared" si="1"/>
        <v>116.90000000000002</v>
      </c>
      <c r="J35" s="3" t="s">
        <v>46</v>
      </c>
      <c r="K35" s="3" t="s">
        <v>649</v>
      </c>
      <c r="L35" s="4" t="s">
        <v>59</v>
      </c>
      <c r="N35" s="72" t="s">
        <v>1033</v>
      </c>
      <c r="O35" s="42" t="s">
        <v>1033</v>
      </c>
      <c r="P35" s="72" t="s">
        <v>1034</v>
      </c>
    </row>
    <row r="36" spans="1:16" x14ac:dyDescent="0.25">
      <c r="A36" s="3" t="s">
        <v>138</v>
      </c>
      <c r="B36" s="3" t="s">
        <v>43</v>
      </c>
      <c r="C36" s="3" t="s">
        <v>144</v>
      </c>
      <c r="D36" s="3">
        <f>3.757+59.275+117.21</f>
        <v>180.24199999999999</v>
      </c>
      <c r="E36" s="5">
        <f>(0.65*3.757+0.71*59.275+0.68*117.21)/D36</f>
        <v>0.68924057655818294</v>
      </c>
      <c r="H36" s="9">
        <f t="shared" si="0"/>
        <v>1242.3010000000002</v>
      </c>
      <c r="J36" s="3" t="s">
        <v>46</v>
      </c>
      <c r="K36" s="3" t="s">
        <v>648</v>
      </c>
      <c r="L36" s="4" t="s">
        <v>372</v>
      </c>
      <c r="N36" s="72" t="s">
        <v>602</v>
      </c>
      <c r="O36" s="42" t="s">
        <v>602</v>
      </c>
    </row>
    <row r="37" spans="1:16" x14ac:dyDescent="0.25">
      <c r="A37" s="3" t="s">
        <v>138</v>
      </c>
      <c r="B37" s="3" t="s">
        <v>723</v>
      </c>
      <c r="C37" s="3" t="s">
        <v>145</v>
      </c>
      <c r="D37" s="3">
        <f>178+34</f>
        <v>212</v>
      </c>
      <c r="E37" s="5">
        <f>(0.64*178+0.6*34)/D37</f>
        <v>0.63358490566037728</v>
      </c>
      <c r="F37" s="11">
        <f>(0.041*178+0.04*34)/D37</f>
        <v>4.0839622641509435E-2</v>
      </c>
      <c r="H37" s="9">
        <f t="shared" si="0"/>
        <v>1343.1999999999998</v>
      </c>
      <c r="I37" s="9">
        <f t="shared" si="1"/>
        <v>86.58</v>
      </c>
      <c r="J37" s="3" t="s">
        <v>46</v>
      </c>
      <c r="K37" s="3" t="s">
        <v>670</v>
      </c>
      <c r="L37" s="4" t="s">
        <v>717</v>
      </c>
      <c r="N37" s="72" t="s">
        <v>1032</v>
      </c>
      <c r="O37" s="42" t="s">
        <v>1032</v>
      </c>
    </row>
    <row r="38" spans="1:16" x14ac:dyDescent="0.25">
      <c r="A38" s="3" t="s">
        <v>138</v>
      </c>
      <c r="B38" s="3" t="s">
        <v>714</v>
      </c>
      <c r="C38" s="3" t="s">
        <v>145</v>
      </c>
      <c r="D38" s="3">
        <f>3.9+43.2+20.2</f>
        <v>67.3</v>
      </c>
      <c r="E38" s="5">
        <f>(0.94*3.9+0.78*43.2+0.63*20.2)/D38</f>
        <v>0.7442496285289748</v>
      </c>
      <c r="F38" s="11">
        <f>(0.048*3.9+0.043*43.2+0.034*20.2)/D38</f>
        <v>4.0588410104011895E-2</v>
      </c>
      <c r="H38" s="9">
        <f t="shared" si="0"/>
        <v>500.88000000000005</v>
      </c>
      <c r="I38" s="9">
        <f t="shared" si="1"/>
        <v>27.316000000000003</v>
      </c>
      <c r="J38" s="3" t="s">
        <v>46</v>
      </c>
      <c r="K38" s="3" t="s">
        <v>649</v>
      </c>
      <c r="L38" s="4" t="s">
        <v>37</v>
      </c>
      <c r="M38" s="4" t="s">
        <v>316</v>
      </c>
      <c r="N38" s="72" t="s">
        <v>1035</v>
      </c>
      <c r="O38" s="42" t="s">
        <v>1035</v>
      </c>
    </row>
    <row r="39" spans="1:16" x14ac:dyDescent="0.25">
      <c r="A39" s="3" t="s">
        <v>138</v>
      </c>
      <c r="B39" s="3" t="s">
        <v>715</v>
      </c>
      <c r="C39" s="3" t="s">
        <v>145</v>
      </c>
      <c r="D39" s="3">
        <v>24.3</v>
      </c>
      <c r="E39" s="3">
        <v>0.81</v>
      </c>
      <c r="F39" s="3">
        <v>5.8999999999999997E-2</v>
      </c>
      <c r="H39" s="9">
        <f t="shared" ref="H39:H40" si="18">1000*D39*E39/100</f>
        <v>196.83</v>
      </c>
      <c r="I39" s="9">
        <f t="shared" ref="I39:I40" si="19">1000*D39*F39/100</f>
        <v>14.336999999999998</v>
      </c>
      <c r="J39" s="3" t="s">
        <v>46</v>
      </c>
      <c r="K39" s="3" t="s">
        <v>649</v>
      </c>
      <c r="L39" s="4" t="s">
        <v>37</v>
      </c>
      <c r="N39" s="72" t="s">
        <v>1035</v>
      </c>
      <c r="O39" s="42" t="s">
        <v>1035</v>
      </c>
    </row>
    <row r="40" spans="1:16" x14ac:dyDescent="0.25">
      <c r="A40" s="3" t="s">
        <v>138</v>
      </c>
      <c r="B40" s="3" t="s">
        <v>716</v>
      </c>
      <c r="C40" s="3" t="s">
        <v>145</v>
      </c>
      <c r="D40" s="3">
        <v>43.8</v>
      </c>
      <c r="E40" s="3">
        <v>0.78</v>
      </c>
      <c r="F40" s="3">
        <v>6.6000000000000003E-2</v>
      </c>
      <c r="H40" s="9">
        <f t="shared" si="18"/>
        <v>341.64</v>
      </c>
      <c r="I40" s="9">
        <f t="shared" si="19"/>
        <v>28.908000000000001</v>
      </c>
      <c r="J40" s="3" t="s">
        <v>46</v>
      </c>
      <c r="K40" s="3" t="s">
        <v>649</v>
      </c>
      <c r="L40" s="4" t="s">
        <v>37</v>
      </c>
      <c r="N40" s="72" t="s">
        <v>1035</v>
      </c>
      <c r="O40" s="42" t="s">
        <v>1035</v>
      </c>
    </row>
    <row r="41" spans="1:16" x14ac:dyDescent="0.25">
      <c r="A41" s="3" t="s">
        <v>138</v>
      </c>
      <c r="B41" s="3" t="s">
        <v>756</v>
      </c>
      <c r="C41" s="3" t="s">
        <v>145</v>
      </c>
      <c r="D41" s="3">
        <v>10.33</v>
      </c>
      <c r="E41" s="3">
        <v>0.64</v>
      </c>
      <c r="F41" s="3">
        <v>0.47</v>
      </c>
      <c r="H41" s="9">
        <f t="shared" ref="H41" si="20">1000*D41*E41/100</f>
        <v>66.111999999999995</v>
      </c>
      <c r="I41" s="9">
        <f t="shared" ref="I41" si="21">1000*D41*F41/100</f>
        <v>48.550999999999995</v>
      </c>
      <c r="J41" s="3" t="s">
        <v>46</v>
      </c>
      <c r="K41" s="3" t="s">
        <v>649</v>
      </c>
      <c r="L41" s="4" t="s">
        <v>37</v>
      </c>
      <c r="N41" s="72" t="s">
        <v>1035</v>
      </c>
      <c r="O41" s="42" t="s">
        <v>1035</v>
      </c>
    </row>
    <row r="42" spans="1:16" x14ac:dyDescent="0.25">
      <c r="A42" s="3" t="s">
        <v>136</v>
      </c>
      <c r="B42" s="3" t="s">
        <v>63</v>
      </c>
      <c r="C42" s="3" t="s">
        <v>145</v>
      </c>
      <c r="D42" s="3">
        <v>96</v>
      </c>
      <c r="E42" s="3">
        <v>0.69</v>
      </c>
      <c r="F42" s="3">
        <v>0.12</v>
      </c>
      <c r="G42" s="3" t="s">
        <v>734</v>
      </c>
      <c r="H42" s="9">
        <f t="shared" si="0"/>
        <v>662.4</v>
      </c>
      <c r="I42" s="9">
        <f t="shared" si="1"/>
        <v>115.2</v>
      </c>
      <c r="J42" s="3" t="s">
        <v>46</v>
      </c>
      <c r="K42" s="3" t="s">
        <v>733</v>
      </c>
      <c r="L42" s="4" t="s">
        <v>73</v>
      </c>
      <c r="N42" s="72" t="s">
        <v>1031</v>
      </c>
      <c r="O42" s="42" t="s">
        <v>1031</v>
      </c>
    </row>
    <row r="43" spans="1:16" x14ac:dyDescent="0.25">
      <c r="A43" s="3" t="s">
        <v>138</v>
      </c>
      <c r="B43" s="3" t="s">
        <v>31</v>
      </c>
      <c r="C43" s="3" t="s">
        <v>145</v>
      </c>
      <c r="D43" s="3">
        <v>80.5</v>
      </c>
      <c r="E43" s="3">
        <v>0.77</v>
      </c>
      <c r="F43" s="3">
        <v>0.06</v>
      </c>
      <c r="H43" s="9">
        <f t="shared" si="0"/>
        <v>619.85</v>
      </c>
      <c r="I43" s="9">
        <f t="shared" si="1"/>
        <v>48.3</v>
      </c>
      <c r="J43" s="3" t="s">
        <v>46</v>
      </c>
      <c r="K43" s="3" t="s">
        <v>670</v>
      </c>
      <c r="L43" s="4" t="s">
        <v>732</v>
      </c>
      <c r="N43" s="72" t="s">
        <v>1035</v>
      </c>
      <c r="O43" s="42" t="s">
        <v>1035</v>
      </c>
    </row>
    <row r="44" spans="1:16" x14ac:dyDescent="0.25">
      <c r="A44" s="3" t="s">
        <v>135</v>
      </c>
      <c r="B44" s="3" t="s">
        <v>159</v>
      </c>
      <c r="C44" s="3" t="s">
        <v>145</v>
      </c>
      <c r="D44" s="3">
        <v>33.299999999999997</v>
      </c>
      <c r="E44" s="3">
        <v>0.81</v>
      </c>
      <c r="F44" s="3">
        <v>7.0000000000000007E-2</v>
      </c>
      <c r="H44" s="9">
        <f t="shared" si="0"/>
        <v>269.73</v>
      </c>
      <c r="I44" s="9">
        <f t="shared" si="1"/>
        <v>23.31</v>
      </c>
      <c r="J44" s="3" t="s">
        <v>46</v>
      </c>
      <c r="K44" s="3" t="s">
        <v>649</v>
      </c>
      <c r="L44" s="4" t="s">
        <v>38</v>
      </c>
      <c r="N44" s="72" t="s">
        <v>602</v>
      </c>
      <c r="O44" s="42" t="s">
        <v>602</v>
      </c>
    </row>
    <row r="45" spans="1:16" x14ac:dyDescent="0.25">
      <c r="A45" s="3" t="s">
        <v>138</v>
      </c>
      <c r="B45" s="3" t="s">
        <v>79</v>
      </c>
      <c r="C45" s="3" t="s">
        <v>145</v>
      </c>
      <c r="D45" s="3">
        <v>63.5</v>
      </c>
      <c r="E45" s="3">
        <v>0.38</v>
      </c>
      <c r="G45" s="3" t="s">
        <v>948</v>
      </c>
      <c r="H45" s="9">
        <f t="shared" si="0"/>
        <v>241.3</v>
      </c>
      <c r="J45" s="3" t="s">
        <v>46</v>
      </c>
      <c r="K45" s="3" t="s">
        <v>670</v>
      </c>
      <c r="L45" s="4" t="s">
        <v>735</v>
      </c>
      <c r="N45" s="72" t="s">
        <v>1035</v>
      </c>
      <c r="O45" s="42" t="s">
        <v>1031</v>
      </c>
    </row>
    <row r="46" spans="1:16" x14ac:dyDescent="0.25">
      <c r="A46" s="3" t="s">
        <v>138</v>
      </c>
      <c r="B46" s="3" t="s">
        <v>32</v>
      </c>
      <c r="C46" s="3" t="s">
        <v>145</v>
      </c>
      <c r="D46" s="3">
        <v>29.6</v>
      </c>
      <c r="E46" s="3">
        <v>0.70699999999999996</v>
      </c>
      <c r="F46" s="3">
        <v>0.06</v>
      </c>
      <c r="H46" s="9">
        <f t="shared" si="0"/>
        <v>209.27199999999996</v>
      </c>
      <c r="I46" s="9">
        <f t="shared" ref="I46:I75" si="22">1000*D46*F46/100</f>
        <v>17.760000000000002</v>
      </c>
      <c r="J46" s="3" t="s">
        <v>46</v>
      </c>
      <c r="K46" s="3" t="s">
        <v>670</v>
      </c>
      <c r="L46" s="4" t="s">
        <v>66</v>
      </c>
      <c r="N46" s="72" t="s">
        <v>1030</v>
      </c>
      <c r="O46" s="72" t="s">
        <v>1030</v>
      </c>
    </row>
    <row r="47" spans="1:16" x14ac:dyDescent="0.25">
      <c r="A47" s="3" t="s">
        <v>138</v>
      </c>
      <c r="B47" s="3" t="s">
        <v>736</v>
      </c>
      <c r="C47" s="3" t="s">
        <v>145</v>
      </c>
      <c r="D47" s="3">
        <v>30</v>
      </c>
      <c r="E47" s="3">
        <v>0.64</v>
      </c>
      <c r="F47" s="3">
        <v>0.03</v>
      </c>
      <c r="H47" s="9">
        <f t="shared" si="0"/>
        <v>192</v>
      </c>
      <c r="I47" s="9">
        <f t="shared" si="22"/>
        <v>9</v>
      </c>
      <c r="J47" s="3" t="s">
        <v>46</v>
      </c>
      <c r="K47" s="3" t="s">
        <v>670</v>
      </c>
      <c r="L47" s="4" t="s">
        <v>83</v>
      </c>
      <c r="N47" s="72" t="s">
        <v>1036</v>
      </c>
      <c r="O47" s="42" t="s">
        <v>1036</v>
      </c>
    </row>
    <row r="48" spans="1:16" x14ac:dyDescent="0.25">
      <c r="A48" s="3" t="s">
        <v>138</v>
      </c>
      <c r="B48" s="3" t="s">
        <v>84</v>
      </c>
      <c r="C48" s="3" t="s">
        <v>145</v>
      </c>
      <c r="D48" s="3">
        <f>8+1+8.8+0.1</f>
        <v>17.900000000000002</v>
      </c>
      <c r="E48" s="5">
        <f>(1.11*8+0.96*1+1.04*8.8+1.06*0.1)/D48</f>
        <v>1.0669273743016761</v>
      </c>
      <c r="F48" s="5">
        <f>(0.16*8+0.1*1+0.11*8.8+0.12*0.1)/D48</f>
        <v>0.13184357541899441</v>
      </c>
      <c r="H48" s="9">
        <f t="shared" si="0"/>
        <v>190.98000000000005</v>
      </c>
      <c r="I48" s="9">
        <f t="shared" si="22"/>
        <v>23.600000000000005</v>
      </c>
      <c r="J48" s="3" t="s">
        <v>46</v>
      </c>
      <c r="K48" s="3" t="s">
        <v>670</v>
      </c>
      <c r="L48" s="4" t="s">
        <v>718</v>
      </c>
      <c r="M48" s="4" t="s">
        <v>85</v>
      </c>
      <c r="N48" s="72" t="s">
        <v>602</v>
      </c>
      <c r="O48" s="42" t="s">
        <v>602</v>
      </c>
    </row>
    <row r="49" spans="1:15" x14ac:dyDescent="0.25">
      <c r="A49" s="3" t="s">
        <v>138</v>
      </c>
      <c r="B49" s="3" t="s">
        <v>87</v>
      </c>
      <c r="C49" s="3" t="s">
        <v>145</v>
      </c>
      <c r="D49" s="3">
        <f>16.6+15.34</f>
        <v>31.94</v>
      </c>
      <c r="E49" s="5">
        <f>(0.6*16.6+0.51*15.34)/D49</f>
        <v>0.55677520350657483</v>
      </c>
      <c r="F49" s="5">
        <f>(0.14*16.6+0.11*15.34)/D49</f>
        <v>0.1255917345021916</v>
      </c>
      <c r="H49" s="9">
        <f t="shared" si="0"/>
        <v>177.834</v>
      </c>
      <c r="I49" s="9">
        <f t="shared" si="22"/>
        <v>40.113999999999997</v>
      </c>
      <c r="J49" s="3" t="s">
        <v>46</v>
      </c>
      <c r="K49" s="3" t="s">
        <v>649</v>
      </c>
      <c r="L49" s="4" t="s">
        <v>86</v>
      </c>
      <c r="N49" s="72" t="s">
        <v>602</v>
      </c>
      <c r="O49" s="42" t="s">
        <v>602</v>
      </c>
    </row>
    <row r="50" spans="1:15" x14ac:dyDescent="0.25">
      <c r="A50" s="3" t="s">
        <v>138</v>
      </c>
      <c r="B50" s="3" t="s">
        <v>722</v>
      </c>
      <c r="C50" s="3" t="s">
        <v>145</v>
      </c>
      <c r="D50" s="3">
        <v>16.2</v>
      </c>
      <c r="E50" s="3">
        <v>0.94</v>
      </c>
      <c r="F50" s="3">
        <v>0.05</v>
      </c>
      <c r="H50" s="9">
        <f t="shared" si="0"/>
        <v>152.28</v>
      </c>
      <c r="I50" s="9">
        <f t="shared" si="22"/>
        <v>8.1</v>
      </c>
      <c r="J50" s="3" t="s">
        <v>46</v>
      </c>
      <c r="K50" s="3" t="s">
        <v>670</v>
      </c>
      <c r="L50" s="4" t="s">
        <v>37</v>
      </c>
      <c r="N50" s="72" t="s">
        <v>1030</v>
      </c>
      <c r="O50" s="42" t="s">
        <v>1030</v>
      </c>
    </row>
    <row r="51" spans="1:15" x14ac:dyDescent="0.25">
      <c r="A51" s="3" t="s">
        <v>138</v>
      </c>
      <c r="B51" s="3" t="s">
        <v>90</v>
      </c>
      <c r="C51" s="3" t="s">
        <v>145</v>
      </c>
      <c r="D51" s="3">
        <f>16+2+25.3+0.637+0.141</f>
        <v>44.077999999999996</v>
      </c>
      <c r="E51" s="5">
        <f>(0.56*16+0.74*2+0.53*25.3+1*0.637+1.6*0.141)/D51</f>
        <v>0.56063342256908222</v>
      </c>
      <c r="F51" s="11">
        <f>(0.026*16+0*2+0.02*25.3+0*0.637+0*0.141)/D51</f>
        <v>2.0917464494759289E-2</v>
      </c>
      <c r="H51" s="9">
        <f t="shared" ref="H51" si="23">1000*D51*E51/100</f>
        <v>247.11600000000001</v>
      </c>
      <c r="I51" s="9">
        <f t="shared" ref="I51" si="24">1000*D51*F51/100</f>
        <v>9.2199999999999971</v>
      </c>
      <c r="J51" s="3" t="s">
        <v>46</v>
      </c>
      <c r="K51" s="3" t="s">
        <v>670</v>
      </c>
      <c r="L51" s="4" t="s">
        <v>737</v>
      </c>
      <c r="M51" s="4" t="s">
        <v>738</v>
      </c>
      <c r="N51" s="72" t="s">
        <v>602</v>
      </c>
      <c r="O51" s="42" t="s">
        <v>602</v>
      </c>
    </row>
    <row r="52" spans="1:15" x14ac:dyDescent="0.25">
      <c r="A52" s="3" t="s">
        <v>136</v>
      </c>
      <c r="B52" s="3" t="s">
        <v>148</v>
      </c>
      <c r="C52" s="3" t="s">
        <v>145</v>
      </c>
      <c r="D52" s="3">
        <v>16</v>
      </c>
      <c r="E52" s="3">
        <v>0.83</v>
      </c>
      <c r="F52" s="3">
        <v>6.4000000000000001E-2</v>
      </c>
      <c r="G52" s="3" t="s">
        <v>1068</v>
      </c>
      <c r="H52" s="9">
        <f t="shared" si="0"/>
        <v>132.80000000000001</v>
      </c>
      <c r="I52" s="9">
        <f t="shared" si="22"/>
        <v>10.24</v>
      </c>
      <c r="J52" s="3" t="s">
        <v>46</v>
      </c>
      <c r="K52" s="3" t="s">
        <v>649</v>
      </c>
      <c r="L52" s="4" t="s">
        <v>59</v>
      </c>
      <c r="N52" s="72" t="s">
        <v>1035</v>
      </c>
      <c r="O52" s="72" t="s">
        <v>1035</v>
      </c>
    </row>
    <row r="53" spans="1:15" x14ac:dyDescent="0.25">
      <c r="A53" s="3" t="s">
        <v>138</v>
      </c>
      <c r="B53" s="3" t="s">
        <v>92</v>
      </c>
      <c r="C53" s="3" t="s">
        <v>145</v>
      </c>
      <c r="D53" s="3">
        <v>14.7</v>
      </c>
      <c r="E53" s="5">
        <v>0.9</v>
      </c>
      <c r="F53" s="3">
        <v>0.06</v>
      </c>
      <c r="H53" s="9">
        <f t="shared" si="0"/>
        <v>132.30000000000001</v>
      </c>
      <c r="I53" s="9">
        <f t="shared" si="22"/>
        <v>8.82</v>
      </c>
      <c r="J53" s="3" t="s">
        <v>46</v>
      </c>
      <c r="K53" s="3" t="s">
        <v>935</v>
      </c>
      <c r="L53" s="4" t="s">
        <v>934</v>
      </c>
      <c r="N53" s="72" t="s">
        <v>1032</v>
      </c>
      <c r="O53" s="42" t="s">
        <v>1032</v>
      </c>
    </row>
    <row r="54" spans="1:15" x14ac:dyDescent="0.25">
      <c r="A54" s="3" t="s">
        <v>137</v>
      </c>
      <c r="B54" s="3" t="s">
        <v>129</v>
      </c>
      <c r="C54" s="3" t="s">
        <v>145</v>
      </c>
      <c r="D54" s="3">
        <f>9.12+2.3+3.07</f>
        <v>14.489999999999998</v>
      </c>
      <c r="E54" s="5">
        <f>(0.97*9.12+0.83*2.3+0.77*3.07)/D54</f>
        <v>0.90540372670807456</v>
      </c>
      <c r="F54" s="5">
        <f>(0.07*9.12+0.03*2.3+0.05*3.07)/D54</f>
        <v>5.9413388543823324E-2</v>
      </c>
      <c r="H54" s="9">
        <f t="shared" si="0"/>
        <v>131.19299999999998</v>
      </c>
      <c r="I54" s="9">
        <f t="shared" si="22"/>
        <v>8.6089999999999982</v>
      </c>
      <c r="J54" s="3" t="s">
        <v>46</v>
      </c>
      <c r="K54" s="3" t="s">
        <v>649</v>
      </c>
      <c r="L54" s="4" t="s">
        <v>58</v>
      </c>
      <c r="N54" s="72" t="s">
        <v>602</v>
      </c>
      <c r="O54" s="72" t="s">
        <v>602</v>
      </c>
    </row>
    <row r="55" spans="1:15" x14ac:dyDescent="0.25">
      <c r="A55" s="3" t="s">
        <v>137</v>
      </c>
      <c r="B55" s="3" t="s">
        <v>127</v>
      </c>
      <c r="C55" s="3" t="s">
        <v>145</v>
      </c>
      <c r="D55" s="5">
        <v>8</v>
      </c>
      <c r="E55" s="3">
        <v>1.04</v>
      </c>
      <c r="F55" s="3">
        <v>0.08</v>
      </c>
      <c r="H55" s="9">
        <f t="shared" si="0"/>
        <v>83.2</v>
      </c>
      <c r="I55" s="9">
        <f t="shared" si="22"/>
        <v>6.4</v>
      </c>
      <c r="J55" s="3" t="s">
        <v>46</v>
      </c>
      <c r="K55" s="3" t="s">
        <v>649</v>
      </c>
      <c r="L55" s="4" t="s">
        <v>128</v>
      </c>
      <c r="N55" s="72" t="s">
        <v>1031</v>
      </c>
      <c r="O55" s="72" t="s">
        <v>1031</v>
      </c>
    </row>
    <row r="56" spans="1:15" x14ac:dyDescent="0.25">
      <c r="A56" s="3" t="s">
        <v>137</v>
      </c>
      <c r="B56" s="3" t="s">
        <v>130</v>
      </c>
      <c r="C56" s="3" t="s">
        <v>145</v>
      </c>
      <c r="D56" s="3">
        <v>0.84</v>
      </c>
      <c r="E56" s="3">
        <v>0.84</v>
      </c>
      <c r="F56" s="3">
        <v>0.03</v>
      </c>
      <c r="H56" s="9">
        <f t="shared" ref="H56:H59" si="25">1000*D56*E56/100</f>
        <v>7.056</v>
      </c>
      <c r="I56" s="9">
        <f t="shared" ref="I56:I59" si="26">1000*D56*F56/100</f>
        <v>0.252</v>
      </c>
      <c r="J56" s="3" t="s">
        <v>46</v>
      </c>
      <c r="K56" s="3" t="s">
        <v>649</v>
      </c>
      <c r="L56" s="4" t="s">
        <v>58</v>
      </c>
      <c r="N56" s="72" t="s">
        <v>602</v>
      </c>
      <c r="O56" s="72" t="s">
        <v>602</v>
      </c>
    </row>
    <row r="57" spans="1:15" x14ac:dyDescent="0.25">
      <c r="A57" s="3" t="s">
        <v>137</v>
      </c>
      <c r="B57" s="3" t="s">
        <v>1027</v>
      </c>
      <c r="C57" s="3" t="s">
        <v>145</v>
      </c>
      <c r="D57" s="5">
        <f>16.2+9</f>
        <v>25.2</v>
      </c>
      <c r="E57" s="5">
        <f>(0.67*16.2+0.24*9)/D57</f>
        <v>0.51642857142857146</v>
      </c>
      <c r="F57" s="5">
        <f>(0.12*16.2+0.03*9)/D57</f>
        <v>8.7857142857142856E-2</v>
      </c>
      <c r="H57" s="9">
        <f t="shared" si="25"/>
        <v>130.13999999999999</v>
      </c>
      <c r="I57" s="9">
        <f t="shared" si="26"/>
        <v>22.14</v>
      </c>
      <c r="J57" s="3" t="s">
        <v>46</v>
      </c>
      <c r="K57" s="3" t="s">
        <v>649</v>
      </c>
      <c r="L57" s="4" t="s">
        <v>58</v>
      </c>
      <c r="N57" s="72" t="s">
        <v>602</v>
      </c>
      <c r="O57" s="72" t="s">
        <v>602</v>
      </c>
    </row>
    <row r="58" spans="1:15" x14ac:dyDescent="0.25">
      <c r="A58" s="3" t="s">
        <v>137</v>
      </c>
      <c r="B58" s="3" t="s">
        <v>131</v>
      </c>
      <c r="C58" s="3" t="s">
        <v>145</v>
      </c>
      <c r="D58" s="3">
        <v>7.08</v>
      </c>
      <c r="E58" s="5">
        <v>0.8</v>
      </c>
      <c r="F58" s="3">
        <v>0.04</v>
      </c>
      <c r="H58" s="9">
        <f t="shared" si="25"/>
        <v>56.64</v>
      </c>
      <c r="I58" s="9">
        <f t="shared" si="26"/>
        <v>2.8319999999999999</v>
      </c>
      <c r="J58" s="3" t="s">
        <v>46</v>
      </c>
      <c r="K58" s="3" t="s">
        <v>649</v>
      </c>
      <c r="L58" s="4" t="s">
        <v>58</v>
      </c>
      <c r="N58" s="72" t="s">
        <v>602</v>
      </c>
      <c r="O58" s="72" t="s">
        <v>602</v>
      </c>
    </row>
    <row r="59" spans="1:15" x14ac:dyDescent="0.25">
      <c r="A59" s="3" t="s">
        <v>137</v>
      </c>
      <c r="B59" s="3" t="s">
        <v>1013</v>
      </c>
      <c r="C59" s="3" t="s">
        <v>145</v>
      </c>
      <c r="D59" s="3">
        <f>2.43+6.24</f>
        <v>8.67</v>
      </c>
      <c r="E59" s="5">
        <f>(0.58*2.43+0.2*6.24)/D59</f>
        <v>0.30650519031141871</v>
      </c>
      <c r="F59" s="5">
        <f>(0.2*2.42+0.04*6.24)/D59</f>
        <v>8.4613610149942328E-2</v>
      </c>
      <c r="H59" s="9">
        <f t="shared" si="25"/>
        <v>26.574000000000002</v>
      </c>
      <c r="I59" s="9">
        <f t="shared" si="26"/>
        <v>7.3360000000000003</v>
      </c>
      <c r="J59" s="3" t="s">
        <v>46</v>
      </c>
      <c r="K59" s="3" t="s">
        <v>649</v>
      </c>
      <c r="L59" s="4" t="s">
        <v>58</v>
      </c>
      <c r="N59" s="72" t="s">
        <v>602</v>
      </c>
      <c r="O59" s="72" t="s">
        <v>602</v>
      </c>
    </row>
    <row r="60" spans="1:15" x14ac:dyDescent="0.25">
      <c r="A60" s="3" t="s">
        <v>136</v>
      </c>
      <c r="B60" s="3" t="s">
        <v>740</v>
      </c>
      <c r="C60" s="3" t="s">
        <v>145</v>
      </c>
      <c r="D60" s="3">
        <f>5.2+21.9</f>
        <v>27.099999999999998</v>
      </c>
      <c r="E60" s="3">
        <f>(0.69*5.2+0.83*21.9)/D60</f>
        <v>0.80313653136531371</v>
      </c>
      <c r="F60" s="5">
        <f>(0.08*5.2+0.04*21.9)/D60</f>
        <v>4.7675276752767531E-2</v>
      </c>
      <c r="H60" s="9">
        <f t="shared" si="0"/>
        <v>217.65</v>
      </c>
      <c r="I60" s="9">
        <f t="shared" si="22"/>
        <v>12.92</v>
      </c>
      <c r="J60" s="3" t="s">
        <v>671</v>
      </c>
      <c r="K60" s="3" t="s">
        <v>649</v>
      </c>
      <c r="L60" s="4" t="s">
        <v>146</v>
      </c>
      <c r="N60" s="72" t="s">
        <v>1037</v>
      </c>
      <c r="O60" s="72" t="s">
        <v>1037</v>
      </c>
    </row>
    <row r="61" spans="1:15" x14ac:dyDescent="0.25">
      <c r="A61" s="3" t="s">
        <v>138</v>
      </c>
      <c r="B61" s="3" t="s">
        <v>741</v>
      </c>
      <c r="C61" s="3" t="s">
        <v>145</v>
      </c>
      <c r="D61" s="5">
        <v>14.5</v>
      </c>
      <c r="E61" s="3">
        <v>0.7</v>
      </c>
      <c r="F61" s="11">
        <v>4.5600000000000002E-2</v>
      </c>
      <c r="H61" s="9">
        <f t="shared" si="0"/>
        <v>101.5</v>
      </c>
      <c r="I61" s="3">
        <f t="shared" si="22"/>
        <v>6.6120000000000001</v>
      </c>
      <c r="J61" s="3" t="s">
        <v>46</v>
      </c>
      <c r="K61" s="3" t="s">
        <v>649</v>
      </c>
      <c r="L61" s="4" t="s">
        <v>742</v>
      </c>
      <c r="N61" s="72" t="s">
        <v>1086</v>
      </c>
      <c r="O61" s="42" t="s">
        <v>1038</v>
      </c>
    </row>
    <row r="62" spans="1:15" x14ac:dyDescent="0.25">
      <c r="A62" s="3" t="s">
        <v>140</v>
      </c>
      <c r="B62" s="3" t="s">
        <v>60</v>
      </c>
      <c r="C62" s="3" t="s">
        <v>145</v>
      </c>
      <c r="D62" s="3">
        <f>0.159+0.254+4.435+1.758</f>
        <v>6.6059999999999999</v>
      </c>
      <c r="E62" s="3">
        <f>(0.56*0.159+0.65*0.254+0.87*4.435+0.72*1.758)/D62</f>
        <v>0.81416136845292153</v>
      </c>
      <c r="F62" s="3">
        <v>0.14000000000000001</v>
      </c>
      <c r="H62" s="9">
        <f t="shared" si="0"/>
        <v>53.783499999999997</v>
      </c>
      <c r="I62" s="9">
        <f t="shared" si="22"/>
        <v>9.2484000000000002</v>
      </c>
      <c r="J62" s="3" t="s">
        <v>671</v>
      </c>
      <c r="K62" s="3" t="s">
        <v>649</v>
      </c>
      <c r="L62" s="4" t="s">
        <v>61</v>
      </c>
      <c r="N62" s="72" t="s">
        <v>1030</v>
      </c>
      <c r="O62" s="72" t="s">
        <v>1030</v>
      </c>
    </row>
    <row r="63" spans="1:15" x14ac:dyDescent="0.25">
      <c r="A63" s="3" t="s">
        <v>138</v>
      </c>
      <c r="B63" s="3" t="s">
        <v>98</v>
      </c>
      <c r="C63" s="3" t="s">
        <v>145</v>
      </c>
      <c r="D63" s="3">
        <v>5.39</v>
      </c>
      <c r="E63" s="3">
        <v>0.96</v>
      </c>
      <c r="F63" s="3">
        <v>8.4000000000000005E-2</v>
      </c>
      <c r="H63" s="9">
        <f t="shared" si="0"/>
        <v>51.744</v>
      </c>
      <c r="I63" s="9">
        <f t="shared" si="22"/>
        <v>4.5276000000000005</v>
      </c>
      <c r="J63" s="3" t="s">
        <v>46</v>
      </c>
      <c r="K63" s="3" t="s">
        <v>670</v>
      </c>
      <c r="L63" s="4" t="s">
        <v>717</v>
      </c>
      <c r="N63" s="72" t="s">
        <v>1032</v>
      </c>
      <c r="O63" s="72" t="s">
        <v>1032</v>
      </c>
    </row>
    <row r="64" spans="1:15" x14ac:dyDescent="0.25">
      <c r="A64" s="3" t="s">
        <v>138</v>
      </c>
      <c r="B64" s="3" t="s">
        <v>100</v>
      </c>
      <c r="C64" s="3" t="s">
        <v>145</v>
      </c>
      <c r="D64" s="3">
        <v>4.22</v>
      </c>
      <c r="E64" s="3">
        <v>1.08</v>
      </c>
      <c r="F64" s="3">
        <v>7.8E-2</v>
      </c>
      <c r="H64" s="9">
        <f t="shared" si="0"/>
        <v>45.576000000000001</v>
      </c>
      <c r="I64" s="9">
        <f t="shared" si="22"/>
        <v>3.2916000000000003</v>
      </c>
      <c r="J64" s="3" t="s">
        <v>46</v>
      </c>
      <c r="K64" s="3" t="s">
        <v>670</v>
      </c>
      <c r="L64" s="4" t="s">
        <v>717</v>
      </c>
      <c r="N64" s="72" t="s">
        <v>1032</v>
      </c>
      <c r="O64" s="72" t="s">
        <v>1032</v>
      </c>
    </row>
    <row r="65" spans="1:15" x14ac:dyDescent="0.25">
      <c r="A65" s="3" t="s">
        <v>138</v>
      </c>
      <c r="B65" s="3" t="s">
        <v>101</v>
      </c>
      <c r="C65" s="3" t="s">
        <v>145</v>
      </c>
      <c r="D65" s="3">
        <v>4.6500000000000004</v>
      </c>
      <c r="E65" s="3">
        <v>0.98</v>
      </c>
      <c r="F65" s="3">
        <v>6.9000000000000006E-2</v>
      </c>
      <c r="H65" s="9">
        <f t="shared" si="0"/>
        <v>45.57</v>
      </c>
      <c r="I65" s="9">
        <f t="shared" si="22"/>
        <v>3.2085000000000004</v>
      </c>
      <c r="J65" s="3" t="s">
        <v>46</v>
      </c>
      <c r="K65" s="3" t="s">
        <v>670</v>
      </c>
      <c r="L65" s="4" t="s">
        <v>717</v>
      </c>
      <c r="N65" s="72" t="s">
        <v>1032</v>
      </c>
      <c r="O65" s="72" t="s">
        <v>1032</v>
      </c>
    </row>
    <row r="66" spans="1:15" x14ac:dyDescent="0.25">
      <c r="A66" s="3" t="s">
        <v>138</v>
      </c>
      <c r="B66" s="3" t="s">
        <v>744</v>
      </c>
      <c r="C66" s="3" t="s">
        <v>145</v>
      </c>
      <c r="D66" s="3">
        <v>4.3099999999999996</v>
      </c>
      <c r="E66" s="3">
        <v>1.02</v>
      </c>
      <c r="F66" s="3">
        <v>6.3E-2</v>
      </c>
      <c r="H66" s="9">
        <f t="shared" si="0"/>
        <v>43.961999999999996</v>
      </c>
      <c r="I66" s="9">
        <f t="shared" si="22"/>
        <v>2.7153000000000005</v>
      </c>
      <c r="J66" s="3" t="s">
        <v>46</v>
      </c>
      <c r="K66" s="3" t="s">
        <v>670</v>
      </c>
      <c r="L66" s="4" t="s">
        <v>743</v>
      </c>
      <c r="N66" s="72" t="s">
        <v>1037</v>
      </c>
      <c r="O66" s="72" t="s">
        <v>1037</v>
      </c>
    </row>
    <row r="67" spans="1:15" x14ac:dyDescent="0.25">
      <c r="A67" s="3" t="s">
        <v>138</v>
      </c>
      <c r="B67" s="3" t="s">
        <v>103</v>
      </c>
      <c r="C67" s="3" t="s">
        <v>145</v>
      </c>
      <c r="D67" s="3">
        <v>5.2</v>
      </c>
      <c r="E67" s="3">
        <v>0.8</v>
      </c>
      <c r="F67" s="3">
        <v>0.08</v>
      </c>
      <c r="H67" s="9">
        <f t="shared" si="0"/>
        <v>41.6</v>
      </c>
      <c r="I67" s="9">
        <f t="shared" si="22"/>
        <v>4.16</v>
      </c>
      <c r="J67" s="3" t="s">
        <v>46</v>
      </c>
      <c r="K67" s="3" t="s">
        <v>670</v>
      </c>
      <c r="L67" s="4" t="s">
        <v>745</v>
      </c>
      <c r="N67" s="72" t="s">
        <v>1032</v>
      </c>
      <c r="O67" s="42" t="s">
        <v>1032</v>
      </c>
    </row>
    <row r="68" spans="1:15" x14ac:dyDescent="0.25">
      <c r="A68" s="3" t="s">
        <v>138</v>
      </c>
      <c r="B68" s="3" t="s">
        <v>65</v>
      </c>
      <c r="C68" s="3" t="s">
        <v>145</v>
      </c>
      <c r="D68" s="3">
        <v>3.9</v>
      </c>
      <c r="E68" s="3">
        <v>1.04</v>
      </c>
      <c r="F68" s="3">
        <v>0.04</v>
      </c>
      <c r="H68" s="9">
        <f t="shared" si="0"/>
        <v>40.56</v>
      </c>
      <c r="I68" s="9">
        <f t="shared" si="22"/>
        <v>1.56</v>
      </c>
      <c r="J68" s="3" t="s">
        <v>46</v>
      </c>
      <c r="K68" s="3" t="s">
        <v>649</v>
      </c>
      <c r="L68" s="4" t="s">
        <v>61</v>
      </c>
      <c r="N68" s="72" t="s">
        <v>1035</v>
      </c>
      <c r="O68" s="42" t="s">
        <v>1035</v>
      </c>
    </row>
    <row r="69" spans="1:15" x14ac:dyDescent="0.25">
      <c r="A69" s="3" t="s">
        <v>138</v>
      </c>
      <c r="B69" s="3" t="s">
        <v>104</v>
      </c>
      <c r="C69" s="3" t="s">
        <v>145</v>
      </c>
      <c r="D69" s="3">
        <v>2.8</v>
      </c>
      <c r="E69" s="3">
        <v>0.91</v>
      </c>
      <c r="F69" s="3">
        <v>0.09</v>
      </c>
      <c r="H69" s="9">
        <f t="shared" si="0"/>
        <v>25.48</v>
      </c>
      <c r="I69" s="9">
        <f t="shared" si="22"/>
        <v>2.52</v>
      </c>
      <c r="J69" s="3" t="s">
        <v>46</v>
      </c>
      <c r="K69" s="3" t="s">
        <v>670</v>
      </c>
      <c r="L69" s="4" t="s">
        <v>746</v>
      </c>
      <c r="N69" s="72" t="s">
        <v>1085</v>
      </c>
      <c r="O69" s="42" t="s">
        <v>1030</v>
      </c>
    </row>
    <row r="70" spans="1:15" x14ac:dyDescent="0.25">
      <c r="A70" s="3" t="s">
        <v>138</v>
      </c>
      <c r="B70" s="3" t="s">
        <v>748</v>
      </c>
      <c r="C70" s="3" t="s">
        <v>145</v>
      </c>
      <c r="D70" s="11">
        <v>2.3407</v>
      </c>
      <c r="E70" s="3">
        <v>1.01</v>
      </c>
      <c r="F70" s="3">
        <v>0.06</v>
      </c>
      <c r="H70" s="9">
        <f t="shared" si="0"/>
        <v>23.641069999999999</v>
      </c>
      <c r="I70" s="9">
        <f t="shared" si="22"/>
        <v>1.4044199999999998</v>
      </c>
      <c r="J70" s="3" t="s">
        <v>46</v>
      </c>
      <c r="K70" s="3" t="s">
        <v>747</v>
      </c>
      <c r="L70" s="4" t="s">
        <v>105</v>
      </c>
      <c r="N70" s="72" t="s">
        <v>1035</v>
      </c>
      <c r="O70" s="42" t="s">
        <v>1035</v>
      </c>
    </row>
    <row r="71" spans="1:15" x14ac:dyDescent="0.25">
      <c r="A71" s="3" t="s">
        <v>138</v>
      </c>
      <c r="B71" s="3" t="s">
        <v>750</v>
      </c>
      <c r="C71" s="3" t="s">
        <v>145</v>
      </c>
      <c r="D71" s="3">
        <v>2.5299999999999998</v>
      </c>
      <c r="E71" s="3">
        <v>0.7</v>
      </c>
      <c r="F71" s="3">
        <v>0.05</v>
      </c>
      <c r="H71" s="9">
        <f t="shared" si="0"/>
        <v>17.71</v>
      </c>
      <c r="I71" s="9">
        <f t="shared" si="22"/>
        <v>1.2649999999999999</v>
      </c>
      <c r="J71" s="3" t="s">
        <v>46</v>
      </c>
      <c r="K71" s="3" t="s">
        <v>670</v>
      </c>
      <c r="L71" s="4" t="s">
        <v>749</v>
      </c>
      <c r="N71" s="72" t="s">
        <v>1035</v>
      </c>
      <c r="O71" s="42" t="s">
        <v>1035</v>
      </c>
    </row>
    <row r="72" spans="1:15" x14ac:dyDescent="0.25">
      <c r="A72" s="3" t="s">
        <v>137</v>
      </c>
      <c r="B72" s="3" t="s">
        <v>751</v>
      </c>
      <c r="C72" s="3" t="s">
        <v>145</v>
      </c>
      <c r="D72" s="3">
        <v>70.900000000000006</v>
      </c>
      <c r="E72" s="3">
        <v>0.91</v>
      </c>
      <c r="F72" s="3">
        <v>0.06</v>
      </c>
      <c r="H72" s="9">
        <f t="shared" si="0"/>
        <v>645.19000000000005</v>
      </c>
      <c r="I72" s="9">
        <f t="shared" si="22"/>
        <v>42.54</v>
      </c>
      <c r="J72" s="3" t="s">
        <v>46</v>
      </c>
      <c r="K72" s="3" t="s">
        <v>660</v>
      </c>
      <c r="L72" s="4" t="s">
        <v>355</v>
      </c>
      <c r="N72" s="72" t="s">
        <v>1039</v>
      </c>
      <c r="O72" s="72" t="s">
        <v>1039</v>
      </c>
    </row>
    <row r="73" spans="1:15" x14ac:dyDescent="0.25">
      <c r="A73" s="3" t="s">
        <v>138</v>
      </c>
      <c r="B73" s="3" t="s">
        <v>753</v>
      </c>
      <c r="C73" s="3" t="s">
        <v>145</v>
      </c>
      <c r="D73" s="3">
        <v>1</v>
      </c>
      <c r="E73" s="3">
        <v>1</v>
      </c>
      <c r="H73" s="9">
        <f t="shared" ref="H73:H74" si="27">1000*D73*E73/100</f>
        <v>10</v>
      </c>
      <c r="J73" s="3" t="s">
        <v>46</v>
      </c>
      <c r="K73" s="3" t="s">
        <v>670</v>
      </c>
      <c r="L73" s="4" t="s">
        <v>752</v>
      </c>
      <c r="N73" s="72" t="s">
        <v>1036</v>
      </c>
      <c r="O73" s="42" t="s">
        <v>1036</v>
      </c>
    </row>
    <row r="74" spans="1:15" x14ac:dyDescent="0.25">
      <c r="A74" s="3" t="s">
        <v>138</v>
      </c>
      <c r="B74" s="3" t="s">
        <v>754</v>
      </c>
      <c r="C74" s="3" t="s">
        <v>145</v>
      </c>
      <c r="D74" s="3">
        <f>0.46+0.37</f>
        <v>0.83000000000000007</v>
      </c>
      <c r="E74" s="5">
        <f>(1.12*0.46+1.15*0.37)/D74</f>
        <v>1.1333734939759037</v>
      </c>
      <c r="H74" s="9">
        <f t="shared" si="27"/>
        <v>9.4070000000000018</v>
      </c>
      <c r="J74" s="3" t="s">
        <v>46</v>
      </c>
      <c r="K74" s="3" t="s">
        <v>670</v>
      </c>
      <c r="L74" s="4" t="s">
        <v>25</v>
      </c>
      <c r="N74" s="72" t="s">
        <v>1032</v>
      </c>
      <c r="O74" s="42" t="s">
        <v>1032</v>
      </c>
    </row>
    <row r="75" spans="1:15" x14ac:dyDescent="0.25">
      <c r="A75" s="3" t="s">
        <v>138</v>
      </c>
      <c r="B75" s="3" t="s">
        <v>116</v>
      </c>
      <c r="C75" s="3" t="s">
        <v>145</v>
      </c>
      <c r="D75" s="3">
        <v>0.5</v>
      </c>
      <c r="E75" s="3">
        <v>0.75</v>
      </c>
      <c r="F75" s="3">
        <v>0.04</v>
      </c>
      <c r="H75" s="9">
        <f t="shared" si="0"/>
        <v>3.75</v>
      </c>
      <c r="I75" s="9">
        <f t="shared" si="22"/>
        <v>0.2</v>
      </c>
      <c r="J75" s="3" t="s">
        <v>46</v>
      </c>
      <c r="K75" s="3" t="s">
        <v>670</v>
      </c>
      <c r="L75" s="4" t="s">
        <v>115</v>
      </c>
      <c r="N75" s="72" t="s">
        <v>1038</v>
      </c>
      <c r="O75" s="42" t="s">
        <v>1038</v>
      </c>
    </row>
    <row r="76" spans="1:15" x14ac:dyDescent="0.25">
      <c r="N76" s="46"/>
      <c r="O76" s="42"/>
    </row>
    <row r="77" spans="1:15" x14ac:dyDescent="0.25">
      <c r="A77" s="26" t="s">
        <v>160</v>
      </c>
      <c r="B77" s="26" t="s">
        <v>160</v>
      </c>
      <c r="C77" s="26" t="s">
        <v>160</v>
      </c>
      <c r="D77" s="26" t="s">
        <v>160</v>
      </c>
      <c r="E77" s="26" t="s">
        <v>160</v>
      </c>
      <c r="F77" s="26" t="s">
        <v>160</v>
      </c>
      <c r="G77" s="26" t="s">
        <v>160</v>
      </c>
      <c r="H77" s="26" t="s">
        <v>160</v>
      </c>
      <c r="I77" s="26" t="s">
        <v>160</v>
      </c>
      <c r="J77" s="26" t="s">
        <v>160</v>
      </c>
      <c r="K77" s="26" t="s">
        <v>160</v>
      </c>
      <c r="L77" s="26" t="s">
        <v>160</v>
      </c>
      <c r="M77" s="26" t="s">
        <v>160</v>
      </c>
      <c r="N77" s="47"/>
      <c r="O77" s="42"/>
    </row>
    <row r="78" spans="1:15" x14ac:dyDescent="0.25">
      <c r="A78" s="39">
        <f>COUNT(D80:D85)</f>
        <v>5</v>
      </c>
      <c r="B78" s="22" t="s">
        <v>46</v>
      </c>
      <c r="C78" s="22" t="s">
        <v>46</v>
      </c>
      <c r="D78" s="23">
        <f>SUM(D80:D85)</f>
        <v>413</v>
      </c>
      <c r="E78" s="14">
        <f>100*(H78/1000)/D78</f>
        <v>0.95896610169491525</v>
      </c>
      <c r="F78" s="30">
        <f>100*(I78/1000)/D78</f>
        <v>2.5908958837772392E-2</v>
      </c>
      <c r="H78" s="23">
        <f>SUM(H80:H85)</f>
        <v>3960.5299999999997</v>
      </c>
      <c r="I78" s="23">
        <f>SUM(I80:I85)</f>
        <v>107.00399999999999</v>
      </c>
      <c r="N78" s="46"/>
      <c r="O78" s="42"/>
    </row>
    <row r="79" spans="1:15" x14ac:dyDescent="0.25">
      <c r="A79" s="1" t="s">
        <v>150</v>
      </c>
      <c r="B79" s="1" t="s">
        <v>134</v>
      </c>
      <c r="C79" s="1" t="s">
        <v>141</v>
      </c>
      <c r="D79" s="2" t="s">
        <v>0</v>
      </c>
      <c r="E79" s="2" t="s">
        <v>10</v>
      </c>
      <c r="F79" s="2" t="s">
        <v>9</v>
      </c>
      <c r="G79" s="2" t="s">
        <v>6</v>
      </c>
      <c r="H79" s="2" t="s">
        <v>11</v>
      </c>
      <c r="I79" s="2" t="s">
        <v>12</v>
      </c>
      <c r="J79" s="2" t="s">
        <v>641</v>
      </c>
      <c r="K79" s="2" t="s">
        <v>639</v>
      </c>
      <c r="L79" s="8" t="s">
        <v>5</v>
      </c>
      <c r="M79" s="15" t="s">
        <v>64</v>
      </c>
      <c r="N79" s="45"/>
      <c r="O79" s="42"/>
    </row>
    <row r="80" spans="1:15" x14ac:dyDescent="0.25">
      <c r="B80" s="3" t="s">
        <v>199</v>
      </c>
      <c r="H80" s="9">
        <f t="shared" ref="H80:H85" si="28">1000*D80*E80/100</f>
        <v>0</v>
      </c>
      <c r="J80" s="13" t="s">
        <v>352</v>
      </c>
      <c r="L80" s="4" t="s">
        <v>200</v>
      </c>
      <c r="N80" s="73" t="s">
        <v>1040</v>
      </c>
      <c r="O80" s="73" t="s">
        <v>1040</v>
      </c>
    </row>
    <row r="81" spans="1:15" x14ac:dyDescent="0.25">
      <c r="B81" s="3" t="s">
        <v>569</v>
      </c>
      <c r="C81" s="3" t="s">
        <v>142</v>
      </c>
      <c r="D81" s="10">
        <v>1</v>
      </c>
      <c r="E81" s="3">
        <v>1.1499999999999999</v>
      </c>
      <c r="H81" s="9">
        <f t="shared" si="28"/>
        <v>11.5</v>
      </c>
      <c r="J81" s="3" t="s">
        <v>46</v>
      </c>
      <c r="K81" s="3" t="s">
        <v>649</v>
      </c>
      <c r="L81" s="4" t="s">
        <v>502</v>
      </c>
      <c r="N81" s="72" t="s">
        <v>1041</v>
      </c>
      <c r="O81" s="72" t="s">
        <v>1041</v>
      </c>
    </row>
    <row r="82" spans="1:15" x14ac:dyDescent="0.25">
      <c r="B82" s="3" t="s">
        <v>493</v>
      </c>
      <c r="C82" s="3" t="s">
        <v>142</v>
      </c>
      <c r="D82" s="3">
        <v>73.5</v>
      </c>
      <c r="E82" s="3">
        <v>0.86</v>
      </c>
      <c r="F82" s="34" t="s">
        <v>497</v>
      </c>
      <c r="H82" s="9">
        <f t="shared" si="28"/>
        <v>632.1</v>
      </c>
      <c r="I82" s="36">
        <f>1000*D82*F82/100</f>
        <v>73.5</v>
      </c>
      <c r="J82" s="3" t="s">
        <v>46</v>
      </c>
      <c r="K82" s="3" t="s">
        <v>649</v>
      </c>
      <c r="L82" s="4" t="s">
        <v>502</v>
      </c>
      <c r="M82" s="35" t="s">
        <v>380</v>
      </c>
      <c r="N82" s="72" t="s">
        <v>1041</v>
      </c>
      <c r="O82" s="72" t="s">
        <v>1041</v>
      </c>
    </row>
    <row r="83" spans="1:15" x14ac:dyDescent="0.25">
      <c r="B83" s="3" t="s">
        <v>494</v>
      </c>
      <c r="C83" s="3" t="s">
        <v>142</v>
      </c>
      <c r="D83" s="34">
        <v>45</v>
      </c>
      <c r="E83" s="34" t="s">
        <v>500</v>
      </c>
      <c r="F83" s="34" t="s">
        <v>498</v>
      </c>
      <c r="H83" s="36">
        <f t="shared" si="28"/>
        <v>720</v>
      </c>
      <c r="I83" s="36">
        <f>1000*D83*F83/100</f>
        <v>10.8</v>
      </c>
      <c r="J83" s="3" t="s">
        <v>46</v>
      </c>
      <c r="K83" s="34" t="s">
        <v>908</v>
      </c>
      <c r="L83" s="4" t="s">
        <v>181</v>
      </c>
      <c r="M83" s="35" t="s">
        <v>380</v>
      </c>
      <c r="N83" s="72" t="s">
        <v>1041</v>
      </c>
      <c r="O83" s="72" t="s">
        <v>1041</v>
      </c>
    </row>
    <row r="84" spans="1:15" x14ac:dyDescent="0.25">
      <c r="B84" s="3" t="s">
        <v>495</v>
      </c>
      <c r="C84" s="3" t="s">
        <v>142</v>
      </c>
      <c r="D84" s="34">
        <v>240.7</v>
      </c>
      <c r="E84" s="34" t="s">
        <v>470</v>
      </c>
      <c r="H84" s="36">
        <f t="shared" si="28"/>
        <v>2190.37</v>
      </c>
      <c r="J84" s="3" t="s">
        <v>46</v>
      </c>
      <c r="K84" s="34" t="s">
        <v>908</v>
      </c>
      <c r="L84" s="4" t="s">
        <v>502</v>
      </c>
      <c r="M84" s="35" t="s">
        <v>380</v>
      </c>
      <c r="N84" s="72" t="s">
        <v>1041</v>
      </c>
      <c r="O84" s="72" t="s">
        <v>1041</v>
      </c>
    </row>
    <row r="85" spans="1:15" x14ac:dyDescent="0.25">
      <c r="B85" s="3" t="s">
        <v>496</v>
      </c>
      <c r="C85" s="3" t="s">
        <v>142</v>
      </c>
      <c r="D85" s="34">
        <v>52.8</v>
      </c>
      <c r="E85" s="34" t="s">
        <v>501</v>
      </c>
      <c r="F85" s="34" t="s">
        <v>499</v>
      </c>
      <c r="H85" s="36">
        <f t="shared" si="28"/>
        <v>406.56</v>
      </c>
      <c r="I85" s="36">
        <f>1000*D85*F85/100</f>
        <v>22.703999999999997</v>
      </c>
      <c r="J85" s="3" t="s">
        <v>46</v>
      </c>
      <c r="K85" s="34" t="s">
        <v>908</v>
      </c>
      <c r="L85" s="4" t="s">
        <v>181</v>
      </c>
      <c r="M85" s="35" t="s">
        <v>380</v>
      </c>
      <c r="N85" s="72" t="s">
        <v>1042</v>
      </c>
      <c r="O85" s="72" t="s">
        <v>1042</v>
      </c>
    </row>
    <row r="86" spans="1:15" x14ac:dyDescent="0.25">
      <c r="N86" s="46"/>
      <c r="O86" s="42"/>
    </row>
    <row r="87" spans="1:15" x14ac:dyDescent="0.25">
      <c r="A87" s="26" t="s">
        <v>166</v>
      </c>
      <c r="B87" s="26" t="s">
        <v>166</v>
      </c>
      <c r="C87" s="26" t="s">
        <v>166</v>
      </c>
      <c r="D87" s="26" t="s">
        <v>166</v>
      </c>
      <c r="E87" s="26" t="s">
        <v>166</v>
      </c>
      <c r="F87" s="26" t="s">
        <v>166</v>
      </c>
      <c r="G87" s="26" t="s">
        <v>166</v>
      </c>
      <c r="H87" s="26" t="s">
        <v>166</v>
      </c>
      <c r="I87" s="26" t="s">
        <v>166</v>
      </c>
      <c r="J87" s="26" t="s">
        <v>166</v>
      </c>
      <c r="K87" s="26" t="s">
        <v>166</v>
      </c>
      <c r="L87" s="26" t="s">
        <v>166</v>
      </c>
      <c r="M87" s="26" t="s">
        <v>166</v>
      </c>
      <c r="N87" s="47"/>
      <c r="O87" s="42"/>
    </row>
    <row r="88" spans="1:15" x14ac:dyDescent="0.25">
      <c r="B88" s="22" t="s">
        <v>46</v>
      </c>
      <c r="C88" s="22" t="s">
        <v>46</v>
      </c>
      <c r="L88" s="3"/>
      <c r="N88" s="46"/>
      <c r="O88" s="42"/>
    </row>
    <row r="89" spans="1:15" x14ac:dyDescent="0.25">
      <c r="A89" s="1" t="s">
        <v>150</v>
      </c>
      <c r="B89" s="1" t="s">
        <v>134</v>
      </c>
      <c r="C89" s="1" t="s">
        <v>141</v>
      </c>
      <c r="D89" s="2" t="s">
        <v>0</v>
      </c>
      <c r="E89" s="2" t="s">
        <v>10</v>
      </c>
      <c r="F89" s="2" t="s">
        <v>9</v>
      </c>
      <c r="G89" s="2" t="s">
        <v>6</v>
      </c>
      <c r="H89" s="2" t="s">
        <v>11</v>
      </c>
      <c r="I89" s="2" t="s">
        <v>12</v>
      </c>
      <c r="J89" s="2" t="s">
        <v>641</v>
      </c>
      <c r="K89" s="2" t="s">
        <v>639</v>
      </c>
      <c r="L89" s="8" t="s">
        <v>5</v>
      </c>
      <c r="M89" s="15" t="s">
        <v>64</v>
      </c>
      <c r="N89" s="45"/>
      <c r="O89" s="42"/>
    </row>
    <row r="90" spans="1:15" x14ac:dyDescent="0.25">
      <c r="L90" s="3"/>
      <c r="M90" s="3"/>
      <c r="N90" s="46"/>
      <c r="O90" s="46"/>
    </row>
    <row r="91" spans="1:15" x14ac:dyDescent="0.25">
      <c r="L91" s="3"/>
      <c r="M91" s="3"/>
      <c r="N91" s="46"/>
      <c r="O91" s="46"/>
    </row>
    <row r="92" spans="1:15" x14ac:dyDescent="0.25">
      <c r="L92" s="3"/>
      <c r="M92" s="3"/>
      <c r="N92" s="46"/>
      <c r="O92" s="46"/>
    </row>
    <row r="93" spans="1:15" x14ac:dyDescent="0.25">
      <c r="L93" s="3"/>
      <c r="M93" s="3"/>
      <c r="N93" s="46"/>
      <c r="O93" s="46"/>
    </row>
    <row r="94" spans="1:15" x14ac:dyDescent="0.25">
      <c r="N94" s="46"/>
      <c r="O94" s="42"/>
    </row>
    <row r="95" spans="1:15" x14ac:dyDescent="0.25">
      <c r="A95" s="26" t="s">
        <v>167</v>
      </c>
      <c r="B95" s="26" t="s">
        <v>168</v>
      </c>
      <c r="C95" s="26" t="s">
        <v>167</v>
      </c>
      <c r="D95" s="26" t="s">
        <v>168</v>
      </c>
      <c r="E95" s="26" t="s">
        <v>167</v>
      </c>
      <c r="F95" s="26" t="s">
        <v>168</v>
      </c>
      <c r="G95" s="26" t="s">
        <v>167</v>
      </c>
      <c r="H95" s="26" t="s">
        <v>168</v>
      </c>
      <c r="I95" s="26" t="s">
        <v>167</v>
      </c>
      <c r="J95" s="26" t="s">
        <v>168</v>
      </c>
      <c r="K95" s="26" t="s">
        <v>167</v>
      </c>
      <c r="L95" s="26" t="s">
        <v>168</v>
      </c>
      <c r="M95" s="26" t="s">
        <v>167</v>
      </c>
      <c r="N95" s="47"/>
      <c r="O95" s="42"/>
    </row>
    <row r="96" spans="1:15" x14ac:dyDescent="0.25">
      <c r="B96" s="22" t="s">
        <v>46</v>
      </c>
      <c r="C96" s="22" t="s">
        <v>46</v>
      </c>
      <c r="L96" s="3"/>
      <c r="N96" s="46"/>
      <c r="O96" s="42"/>
    </row>
    <row r="97" spans="1:15" x14ac:dyDescent="0.25">
      <c r="A97" s="1" t="s">
        <v>150</v>
      </c>
      <c r="B97" s="1" t="s">
        <v>134</v>
      </c>
      <c r="C97" s="1" t="s">
        <v>141</v>
      </c>
      <c r="D97" s="2" t="s">
        <v>0</v>
      </c>
      <c r="E97" s="2" t="s">
        <v>10</v>
      </c>
      <c r="F97" s="2" t="s">
        <v>9</v>
      </c>
      <c r="G97" s="2" t="s">
        <v>6</v>
      </c>
      <c r="H97" s="2" t="s">
        <v>11</v>
      </c>
      <c r="I97" s="2" t="s">
        <v>12</v>
      </c>
      <c r="J97" s="2" t="s">
        <v>641</v>
      </c>
      <c r="K97" s="2" t="s">
        <v>639</v>
      </c>
      <c r="L97" s="8" t="s">
        <v>5</v>
      </c>
      <c r="M97" s="15" t="s">
        <v>64</v>
      </c>
      <c r="N97" s="45"/>
      <c r="O97" s="42"/>
    </row>
    <row r="98" spans="1:15" x14ac:dyDescent="0.25">
      <c r="H98" s="32">
        <f>1000*D98*E98/100</f>
        <v>0</v>
      </c>
      <c r="I98" s="31"/>
      <c r="L98" s="3"/>
      <c r="N98" s="46"/>
      <c r="O98" s="42"/>
    </row>
    <row r="99" spans="1:15" x14ac:dyDescent="0.25">
      <c r="H99" s="32">
        <f>1000*D99*E99/100</f>
        <v>0</v>
      </c>
      <c r="I99" s="31"/>
      <c r="L99" s="3"/>
      <c r="N99" s="46"/>
      <c r="O99" s="42"/>
    </row>
    <row r="100" spans="1:15" x14ac:dyDescent="0.25">
      <c r="N100" s="46"/>
      <c r="O100" s="42"/>
    </row>
    <row r="101" spans="1:15" x14ac:dyDescent="0.25">
      <c r="A101" s="26" t="s">
        <v>170</v>
      </c>
      <c r="B101" s="26" t="s">
        <v>170</v>
      </c>
      <c r="C101" s="26" t="s">
        <v>170</v>
      </c>
      <c r="D101" s="26" t="s">
        <v>170</v>
      </c>
      <c r="E101" s="26" t="s">
        <v>170</v>
      </c>
      <c r="F101" s="26" t="s">
        <v>170</v>
      </c>
      <c r="G101" s="26" t="s">
        <v>170</v>
      </c>
      <c r="H101" s="26" t="s">
        <v>170</v>
      </c>
      <c r="I101" s="26" t="s">
        <v>170</v>
      </c>
      <c r="J101" s="26" t="s">
        <v>170</v>
      </c>
      <c r="K101" s="26" t="s">
        <v>170</v>
      </c>
      <c r="L101" s="26" t="s">
        <v>170</v>
      </c>
      <c r="M101" s="26" t="s">
        <v>170</v>
      </c>
      <c r="N101" s="47"/>
      <c r="O101" s="42"/>
    </row>
    <row r="102" spans="1:15" x14ac:dyDescent="0.25">
      <c r="B102" s="22" t="s">
        <v>46</v>
      </c>
      <c r="C102" s="22" t="s">
        <v>46</v>
      </c>
      <c r="L102" s="3"/>
      <c r="N102" s="46"/>
      <c r="O102" s="42"/>
    </row>
    <row r="103" spans="1:15" x14ac:dyDescent="0.25">
      <c r="A103" s="1" t="s">
        <v>150</v>
      </c>
      <c r="B103" s="1" t="s">
        <v>134</v>
      </c>
      <c r="C103" s="1" t="s">
        <v>141</v>
      </c>
      <c r="D103" s="2" t="s">
        <v>0</v>
      </c>
      <c r="E103" s="2" t="s">
        <v>10</v>
      </c>
      <c r="F103" s="2" t="s">
        <v>9</v>
      </c>
      <c r="G103" s="2" t="s">
        <v>6</v>
      </c>
      <c r="H103" s="2" t="s">
        <v>11</v>
      </c>
      <c r="I103" s="2" t="s">
        <v>12</v>
      </c>
      <c r="J103" s="2" t="s">
        <v>641</v>
      </c>
      <c r="K103" s="2" t="s">
        <v>639</v>
      </c>
      <c r="L103" s="8" t="s">
        <v>5</v>
      </c>
      <c r="M103" s="15" t="s">
        <v>64</v>
      </c>
      <c r="N103" s="45"/>
      <c r="O103" s="42"/>
    </row>
    <row r="104" spans="1:15" x14ac:dyDescent="0.25">
      <c r="L104" s="3"/>
      <c r="M104" s="3"/>
      <c r="N104" s="45"/>
      <c r="O104" s="45"/>
    </row>
    <row r="105" spans="1:15" x14ac:dyDescent="0.25">
      <c r="L105" s="3"/>
      <c r="M105" s="3"/>
      <c r="N105" s="45"/>
      <c r="O105" s="45"/>
    </row>
    <row r="106" spans="1:15" x14ac:dyDescent="0.25">
      <c r="L106" s="3"/>
      <c r="M106" s="3"/>
      <c r="N106" s="45"/>
      <c r="O106" s="45"/>
    </row>
    <row r="107" spans="1:15" x14ac:dyDescent="0.25">
      <c r="A107" s="26" t="s">
        <v>173</v>
      </c>
      <c r="B107" s="26" t="s">
        <v>173</v>
      </c>
      <c r="C107" s="26" t="s">
        <v>173</v>
      </c>
      <c r="D107" s="26" t="s">
        <v>173</v>
      </c>
      <c r="E107" s="26" t="s">
        <v>173</v>
      </c>
      <c r="F107" s="26" t="s">
        <v>173</v>
      </c>
      <c r="G107" s="26" t="s">
        <v>173</v>
      </c>
      <c r="H107" s="26" t="s">
        <v>173</v>
      </c>
      <c r="I107" s="26" t="s">
        <v>173</v>
      </c>
      <c r="J107" s="26" t="s">
        <v>173</v>
      </c>
      <c r="K107" s="26" t="s">
        <v>173</v>
      </c>
      <c r="L107" s="26" t="s">
        <v>173</v>
      </c>
      <c r="M107" s="26" t="s">
        <v>173</v>
      </c>
      <c r="N107" s="47"/>
      <c r="O107" s="42"/>
    </row>
    <row r="108" spans="1:15" x14ac:dyDescent="0.25">
      <c r="B108" s="22" t="s">
        <v>46</v>
      </c>
      <c r="C108" s="22" t="s">
        <v>46</v>
      </c>
      <c r="L108" s="3"/>
      <c r="N108" s="46"/>
      <c r="O108" s="42"/>
    </row>
    <row r="109" spans="1:15" x14ac:dyDescent="0.25">
      <c r="A109" s="1" t="s">
        <v>150</v>
      </c>
      <c r="B109" s="1" t="s">
        <v>134</v>
      </c>
      <c r="C109" s="1" t="s">
        <v>141</v>
      </c>
      <c r="D109" s="2" t="s">
        <v>0</v>
      </c>
      <c r="E109" s="2" t="s">
        <v>10</v>
      </c>
      <c r="F109" s="2" t="s">
        <v>9</v>
      </c>
      <c r="G109" s="2" t="s">
        <v>6</v>
      </c>
      <c r="H109" s="2" t="s">
        <v>11</v>
      </c>
      <c r="I109" s="2" t="s">
        <v>12</v>
      </c>
      <c r="J109" s="2" t="s">
        <v>641</v>
      </c>
      <c r="K109" s="2" t="s">
        <v>639</v>
      </c>
      <c r="L109" s="8" t="s">
        <v>5</v>
      </c>
      <c r="M109" s="15" t="s">
        <v>64</v>
      </c>
      <c r="N109" s="45"/>
      <c r="O109" s="42"/>
    </row>
    <row r="110" spans="1:15" x14ac:dyDescent="0.25">
      <c r="L110" s="3"/>
      <c r="M110" s="3"/>
      <c r="N110" s="45"/>
      <c r="O110" s="45"/>
    </row>
    <row r="111" spans="1:15" x14ac:dyDescent="0.25">
      <c r="L111" s="3"/>
      <c r="M111" s="3"/>
      <c r="N111" s="45"/>
      <c r="O111" s="45"/>
    </row>
    <row r="112" spans="1:15" x14ac:dyDescent="0.25">
      <c r="N112" s="46"/>
      <c r="O112" s="42"/>
    </row>
    <row r="113" spans="1:15" x14ac:dyDescent="0.25">
      <c r="A113" s="26" t="s">
        <v>175</v>
      </c>
      <c r="B113" s="26" t="s">
        <v>175</v>
      </c>
      <c r="C113" s="26" t="s">
        <v>175</v>
      </c>
      <c r="D113" s="26" t="s">
        <v>175</v>
      </c>
      <c r="E113" s="26" t="s">
        <v>175</v>
      </c>
      <c r="F113" s="26" t="s">
        <v>175</v>
      </c>
      <c r="G113" s="26" t="s">
        <v>175</v>
      </c>
      <c r="H113" s="26" t="s">
        <v>175</v>
      </c>
      <c r="I113" s="26" t="s">
        <v>175</v>
      </c>
      <c r="J113" s="26" t="s">
        <v>175</v>
      </c>
      <c r="K113" s="26" t="s">
        <v>175</v>
      </c>
      <c r="L113" s="26" t="s">
        <v>175</v>
      </c>
      <c r="M113" s="26" t="s">
        <v>175</v>
      </c>
      <c r="N113" s="47"/>
      <c r="O113" s="42"/>
    </row>
    <row r="114" spans="1:15" x14ac:dyDescent="0.25">
      <c r="A114" s="39">
        <f>COUNT(D116:D117)</f>
        <v>0</v>
      </c>
      <c r="B114" s="22" t="s">
        <v>46</v>
      </c>
      <c r="C114" s="22" t="s">
        <v>46</v>
      </c>
      <c r="D114" s="23">
        <f>SUM(D116:D117)</f>
        <v>0</v>
      </c>
      <c r="E114" s="14" t="e">
        <f>100*(H114/1000)/D114</f>
        <v>#DIV/0!</v>
      </c>
      <c r="F114" s="77" t="e">
        <f>100*(I114/1000)/D114</f>
        <v>#DIV/0!</v>
      </c>
      <c r="H114" s="23">
        <f>SUM(H116:H117)</f>
        <v>0</v>
      </c>
      <c r="I114" s="23">
        <f>SUM(I116:I117)</f>
        <v>0</v>
      </c>
      <c r="L114" s="3"/>
      <c r="N114" s="46"/>
      <c r="O114" s="42"/>
    </row>
    <row r="115" spans="1:15" x14ac:dyDescent="0.25">
      <c r="A115" s="1" t="s">
        <v>150</v>
      </c>
      <c r="B115" s="1" t="s">
        <v>134</v>
      </c>
      <c r="C115" s="1" t="s">
        <v>141</v>
      </c>
      <c r="D115" s="2" t="s">
        <v>0</v>
      </c>
      <c r="E115" s="2" t="s">
        <v>10</v>
      </c>
      <c r="F115" s="2" t="s">
        <v>9</v>
      </c>
      <c r="G115" s="2" t="s">
        <v>6</v>
      </c>
      <c r="H115" s="2" t="s">
        <v>11</v>
      </c>
      <c r="I115" s="2" t="s">
        <v>12</v>
      </c>
      <c r="J115" s="2" t="s">
        <v>641</v>
      </c>
      <c r="K115" s="2" t="s">
        <v>639</v>
      </c>
      <c r="L115" s="8" t="s">
        <v>5</v>
      </c>
      <c r="M115" s="15" t="s">
        <v>64</v>
      </c>
      <c r="N115" s="45"/>
      <c r="O115" s="42"/>
    </row>
    <row r="116" spans="1:15" x14ac:dyDescent="0.25">
      <c r="L116" s="3"/>
      <c r="M116" s="3"/>
      <c r="N116" s="45"/>
      <c r="O116" s="42"/>
    </row>
    <row r="117" spans="1:15" x14ac:dyDescent="0.25">
      <c r="L117" s="3"/>
      <c r="M117" s="3"/>
      <c r="N117" s="45"/>
      <c r="O117" s="45"/>
    </row>
    <row r="118" spans="1:15" x14ac:dyDescent="0.25">
      <c r="L118" s="3"/>
      <c r="M118" s="3"/>
      <c r="N118" s="45"/>
      <c r="O118" s="45"/>
    </row>
    <row r="119" spans="1:15" x14ac:dyDescent="0.25">
      <c r="A119" s="26" t="s">
        <v>176</v>
      </c>
      <c r="B119" s="26" t="s">
        <v>176</v>
      </c>
      <c r="C119" s="26" t="s">
        <v>176</v>
      </c>
      <c r="D119" s="26" t="s">
        <v>176</v>
      </c>
      <c r="E119" s="26" t="s">
        <v>176</v>
      </c>
      <c r="F119" s="26" t="s">
        <v>176</v>
      </c>
      <c r="G119" s="26" t="s">
        <v>176</v>
      </c>
      <c r="H119" s="26" t="s">
        <v>176</v>
      </c>
      <c r="I119" s="26" t="s">
        <v>176</v>
      </c>
      <c r="J119" s="26" t="s">
        <v>176</v>
      </c>
      <c r="K119" s="26" t="s">
        <v>176</v>
      </c>
      <c r="L119" s="26" t="s">
        <v>176</v>
      </c>
      <c r="M119" s="26" t="s">
        <v>176</v>
      </c>
      <c r="N119" s="47"/>
      <c r="O119" s="42"/>
    </row>
    <row r="120" spans="1:15" x14ac:dyDescent="0.25">
      <c r="A120" s="39">
        <f>COUNT(D122:D146)</f>
        <v>25</v>
      </c>
      <c r="B120" s="22" t="s">
        <v>46</v>
      </c>
      <c r="C120" s="22" t="s">
        <v>46</v>
      </c>
      <c r="D120" s="23">
        <f>SUM(D122:D146)</f>
        <v>1565.7600050000005</v>
      </c>
      <c r="E120" s="14">
        <f>100*(H120/1000)/D120</f>
        <v>1.1504541174239526</v>
      </c>
      <c r="F120" s="30">
        <f>100*(I120/1000)/D120</f>
        <v>3.2550571415023682E-2</v>
      </c>
      <c r="H120" s="23">
        <f>SUM(H122:H146)</f>
        <v>18013.350446499997</v>
      </c>
      <c r="I120" s="23">
        <f>SUM(I122:I146)</f>
        <v>509.66382861540365</v>
      </c>
      <c r="N120" s="46"/>
      <c r="O120" s="42"/>
    </row>
    <row r="121" spans="1:15" x14ac:dyDescent="0.25">
      <c r="A121" s="1" t="s">
        <v>150</v>
      </c>
      <c r="B121" s="1" t="s">
        <v>134</v>
      </c>
      <c r="C121" s="1" t="s">
        <v>141</v>
      </c>
      <c r="D121" s="2" t="s">
        <v>0</v>
      </c>
      <c r="E121" s="2" t="s">
        <v>10</v>
      </c>
      <c r="F121" s="2" t="s">
        <v>9</v>
      </c>
      <c r="G121" s="2" t="s">
        <v>6</v>
      </c>
      <c r="H121" s="2" t="s">
        <v>11</v>
      </c>
      <c r="I121" s="2" t="s">
        <v>12</v>
      </c>
      <c r="J121" s="2" t="s">
        <v>641</v>
      </c>
      <c r="K121" s="2" t="s">
        <v>639</v>
      </c>
      <c r="L121" s="8" t="s">
        <v>5</v>
      </c>
      <c r="M121" s="15" t="s">
        <v>64</v>
      </c>
      <c r="N121" s="45"/>
      <c r="O121" s="42"/>
    </row>
    <row r="122" spans="1:15" x14ac:dyDescent="0.25">
      <c r="B122" s="3" t="s">
        <v>177</v>
      </c>
      <c r="C122" s="3" t="s">
        <v>142</v>
      </c>
      <c r="D122" s="3">
        <v>9.1300000000000008</v>
      </c>
      <c r="E122" s="3">
        <v>1.55</v>
      </c>
      <c r="F122" s="34">
        <v>0.08</v>
      </c>
      <c r="H122" s="9">
        <f t="shared" ref="H122:H142" si="29">1000*D122*E122/100</f>
        <v>141.51499999999999</v>
      </c>
      <c r="I122" s="36">
        <f>1000*D122*F122/100</f>
        <v>7.3039999999999994</v>
      </c>
      <c r="J122" s="3" t="s">
        <v>46</v>
      </c>
      <c r="K122" s="3" t="s">
        <v>920</v>
      </c>
      <c r="L122" s="4" t="s">
        <v>392</v>
      </c>
      <c r="M122" s="35" t="s">
        <v>380</v>
      </c>
      <c r="N122" s="74" t="s">
        <v>1041</v>
      </c>
      <c r="O122" s="74" t="s">
        <v>1043</v>
      </c>
    </row>
    <row r="123" spans="1:15" x14ac:dyDescent="0.25">
      <c r="B123" s="3" t="s">
        <v>190</v>
      </c>
      <c r="C123" s="3" t="s">
        <v>142</v>
      </c>
      <c r="D123" s="3">
        <f>73.098+122.993+4.007+0.376</f>
        <v>200.47400000000002</v>
      </c>
      <c r="E123" s="5">
        <f>(1.62*73.098+1.17*122.993+1.41*4.007+0.96*0.376)/D123</f>
        <v>1.3384847910452227</v>
      </c>
      <c r="F123" s="34">
        <v>0.06</v>
      </c>
      <c r="H123" s="9">
        <f t="shared" si="29"/>
        <v>2683.3140000000003</v>
      </c>
      <c r="I123" s="36">
        <f>1000*D123*F123/100</f>
        <v>120.28440000000001</v>
      </c>
      <c r="J123" s="3" t="s">
        <v>881</v>
      </c>
      <c r="K123" s="3" t="s">
        <v>923</v>
      </c>
      <c r="L123" s="4" t="s">
        <v>924</v>
      </c>
      <c r="M123" s="35" t="s">
        <v>380</v>
      </c>
      <c r="N123" s="74" t="s">
        <v>1044</v>
      </c>
      <c r="O123" s="74" t="s">
        <v>1044</v>
      </c>
    </row>
    <row r="124" spans="1:15" x14ac:dyDescent="0.25">
      <c r="B124" s="3" t="s">
        <v>918</v>
      </c>
      <c r="C124" s="3" t="s">
        <v>145</v>
      </c>
      <c r="D124" s="3">
        <v>43</v>
      </c>
      <c r="E124" s="3">
        <v>0.8</v>
      </c>
      <c r="H124" s="9">
        <f t="shared" si="29"/>
        <v>344</v>
      </c>
      <c r="J124" s="3" t="s">
        <v>46</v>
      </c>
      <c r="K124" s="3" t="s">
        <v>649</v>
      </c>
      <c r="L124" s="4" t="s">
        <v>919</v>
      </c>
      <c r="N124" s="74" t="s">
        <v>1083</v>
      </c>
      <c r="O124" s="74" t="s">
        <v>1045</v>
      </c>
    </row>
    <row r="125" spans="1:15" x14ac:dyDescent="0.25">
      <c r="B125" s="3" t="s">
        <v>926</v>
      </c>
      <c r="C125" s="3" t="s">
        <v>142</v>
      </c>
      <c r="D125" s="3">
        <f>24.695+33.648+0.348+0.323</f>
        <v>59.014000000000003</v>
      </c>
      <c r="E125" s="5">
        <f>(1.49*24.695+1.1*33.648+1.33*0.348+1.1*0.323)/D125</f>
        <v>1.2645556986477784</v>
      </c>
      <c r="H125" s="9">
        <f t="shared" si="29"/>
        <v>746.2648999999999</v>
      </c>
      <c r="I125" s="9">
        <f>1000*D125*F125/100</f>
        <v>0</v>
      </c>
      <c r="J125" s="3" t="s">
        <v>46</v>
      </c>
      <c r="K125" s="3" t="s">
        <v>649</v>
      </c>
      <c r="L125" s="4" t="s">
        <v>341</v>
      </c>
      <c r="M125" s="4" t="s">
        <v>925</v>
      </c>
      <c r="N125" s="74" t="s">
        <v>602</v>
      </c>
      <c r="O125" s="74" t="s">
        <v>602</v>
      </c>
    </row>
    <row r="126" spans="1:15" x14ac:dyDescent="0.25">
      <c r="B126" s="3" t="s">
        <v>927</v>
      </c>
      <c r="C126" s="3" t="s">
        <v>142</v>
      </c>
      <c r="D126" s="3">
        <f>3.952+19.974+0.517+1.747</f>
        <v>26.19</v>
      </c>
      <c r="E126" s="5">
        <f>(1.42*3.952+0.92*19.974+1.33*0.517+0.88*1.747)/D126</f>
        <v>1.0008739977090493</v>
      </c>
      <c r="H126" s="9">
        <f t="shared" si="29"/>
        <v>262.12889999999999</v>
      </c>
      <c r="J126" s="3" t="s">
        <v>46</v>
      </c>
      <c r="K126" s="3" t="s">
        <v>649</v>
      </c>
      <c r="L126" s="4" t="s">
        <v>341</v>
      </c>
      <c r="N126" s="74" t="s">
        <v>1083</v>
      </c>
      <c r="O126" s="74" t="s">
        <v>1045</v>
      </c>
    </row>
    <row r="127" spans="1:15" x14ac:dyDescent="0.25">
      <c r="B127" s="3" t="s">
        <v>393</v>
      </c>
      <c r="C127" s="3" t="s">
        <v>143</v>
      </c>
      <c r="D127" s="3">
        <v>9.8970000000000002</v>
      </c>
      <c r="E127" s="3">
        <v>1.02</v>
      </c>
      <c r="H127" s="9">
        <f t="shared" si="29"/>
        <v>100.94940000000001</v>
      </c>
      <c r="J127" s="3" t="s">
        <v>46</v>
      </c>
      <c r="K127" s="3" t="s">
        <v>656</v>
      </c>
      <c r="L127" s="4" t="s">
        <v>394</v>
      </c>
      <c r="N127" s="74" t="s">
        <v>1031</v>
      </c>
      <c r="O127" s="74" t="s">
        <v>1031</v>
      </c>
    </row>
    <row r="128" spans="1:15" x14ac:dyDescent="0.25">
      <c r="B128" s="3" t="s">
        <v>395</v>
      </c>
      <c r="C128" s="3" t="s">
        <v>145</v>
      </c>
      <c r="D128" s="3">
        <v>9.0670000000000002</v>
      </c>
      <c r="E128" s="3">
        <v>1.07</v>
      </c>
      <c r="H128" s="9">
        <f t="shared" si="29"/>
        <v>97.016900000000007</v>
      </c>
      <c r="J128" s="3" t="s">
        <v>46</v>
      </c>
      <c r="K128" s="3" t="s">
        <v>656</v>
      </c>
      <c r="L128" s="4" t="s">
        <v>394</v>
      </c>
      <c r="N128" s="74" t="s">
        <v>1044</v>
      </c>
      <c r="O128" s="74" t="s">
        <v>1044</v>
      </c>
    </row>
    <row r="129" spans="2:15" x14ac:dyDescent="0.25">
      <c r="B129" s="3" t="s">
        <v>397</v>
      </c>
      <c r="C129" s="3" t="s">
        <v>144</v>
      </c>
      <c r="D129" s="34">
        <v>34.299999999999997</v>
      </c>
      <c r="E129" s="34">
        <v>1.1100000000000001</v>
      </c>
      <c r="H129" s="36">
        <f t="shared" si="29"/>
        <v>380.73</v>
      </c>
      <c r="J129" s="3" t="s">
        <v>46</v>
      </c>
      <c r="K129" s="34" t="s">
        <v>908</v>
      </c>
      <c r="L129" s="4" t="s">
        <v>341</v>
      </c>
      <c r="N129" s="74" t="s">
        <v>1083</v>
      </c>
      <c r="O129" s="74" t="s">
        <v>1045</v>
      </c>
    </row>
    <row r="130" spans="2:15" x14ac:dyDescent="0.25">
      <c r="B130" s="3" t="s">
        <v>362</v>
      </c>
      <c r="C130" s="3" t="s">
        <v>142</v>
      </c>
      <c r="D130" s="3">
        <f>26.404+64.232+21.801+6.725</f>
        <v>119.16199999999999</v>
      </c>
      <c r="E130" s="5">
        <f>(1.6*26.404+1.25*64.232+1.43*21.801+1.26*6.725)/D130</f>
        <v>1.3610490760477334</v>
      </c>
      <c r="H130" s="9">
        <f t="shared" si="29"/>
        <v>1621.8532999999998</v>
      </c>
      <c r="J130" s="3" t="s">
        <v>881</v>
      </c>
      <c r="K130" s="3" t="s">
        <v>922</v>
      </c>
      <c r="L130" s="4" t="s">
        <v>921</v>
      </c>
      <c r="N130" s="74" t="s">
        <v>602</v>
      </c>
      <c r="O130" s="75" t="s">
        <v>602</v>
      </c>
    </row>
    <row r="131" spans="2:15" x14ac:dyDescent="0.25">
      <c r="B131" s="3" t="s">
        <v>401</v>
      </c>
      <c r="C131" s="3" t="s">
        <v>142</v>
      </c>
      <c r="D131" s="34">
        <v>44</v>
      </c>
      <c r="E131" s="34">
        <v>1.6</v>
      </c>
      <c r="H131" s="36">
        <f t="shared" si="29"/>
        <v>704</v>
      </c>
      <c r="J131" s="3" t="s">
        <v>46</v>
      </c>
      <c r="K131" s="34" t="s">
        <v>908</v>
      </c>
      <c r="L131" s="4" t="s">
        <v>402</v>
      </c>
      <c r="N131" s="74" t="s">
        <v>1083</v>
      </c>
      <c r="O131" s="74" t="s">
        <v>1045</v>
      </c>
    </row>
    <row r="132" spans="2:15" x14ac:dyDescent="0.25">
      <c r="B132" s="3" t="s">
        <v>399</v>
      </c>
      <c r="C132" s="3" t="s">
        <v>144</v>
      </c>
      <c r="D132" s="3">
        <v>141</v>
      </c>
      <c r="E132" s="5">
        <v>1.1000000000000001</v>
      </c>
      <c r="F132" s="3">
        <v>0.11</v>
      </c>
      <c r="H132" s="9">
        <f t="shared" ref="H132" si="30">1000*D132*E132/100</f>
        <v>1551</v>
      </c>
      <c r="I132" s="9">
        <f>1000*D132*F132/100</f>
        <v>155.1</v>
      </c>
      <c r="J132" s="3" t="s">
        <v>46</v>
      </c>
      <c r="K132" s="3" t="s">
        <v>942</v>
      </c>
      <c r="L132" s="4" t="s">
        <v>400</v>
      </c>
      <c r="N132" s="74" t="s">
        <v>1044</v>
      </c>
      <c r="O132" s="74" t="s">
        <v>1044</v>
      </c>
    </row>
    <row r="133" spans="2:15" x14ac:dyDescent="0.25">
      <c r="B133" s="3" t="s">
        <v>345</v>
      </c>
      <c r="C133" s="3" t="s">
        <v>145</v>
      </c>
      <c r="D133" s="3">
        <v>16.2</v>
      </c>
      <c r="E133" s="3">
        <v>1.56</v>
      </c>
      <c r="F133" s="3">
        <v>0.05</v>
      </c>
      <c r="H133" s="9">
        <f t="shared" si="29"/>
        <v>252.72</v>
      </c>
      <c r="I133" s="9">
        <f>1000*D133*F133/100</f>
        <v>8.1</v>
      </c>
      <c r="J133" s="3" t="s">
        <v>46</v>
      </c>
      <c r="K133" s="3" t="s">
        <v>649</v>
      </c>
      <c r="L133" s="4" t="s">
        <v>346</v>
      </c>
      <c r="N133" s="74" t="s">
        <v>1046</v>
      </c>
      <c r="O133" s="74" t="s">
        <v>1046</v>
      </c>
    </row>
    <row r="134" spans="2:15" x14ac:dyDescent="0.25">
      <c r="B134" s="3" t="s">
        <v>343</v>
      </c>
      <c r="C134" s="3" t="s">
        <v>145</v>
      </c>
      <c r="D134" s="34">
        <v>200</v>
      </c>
      <c r="E134" s="34">
        <v>1.3</v>
      </c>
      <c r="H134" s="36">
        <f t="shared" si="29"/>
        <v>2600</v>
      </c>
      <c r="J134" s="3" t="s">
        <v>46</v>
      </c>
      <c r="K134" s="34" t="s">
        <v>908</v>
      </c>
      <c r="L134" s="4" t="s">
        <v>344</v>
      </c>
      <c r="N134" s="74" t="s">
        <v>1044</v>
      </c>
      <c r="O134" s="74" t="s">
        <v>1044</v>
      </c>
    </row>
    <row r="135" spans="2:15" x14ac:dyDescent="0.25">
      <c r="B135" s="3" t="s">
        <v>930</v>
      </c>
      <c r="C135" s="3" t="s">
        <v>143</v>
      </c>
      <c r="D135" s="3">
        <f>224.4+90.7</f>
        <v>315.10000000000002</v>
      </c>
      <c r="E135" s="5">
        <f>(0.86*224.4+0.77*90.7)/(224.4+90.7)</f>
        <v>0.83409393843224355</v>
      </c>
      <c r="F135" s="5">
        <f>(0.08*4.273+0.05*118.393+0.05*6.648+0.09*12.442+0.03*63.755+0.07*14.073)/(4.273+118.393+6.648+12.442+63.755+14.073)</f>
        <v>4.8325151194986884E-2</v>
      </c>
      <c r="H135" s="9">
        <f t="shared" si="29"/>
        <v>2628.2299999999996</v>
      </c>
      <c r="I135" s="9">
        <f>1000*D135*F135/100</f>
        <v>152.27255141540365</v>
      </c>
      <c r="J135" s="3" t="s">
        <v>881</v>
      </c>
      <c r="K135" s="3" t="s">
        <v>928</v>
      </c>
      <c r="L135" s="4" t="s">
        <v>342</v>
      </c>
      <c r="N135" s="74" t="s">
        <v>1044</v>
      </c>
      <c r="O135" s="74" t="s">
        <v>1044</v>
      </c>
    </row>
    <row r="136" spans="2:15" x14ac:dyDescent="0.25">
      <c r="B136" s="3" t="s">
        <v>943</v>
      </c>
      <c r="C136" s="3" t="s">
        <v>145</v>
      </c>
      <c r="D136" s="11">
        <v>44.128838000000002</v>
      </c>
      <c r="E136" s="3">
        <v>1.18</v>
      </c>
      <c r="F136" s="5">
        <v>0.1</v>
      </c>
      <c r="H136" s="9">
        <f t="shared" si="29"/>
        <v>520.72028839999996</v>
      </c>
      <c r="J136" s="3" t="s">
        <v>46</v>
      </c>
      <c r="K136" s="3" t="s">
        <v>944</v>
      </c>
      <c r="L136" s="4" t="s">
        <v>251</v>
      </c>
      <c r="N136" s="74" t="s">
        <v>1044</v>
      </c>
      <c r="O136" s="74" t="s">
        <v>1044</v>
      </c>
    </row>
    <row r="137" spans="2:15" x14ac:dyDescent="0.25">
      <c r="B137" s="3" t="s">
        <v>249</v>
      </c>
      <c r="C137" s="3" t="s">
        <v>145</v>
      </c>
      <c r="D137" s="3">
        <v>23.5</v>
      </c>
      <c r="E137" s="3">
        <v>1.18</v>
      </c>
      <c r="G137" s="3" t="s">
        <v>948</v>
      </c>
      <c r="H137" s="9">
        <f t="shared" si="29"/>
        <v>277.3</v>
      </c>
      <c r="J137" s="3" t="s">
        <v>46</v>
      </c>
      <c r="K137" s="3" t="s">
        <v>931</v>
      </c>
      <c r="L137" s="4" t="s">
        <v>248</v>
      </c>
      <c r="N137" s="74" t="s">
        <v>1036</v>
      </c>
      <c r="O137" s="75" t="s">
        <v>1036</v>
      </c>
    </row>
    <row r="138" spans="2:15" x14ac:dyDescent="0.25">
      <c r="B138" s="3" t="s">
        <v>228</v>
      </c>
      <c r="C138" s="3" t="s">
        <v>143</v>
      </c>
      <c r="D138" s="3">
        <v>30.76</v>
      </c>
      <c r="E138" s="3">
        <v>1.1200000000000001</v>
      </c>
      <c r="F138" s="3">
        <v>0.05</v>
      </c>
      <c r="H138" s="9">
        <f t="shared" si="29"/>
        <v>344.51200000000006</v>
      </c>
      <c r="I138" s="9">
        <f>1000*D138*F138/100</f>
        <v>15.38</v>
      </c>
      <c r="J138" s="3" t="s">
        <v>46</v>
      </c>
      <c r="K138" s="3" t="s">
        <v>649</v>
      </c>
      <c r="L138" s="4" t="s">
        <v>248</v>
      </c>
      <c r="N138" s="74" t="s">
        <v>1046</v>
      </c>
      <c r="O138" s="74" t="s">
        <v>1046</v>
      </c>
    </row>
    <row r="139" spans="2:15" x14ac:dyDescent="0.25">
      <c r="B139" s="3" t="s">
        <v>396</v>
      </c>
      <c r="C139" s="3" t="s">
        <v>145</v>
      </c>
      <c r="D139" s="34">
        <v>35</v>
      </c>
      <c r="E139" s="34">
        <v>0.65</v>
      </c>
      <c r="H139" s="36">
        <f t="shared" si="29"/>
        <v>227.5</v>
      </c>
      <c r="J139" s="3" t="s">
        <v>46</v>
      </c>
      <c r="K139" s="34" t="s">
        <v>908</v>
      </c>
      <c r="L139" s="25" t="s">
        <v>102</v>
      </c>
      <c r="M139" s="35" t="s">
        <v>380</v>
      </c>
      <c r="N139" s="74" t="s">
        <v>1044</v>
      </c>
      <c r="O139" s="74" t="s">
        <v>1044</v>
      </c>
    </row>
    <row r="140" spans="2:15" x14ac:dyDescent="0.25">
      <c r="B140" s="3" t="s">
        <v>932</v>
      </c>
      <c r="C140" s="3" t="s">
        <v>145</v>
      </c>
      <c r="D140" s="3">
        <f>0.78+42+2.4</f>
        <v>45.18</v>
      </c>
      <c r="E140" s="5">
        <f>(1.1*0.78+1*42+1*2.4)/D140</f>
        <v>1.0017264276228419</v>
      </c>
      <c r="F140" s="5">
        <f>(0.06*0.78+0.05*42+0.04*2.4)/D140</f>
        <v>4.9641434262948217E-2</v>
      </c>
      <c r="H140" s="9">
        <f t="shared" si="29"/>
        <v>452.58</v>
      </c>
      <c r="I140" s="9">
        <f>1000*D140*F140/100</f>
        <v>22.428000000000008</v>
      </c>
      <c r="J140" s="3" t="s">
        <v>881</v>
      </c>
      <c r="K140" s="3" t="s">
        <v>757</v>
      </c>
      <c r="L140" s="4" t="s">
        <v>338</v>
      </c>
      <c r="M140" s="4" t="s">
        <v>933</v>
      </c>
      <c r="N140" s="72" t="s">
        <v>1043</v>
      </c>
      <c r="O140" s="72" t="s">
        <v>1043</v>
      </c>
    </row>
    <row r="141" spans="2:15" x14ac:dyDescent="0.25">
      <c r="B141" s="3" t="s">
        <v>339</v>
      </c>
      <c r="C141" s="3" t="s">
        <v>143</v>
      </c>
      <c r="D141" s="3">
        <f>1.782+0.646+0.293</f>
        <v>2.7210000000000001</v>
      </c>
      <c r="E141" s="5">
        <f>(1.34*1.782+1.22*0.646+1.23*0.293)/D141</f>
        <v>1.2996655641308341</v>
      </c>
      <c r="F141" s="11">
        <f>(0.031*1.782+0.039*0.646+0.044*0.293)/D141</f>
        <v>3.4299154722528487E-2</v>
      </c>
      <c r="H141" s="9">
        <f t="shared" si="29"/>
        <v>35.363899999999994</v>
      </c>
      <c r="I141" s="9">
        <f>1000*D141*F141/100</f>
        <v>0.93328000000000022</v>
      </c>
      <c r="J141" s="3" t="s">
        <v>46</v>
      </c>
      <c r="K141" s="3" t="s">
        <v>855</v>
      </c>
      <c r="L141" s="4" t="s">
        <v>340</v>
      </c>
      <c r="N141" s="72" t="s">
        <v>1043</v>
      </c>
      <c r="O141" s="72" t="s">
        <v>1043</v>
      </c>
    </row>
    <row r="142" spans="2:15" x14ac:dyDescent="0.25">
      <c r="B142" s="3" t="s">
        <v>936</v>
      </c>
      <c r="C142" s="3" t="s">
        <v>145</v>
      </c>
      <c r="D142" s="3">
        <v>53.747</v>
      </c>
      <c r="E142" s="3">
        <v>1.1100000000000001</v>
      </c>
      <c r="H142" s="9">
        <f t="shared" si="29"/>
        <v>596.59170000000006</v>
      </c>
      <c r="I142" s="9"/>
      <c r="J142" s="3" t="s">
        <v>46</v>
      </c>
      <c r="K142" s="3" t="s">
        <v>917</v>
      </c>
      <c r="L142" s="4" t="s">
        <v>937</v>
      </c>
      <c r="N142" s="74" t="s">
        <v>1036</v>
      </c>
      <c r="O142" s="74" t="s">
        <v>1044</v>
      </c>
    </row>
    <row r="143" spans="2:15" x14ac:dyDescent="0.25">
      <c r="B143" s="3" t="s">
        <v>938</v>
      </c>
      <c r="C143" s="3" t="s">
        <v>145</v>
      </c>
      <c r="D143" s="11">
        <v>44.889341000000002</v>
      </c>
      <c r="E143" s="3">
        <v>1.55</v>
      </c>
      <c r="F143" s="3">
        <v>0.04</v>
      </c>
      <c r="H143" s="9">
        <f t="shared" ref="H143" si="31">1000*D143*E143/100</f>
        <v>695.7847855</v>
      </c>
      <c r="I143" s="9">
        <f t="shared" ref="I143:I146" si="32">1000*D143*F143/100</f>
        <v>17.955736399999999</v>
      </c>
      <c r="J143" s="3" t="s">
        <v>46</v>
      </c>
      <c r="K143" s="3" t="s">
        <v>941</v>
      </c>
      <c r="L143" s="4" t="s">
        <v>939</v>
      </c>
      <c r="N143" s="74" t="s">
        <v>1083</v>
      </c>
      <c r="O143" s="74" t="s">
        <v>1045</v>
      </c>
    </row>
    <row r="144" spans="2:15" x14ac:dyDescent="0.25">
      <c r="B144" s="3" t="s">
        <v>940</v>
      </c>
      <c r="C144" s="3" t="s">
        <v>145</v>
      </c>
      <c r="D144" s="11">
        <v>9.6598260000000007</v>
      </c>
      <c r="E144" s="3">
        <v>1.51</v>
      </c>
      <c r="F144" s="3">
        <v>0.08</v>
      </c>
      <c r="H144" s="9">
        <f t="shared" ref="H144:H146" si="33">1000*D144*E144/100</f>
        <v>145.86337260000002</v>
      </c>
      <c r="I144" s="9">
        <f t="shared" si="32"/>
        <v>7.7278608000000011</v>
      </c>
      <c r="J144" s="3" t="s">
        <v>46</v>
      </c>
      <c r="K144" s="3" t="s">
        <v>941</v>
      </c>
      <c r="L144" s="4" t="s">
        <v>939</v>
      </c>
      <c r="N144" s="74" t="s">
        <v>1083</v>
      </c>
      <c r="O144" s="74" t="s">
        <v>1045</v>
      </c>
    </row>
    <row r="145" spans="1:15" x14ac:dyDescent="0.25">
      <c r="B145" s="3" t="s">
        <v>398</v>
      </c>
      <c r="C145" s="3" t="s">
        <v>145</v>
      </c>
      <c r="D145" s="3">
        <v>42.38</v>
      </c>
      <c r="E145" s="3">
        <v>1.1599999999999999</v>
      </c>
      <c r="H145" s="9">
        <f t="shared" si="33"/>
        <v>491.60799999999995</v>
      </c>
      <c r="J145" s="3" t="s">
        <v>46</v>
      </c>
      <c r="K145" s="3" t="s">
        <v>942</v>
      </c>
      <c r="L145" s="4" t="s">
        <v>945</v>
      </c>
      <c r="N145" s="74" t="s">
        <v>1044</v>
      </c>
      <c r="O145" s="74" t="s">
        <v>1044</v>
      </c>
    </row>
    <row r="146" spans="1:15" s="48" customFormat="1" x14ac:dyDescent="0.25">
      <c r="B146" s="48" t="s">
        <v>1087</v>
      </c>
      <c r="C146" s="48" t="s">
        <v>1088</v>
      </c>
      <c r="D146" s="48">
        <v>7.26</v>
      </c>
      <c r="E146" s="48">
        <v>1.54</v>
      </c>
      <c r="F146" s="48">
        <v>0.03</v>
      </c>
      <c r="H146" s="55">
        <f t="shared" si="33"/>
        <v>111.804</v>
      </c>
      <c r="I146" s="55">
        <f t="shared" si="32"/>
        <v>2.1779999999999999</v>
      </c>
      <c r="J146" s="48" t="s">
        <v>46</v>
      </c>
      <c r="K146" s="48" t="s">
        <v>1089</v>
      </c>
      <c r="L146" s="52"/>
      <c r="M146" s="52"/>
      <c r="N146" s="74" t="s">
        <v>1044</v>
      </c>
      <c r="O146" s="74" t="s">
        <v>1044</v>
      </c>
    </row>
    <row r="147" spans="1:15" x14ac:dyDescent="0.25">
      <c r="N147" s="46"/>
      <c r="O147" s="42"/>
    </row>
    <row r="148" spans="1:15" x14ac:dyDescent="0.25">
      <c r="A148" s="26" t="s">
        <v>178</v>
      </c>
      <c r="B148" s="26" t="s">
        <v>178</v>
      </c>
      <c r="C148" s="26" t="s">
        <v>178</v>
      </c>
      <c r="D148" s="26" t="s">
        <v>178</v>
      </c>
      <c r="E148" s="26" t="s">
        <v>178</v>
      </c>
      <c r="F148" s="26" t="s">
        <v>178</v>
      </c>
      <c r="G148" s="26" t="s">
        <v>178</v>
      </c>
      <c r="H148" s="26" t="s">
        <v>178</v>
      </c>
      <c r="I148" s="26" t="s">
        <v>178</v>
      </c>
      <c r="J148" s="26" t="s">
        <v>178</v>
      </c>
      <c r="K148" s="26" t="s">
        <v>178</v>
      </c>
      <c r="L148" s="26" t="s">
        <v>178</v>
      </c>
      <c r="M148" s="26" t="s">
        <v>178</v>
      </c>
      <c r="N148" s="47"/>
      <c r="O148" s="42"/>
    </row>
    <row r="149" spans="1:15" x14ac:dyDescent="0.25">
      <c r="A149" s="39">
        <f>COUNT(D151:D167)</f>
        <v>16</v>
      </c>
      <c r="B149" s="22" t="s">
        <v>46</v>
      </c>
      <c r="C149" s="22" t="s">
        <v>46</v>
      </c>
      <c r="D149" s="23">
        <f>SUM(D151:D167)</f>
        <v>2071.1400000000003</v>
      </c>
      <c r="E149" s="14">
        <f>100*(H149/1000)/D149</f>
        <v>1.6073836721865482</v>
      </c>
      <c r="F149" s="30">
        <f>100*(I149/1000)/D149</f>
        <v>2.2591229950655191E-2</v>
      </c>
      <c r="H149" s="23">
        <f>SUM(H151:H167)</f>
        <v>33291.16618812448</v>
      </c>
      <c r="I149" s="23">
        <f>SUM(I151:I167)</f>
        <v>467.89599999999996</v>
      </c>
      <c r="N149" s="46"/>
      <c r="O149" s="42"/>
    </row>
    <row r="150" spans="1:15" x14ac:dyDescent="0.25">
      <c r="A150" s="1" t="s">
        <v>150</v>
      </c>
      <c r="B150" s="1" t="s">
        <v>134</v>
      </c>
      <c r="C150" s="1" t="s">
        <v>141</v>
      </c>
      <c r="D150" s="2" t="s">
        <v>0</v>
      </c>
      <c r="E150" s="2" t="s">
        <v>10</v>
      </c>
      <c r="F150" s="2" t="s">
        <v>9</v>
      </c>
      <c r="G150" s="2" t="s">
        <v>6</v>
      </c>
      <c r="H150" s="2" t="s">
        <v>11</v>
      </c>
      <c r="I150" s="2" t="s">
        <v>12</v>
      </c>
      <c r="J150" s="2" t="s">
        <v>641</v>
      </c>
      <c r="K150" s="2" t="s">
        <v>639</v>
      </c>
      <c r="L150" s="8" t="s">
        <v>5</v>
      </c>
      <c r="M150" s="15" t="s">
        <v>64</v>
      </c>
      <c r="N150" s="45"/>
      <c r="O150" s="42"/>
    </row>
    <row r="151" spans="1:15" x14ac:dyDescent="0.25">
      <c r="B151" s="3" t="s">
        <v>179</v>
      </c>
      <c r="C151" s="3" t="s">
        <v>142</v>
      </c>
      <c r="D151" s="85">
        <v>470.7</v>
      </c>
      <c r="E151" s="65">
        <v>1.678812447020283</v>
      </c>
      <c r="H151" s="9">
        <f t="shared" ref="H151:H165" si="34">1000*D151*E151/100</f>
        <v>7902.1701881244717</v>
      </c>
      <c r="J151" s="3" t="s">
        <v>46</v>
      </c>
      <c r="K151" s="3" t="s">
        <v>649</v>
      </c>
      <c r="L151" s="4" t="s">
        <v>661</v>
      </c>
      <c r="N151" s="74" t="s">
        <v>1043</v>
      </c>
      <c r="O151" s="74" t="s">
        <v>1043</v>
      </c>
    </row>
    <row r="152" spans="1:15" x14ac:dyDescent="0.25">
      <c r="B152" s="3" t="s">
        <v>1129</v>
      </c>
      <c r="C152" s="3" t="s">
        <v>145</v>
      </c>
      <c r="D152" s="3">
        <v>171</v>
      </c>
      <c r="E152" s="6">
        <v>1.77</v>
      </c>
      <c r="H152" s="9">
        <f t="shared" si="34"/>
        <v>3026.7</v>
      </c>
      <c r="J152" s="3" t="s">
        <v>46</v>
      </c>
      <c r="K152" s="3" t="s">
        <v>1128</v>
      </c>
      <c r="L152" s="4" t="s">
        <v>661</v>
      </c>
      <c r="N152" s="74" t="s">
        <v>1043</v>
      </c>
      <c r="O152" s="74" t="s">
        <v>1043</v>
      </c>
    </row>
    <row r="153" spans="1:15" x14ac:dyDescent="0.25">
      <c r="B153" s="3" t="s">
        <v>1152</v>
      </c>
      <c r="C153" s="3" t="s">
        <v>145</v>
      </c>
      <c r="D153" s="3">
        <v>97</v>
      </c>
      <c r="E153" s="6">
        <v>1.78</v>
      </c>
      <c r="H153" s="9">
        <f t="shared" si="34"/>
        <v>1726.6</v>
      </c>
      <c r="J153" s="3" t="s">
        <v>46</v>
      </c>
      <c r="K153" s="3" t="s">
        <v>1150</v>
      </c>
      <c r="L153" s="4" t="s">
        <v>661</v>
      </c>
      <c r="N153" s="74" t="s">
        <v>1031</v>
      </c>
      <c r="O153" s="74" t="s">
        <v>1031</v>
      </c>
    </row>
    <row r="154" spans="1:15" x14ac:dyDescent="0.25">
      <c r="B154" s="3" t="s">
        <v>260</v>
      </c>
      <c r="C154" s="3" t="s">
        <v>145</v>
      </c>
      <c r="D154" s="3">
        <v>162</v>
      </c>
      <c r="E154" s="3">
        <v>1.62</v>
      </c>
      <c r="H154" s="9">
        <f t="shared" si="34"/>
        <v>2624.4</v>
      </c>
      <c r="I154" s="9">
        <f>1000*D154*F154/100</f>
        <v>0</v>
      </c>
      <c r="J154" s="3" t="s">
        <v>46</v>
      </c>
      <c r="K154" s="3" t="s">
        <v>649</v>
      </c>
      <c r="L154" s="4" t="s">
        <v>154</v>
      </c>
      <c r="N154" s="74" t="s">
        <v>1031</v>
      </c>
      <c r="O154" s="74" t="s">
        <v>1031</v>
      </c>
    </row>
    <row r="155" spans="1:15" x14ac:dyDescent="0.25">
      <c r="B155" s="3" t="s">
        <v>929</v>
      </c>
      <c r="C155" s="3" t="s">
        <v>145</v>
      </c>
      <c r="D155" s="10">
        <f>(41.05+78.7+26.6+88.05)*0.8</f>
        <v>187.51999999999998</v>
      </c>
      <c r="E155" s="5">
        <f>(1.8*41.05+1.8*78.7+1.46*26.6+1.5*88.05)/(41.05+78.7+26.6+88.05)</f>
        <v>1.6487244027303756</v>
      </c>
      <c r="F155" s="34">
        <v>0.08</v>
      </c>
      <c r="H155" s="9">
        <f t="shared" si="34"/>
        <v>3091.6880000000001</v>
      </c>
      <c r="I155" s="36">
        <f>1000*D155*F155/100</f>
        <v>150.01599999999999</v>
      </c>
      <c r="J155" s="3" t="s">
        <v>881</v>
      </c>
      <c r="K155" s="3" t="s">
        <v>649</v>
      </c>
      <c r="L155" s="4" t="s">
        <v>157</v>
      </c>
      <c r="M155" s="35" t="s">
        <v>380</v>
      </c>
      <c r="N155" s="74" t="s">
        <v>1031</v>
      </c>
      <c r="O155" s="74" t="s">
        <v>1031</v>
      </c>
    </row>
    <row r="156" spans="1:15" x14ac:dyDescent="0.25">
      <c r="B156" s="3" t="s">
        <v>404</v>
      </c>
      <c r="C156" s="3" t="s">
        <v>142</v>
      </c>
      <c r="D156" s="10">
        <f>(4.75+9.4+5.25+20.6)*0.8</f>
        <v>32</v>
      </c>
      <c r="E156" s="5">
        <f>(2.34*4.75+2.3*9.4+1.49*5.25+1.5*20.6)/(4.75+9.4+5.25+20.6)</f>
        <v>1.7864374999999999</v>
      </c>
      <c r="H156" s="9">
        <f t="shared" si="34"/>
        <v>571.66</v>
      </c>
      <c r="J156" s="3" t="s">
        <v>881</v>
      </c>
      <c r="K156" s="3" t="s">
        <v>649</v>
      </c>
      <c r="L156" s="4" t="s">
        <v>157</v>
      </c>
      <c r="N156" s="74" t="s">
        <v>1043</v>
      </c>
      <c r="O156" s="74" t="s">
        <v>1043</v>
      </c>
    </row>
    <row r="157" spans="1:15" x14ac:dyDescent="0.25">
      <c r="B157" s="3" t="s">
        <v>405</v>
      </c>
      <c r="C157" s="3" t="s">
        <v>142</v>
      </c>
      <c r="D157" s="10">
        <f>(5.05+0.5+27.8+9.4)*0.8</f>
        <v>34.200000000000003</v>
      </c>
      <c r="E157" s="5">
        <f>(2.08*5.05+2*0.5+1.52*27.8+1.6*9.4)/(5.05+0.5+27.8+9.4)</f>
        <v>1.6093567251461989</v>
      </c>
      <c r="H157" s="9">
        <f t="shared" si="34"/>
        <v>550.4</v>
      </c>
      <c r="J157" s="3" t="s">
        <v>881</v>
      </c>
      <c r="K157" s="3" t="s">
        <v>649</v>
      </c>
      <c r="L157" s="4" t="s">
        <v>157</v>
      </c>
      <c r="N157" s="74" t="s">
        <v>1043</v>
      </c>
      <c r="O157" s="74" t="s">
        <v>1043</v>
      </c>
    </row>
    <row r="158" spans="1:15" x14ac:dyDescent="0.25">
      <c r="B158" s="3" t="s">
        <v>406</v>
      </c>
      <c r="C158" s="3" t="s">
        <v>142</v>
      </c>
      <c r="D158" s="10">
        <f>(6.9+38.4)*0.8</f>
        <v>36.24</v>
      </c>
      <c r="E158" s="5">
        <f>(2.1*6.9+1.5*38.4)/(6.9+38.4)</f>
        <v>1.5913907284768214</v>
      </c>
      <c r="H158" s="9">
        <f t="shared" si="34"/>
        <v>576.72</v>
      </c>
      <c r="J158" s="3" t="s">
        <v>881</v>
      </c>
      <c r="K158" s="3" t="s">
        <v>649</v>
      </c>
      <c r="L158" s="4" t="s">
        <v>157</v>
      </c>
      <c r="N158" s="74" t="s">
        <v>1043</v>
      </c>
      <c r="O158" s="74" t="s">
        <v>1043</v>
      </c>
    </row>
    <row r="159" spans="1:15" x14ac:dyDescent="0.25">
      <c r="B159" s="3" t="s">
        <v>407</v>
      </c>
      <c r="C159" s="3" t="s">
        <v>142</v>
      </c>
      <c r="D159" s="10">
        <f>(6.5+28.05+19.7)*0.8</f>
        <v>43.400000000000006</v>
      </c>
      <c r="E159" s="5">
        <f>(2*6.5+1.49*28.05+1.5*19.7)/(6.5+28.05+19.7)</f>
        <v>1.55473732718894</v>
      </c>
      <c r="H159" s="9">
        <f t="shared" si="34"/>
        <v>674.75600000000009</v>
      </c>
      <c r="J159" s="3" t="s">
        <v>881</v>
      </c>
      <c r="K159" s="3" t="s">
        <v>649</v>
      </c>
      <c r="L159" s="4" t="s">
        <v>157</v>
      </c>
      <c r="N159" s="74" t="s">
        <v>1043</v>
      </c>
      <c r="O159" s="74" t="s">
        <v>1043</v>
      </c>
    </row>
    <row r="160" spans="1:15" x14ac:dyDescent="0.25">
      <c r="B160" s="3" t="s">
        <v>408</v>
      </c>
      <c r="C160" s="3" t="s">
        <v>142</v>
      </c>
      <c r="D160" s="10">
        <f>(16.25+1.55+8.75+1.6)*0.8</f>
        <v>22.520000000000003</v>
      </c>
      <c r="E160" s="5">
        <f>(2.2*16.25+2.2*1.55+1.6*8.75+1.48*1.6)/(16.25+1.55+8.75+1.6)</f>
        <v>1.9725754884547071</v>
      </c>
      <c r="H160" s="9">
        <f t="shared" si="34"/>
        <v>444.2240000000001</v>
      </c>
      <c r="J160" s="3" t="s">
        <v>881</v>
      </c>
      <c r="K160" s="3" t="s">
        <v>649</v>
      </c>
      <c r="L160" s="4" t="s">
        <v>157</v>
      </c>
      <c r="N160" s="74" t="s">
        <v>1043</v>
      </c>
      <c r="O160" s="74" t="s">
        <v>1043</v>
      </c>
    </row>
    <row r="161" spans="1:15" x14ac:dyDescent="0.25">
      <c r="B161" s="3" t="s">
        <v>880</v>
      </c>
      <c r="C161" s="3" t="s">
        <v>142</v>
      </c>
      <c r="D161" s="10">
        <f>(12.3+20.8+0.4)*0.8</f>
        <v>26.8</v>
      </c>
      <c r="E161" s="5">
        <f>(2.4*12.3+1.68*20.8+1.5*0.4)/(12.3+20.8+0.4)</f>
        <v>1.9422089552238804</v>
      </c>
      <c r="H161" s="9">
        <f t="shared" si="34"/>
        <v>520.51199999999994</v>
      </c>
      <c r="J161" s="3" t="s">
        <v>881</v>
      </c>
      <c r="K161" s="3" t="s">
        <v>649</v>
      </c>
      <c r="L161" s="4" t="s">
        <v>157</v>
      </c>
      <c r="N161" s="74" t="s">
        <v>1043</v>
      </c>
      <c r="O161" s="74" t="s">
        <v>1043</v>
      </c>
    </row>
    <row r="162" spans="1:15" x14ac:dyDescent="0.25">
      <c r="B162" s="3" t="s">
        <v>409</v>
      </c>
      <c r="C162" s="3" t="s">
        <v>142</v>
      </c>
      <c r="D162" s="10">
        <f>(91.8+31.1+68.7)*0.8</f>
        <v>153.28000000000003</v>
      </c>
      <c r="E162" s="5">
        <f>(1.9*91.8+1.18*31.1+1.2*68.7)/(91.8+31.1+68.7)</f>
        <v>1.5321398747390393</v>
      </c>
      <c r="H162" s="9">
        <f t="shared" si="34"/>
        <v>2348.4639999999999</v>
      </c>
      <c r="J162" s="3" t="s">
        <v>881</v>
      </c>
      <c r="K162" s="3" t="s">
        <v>649</v>
      </c>
      <c r="L162" s="4" t="s">
        <v>157</v>
      </c>
      <c r="N162" s="74" t="s">
        <v>1043</v>
      </c>
      <c r="O162" s="74" t="s">
        <v>1043</v>
      </c>
    </row>
    <row r="163" spans="1:15" x14ac:dyDescent="0.25">
      <c r="B163" s="3" t="s">
        <v>410</v>
      </c>
      <c r="C163" s="3" t="s">
        <v>142</v>
      </c>
      <c r="D163" s="10">
        <f>(18.5+9.8+2.3)*0.8</f>
        <v>24.480000000000004</v>
      </c>
      <c r="E163" s="5">
        <f>(2.2*18.5+1.53*9.8+1.5*2.3)/(18.5+9.8+2.3)</f>
        <v>1.9328104575163401</v>
      </c>
      <c r="H163" s="9">
        <f t="shared" si="34"/>
        <v>473.1520000000001</v>
      </c>
      <c r="J163" s="3" t="s">
        <v>881</v>
      </c>
      <c r="K163" s="3" t="s">
        <v>649</v>
      </c>
      <c r="L163" s="4" t="s">
        <v>157</v>
      </c>
      <c r="N163" s="74" t="s">
        <v>1043</v>
      </c>
      <c r="O163" s="74" t="s">
        <v>1043</v>
      </c>
    </row>
    <row r="164" spans="1:15" x14ac:dyDescent="0.25">
      <c r="B164" s="3" t="s">
        <v>239</v>
      </c>
      <c r="C164" s="3" t="s">
        <v>145</v>
      </c>
      <c r="D164" s="10">
        <f>36+66.4+20.4+98.8+165.6+78.8</f>
        <v>466.00000000000006</v>
      </c>
      <c r="E164" s="5">
        <f>(1.26*36+1.22*66.4+1.17*20.4+1.72*98.8+1.45*165.6+1.6*78.8)/$D164</f>
        <v>1.472901287553648</v>
      </c>
      <c r="F164" s="5">
        <f>(0.18*36+0.18*66.4+0.15*20.4+0.03*98.8+0.03*165.6+0.03*78.8)/$D164</f>
        <v>6.821459227467809E-2</v>
      </c>
      <c r="H164" s="9">
        <f t="shared" si="34"/>
        <v>6863.7200000000012</v>
      </c>
      <c r="I164" s="9">
        <f>1000*D164*F164/100</f>
        <v>317.87999999999994</v>
      </c>
      <c r="J164" s="3" t="s">
        <v>881</v>
      </c>
      <c r="K164" s="3" t="s">
        <v>649</v>
      </c>
      <c r="L164" s="4" t="s">
        <v>240</v>
      </c>
      <c r="N164" s="74" t="s">
        <v>1031</v>
      </c>
      <c r="O164" s="74" t="s">
        <v>1031</v>
      </c>
    </row>
    <row r="165" spans="1:15" x14ac:dyDescent="0.25">
      <c r="B165" s="3" t="s">
        <v>323</v>
      </c>
      <c r="C165" s="3" t="s">
        <v>142</v>
      </c>
      <c r="F165" s="11"/>
      <c r="H165" s="9">
        <f t="shared" si="34"/>
        <v>0</v>
      </c>
      <c r="I165" s="9"/>
      <c r="J165" s="3" t="s">
        <v>46</v>
      </c>
      <c r="L165" s="4" t="s">
        <v>324</v>
      </c>
      <c r="N165" s="74" t="s">
        <v>1043</v>
      </c>
      <c r="O165" s="74" t="s">
        <v>1043</v>
      </c>
    </row>
    <row r="166" spans="1:15" x14ac:dyDescent="0.25">
      <c r="B166" s="3" t="s">
        <v>413</v>
      </c>
      <c r="C166" s="3" t="s">
        <v>145</v>
      </c>
      <c r="D166" s="34">
        <v>56</v>
      </c>
      <c r="E166" s="38">
        <v>1.5</v>
      </c>
      <c r="H166" s="36">
        <f>1000*D166*E166/100</f>
        <v>840</v>
      </c>
      <c r="I166" s="9"/>
      <c r="J166" s="3" t="s">
        <v>46</v>
      </c>
      <c r="K166" s="34" t="s">
        <v>908</v>
      </c>
      <c r="L166" s="4" t="s">
        <v>414</v>
      </c>
      <c r="M166" s="35" t="s">
        <v>380</v>
      </c>
      <c r="N166" s="74" t="s">
        <v>1047</v>
      </c>
      <c r="O166" s="74" t="s">
        <v>1047</v>
      </c>
    </row>
    <row r="167" spans="1:15" x14ac:dyDescent="0.25">
      <c r="B167" s="3" t="s">
        <v>411</v>
      </c>
      <c r="C167" s="3" t="s">
        <v>145</v>
      </c>
      <c r="D167" s="34">
        <v>88</v>
      </c>
      <c r="E167" s="38">
        <v>1.2</v>
      </c>
      <c r="H167" s="36">
        <f>1000*D167*E167/100</f>
        <v>1056</v>
      </c>
      <c r="I167" s="9"/>
      <c r="J167" s="3" t="s">
        <v>46</v>
      </c>
      <c r="K167" s="34" t="s">
        <v>908</v>
      </c>
      <c r="L167" s="4" t="s">
        <v>412</v>
      </c>
      <c r="M167" s="35" t="s">
        <v>380</v>
      </c>
      <c r="N167" s="74" t="s">
        <v>1031</v>
      </c>
      <c r="O167" s="74" t="s">
        <v>1031</v>
      </c>
    </row>
    <row r="168" spans="1:15" x14ac:dyDescent="0.25">
      <c r="B168" s="4" t="s">
        <v>967</v>
      </c>
      <c r="N168" s="46"/>
      <c r="O168" s="42"/>
    </row>
    <row r="169" spans="1:15" x14ac:dyDescent="0.25">
      <c r="N169" s="46"/>
      <c r="O169" s="42"/>
    </row>
    <row r="170" spans="1:15" x14ac:dyDescent="0.25">
      <c r="A170" s="26" t="s">
        <v>182</v>
      </c>
      <c r="B170" s="26" t="s">
        <v>182</v>
      </c>
      <c r="C170" s="26" t="s">
        <v>182</v>
      </c>
      <c r="D170" s="26" t="s">
        <v>182</v>
      </c>
      <c r="E170" s="26" t="s">
        <v>182</v>
      </c>
      <c r="F170" s="26" t="s">
        <v>182</v>
      </c>
      <c r="G170" s="26" t="s">
        <v>182</v>
      </c>
      <c r="H170" s="26" t="s">
        <v>182</v>
      </c>
      <c r="I170" s="26" t="s">
        <v>182</v>
      </c>
      <c r="J170" s="26" t="s">
        <v>182</v>
      </c>
      <c r="K170" s="26" t="s">
        <v>182</v>
      </c>
      <c r="L170" s="26" t="s">
        <v>182</v>
      </c>
      <c r="M170" s="26" t="s">
        <v>182</v>
      </c>
      <c r="N170" s="47"/>
      <c r="O170" s="42"/>
    </row>
    <row r="171" spans="1:15" x14ac:dyDescent="0.25">
      <c r="A171" s="39">
        <f>COUNT(D173:D182)</f>
        <v>10</v>
      </c>
      <c r="B171" s="22" t="s">
        <v>46</v>
      </c>
      <c r="C171" s="22" t="s">
        <v>46</v>
      </c>
      <c r="D171" s="23">
        <f>SUM(D173:D182)</f>
        <v>1339.5459999999998</v>
      </c>
      <c r="E171" s="14">
        <f>100*(H171/1000)/D171</f>
        <v>1.2073987224029636</v>
      </c>
      <c r="F171" s="30">
        <f>100*(I171/1000)/D171</f>
        <v>8.321825304991394E-2</v>
      </c>
      <c r="H171" s="23">
        <f>SUM(H173:H182)</f>
        <v>16173.661290000002</v>
      </c>
      <c r="I171" s="23">
        <f>SUM(I173:I182)</f>
        <v>1114.7467799999999</v>
      </c>
      <c r="N171" s="46"/>
      <c r="O171" s="42"/>
    </row>
    <row r="172" spans="1:15" x14ac:dyDescent="0.25">
      <c r="A172" s="1" t="s">
        <v>150</v>
      </c>
      <c r="B172" s="1" t="s">
        <v>134</v>
      </c>
      <c r="C172" s="1" t="s">
        <v>141</v>
      </c>
      <c r="D172" s="2" t="s">
        <v>0</v>
      </c>
      <c r="E172" s="2" t="s">
        <v>10</v>
      </c>
      <c r="F172" s="2" t="s">
        <v>9</v>
      </c>
      <c r="G172" s="2" t="s">
        <v>6</v>
      </c>
      <c r="H172" s="2" t="s">
        <v>11</v>
      </c>
      <c r="I172" s="2" t="s">
        <v>12</v>
      </c>
      <c r="J172" s="2" t="s">
        <v>641</v>
      </c>
      <c r="K172" s="2" t="s">
        <v>639</v>
      </c>
      <c r="L172" s="8" t="s">
        <v>5</v>
      </c>
      <c r="M172" s="15" t="s">
        <v>64</v>
      </c>
      <c r="N172" s="45"/>
      <c r="O172" s="42"/>
    </row>
    <row r="173" spans="1:15" x14ac:dyDescent="0.25">
      <c r="B173" s="3" t="s">
        <v>309</v>
      </c>
      <c r="C173" s="3" t="s">
        <v>142</v>
      </c>
      <c r="D173" s="5">
        <v>66.599999999999994</v>
      </c>
      <c r="E173" s="3">
        <v>1.26</v>
      </c>
      <c r="F173" s="3">
        <v>0.13</v>
      </c>
      <c r="H173" s="9">
        <f t="shared" ref="H173:H182" si="35">1000*D173*E173/100</f>
        <v>839.16</v>
      </c>
      <c r="I173" s="9">
        <f t="shared" ref="I173:I179" si="36">1000*D173*F173/100</f>
        <v>86.58</v>
      </c>
      <c r="J173" s="3" t="s">
        <v>46</v>
      </c>
      <c r="K173" s="3" t="s">
        <v>882</v>
      </c>
      <c r="L173" s="4" t="s">
        <v>310</v>
      </c>
      <c r="N173" s="74" t="s">
        <v>1031</v>
      </c>
      <c r="O173" s="42" t="s">
        <v>1031</v>
      </c>
    </row>
    <row r="174" spans="1:15" x14ac:dyDescent="0.25">
      <c r="A174" s="48"/>
      <c r="B174" s="48" t="s">
        <v>1103</v>
      </c>
      <c r="C174" s="48" t="s">
        <v>142</v>
      </c>
      <c r="D174" s="58">
        <v>52.472900000000003</v>
      </c>
      <c r="E174" s="48">
        <v>1.32</v>
      </c>
      <c r="F174" s="48">
        <v>0.14000000000000001</v>
      </c>
      <c r="G174" s="48" t="s">
        <v>865</v>
      </c>
      <c r="H174" s="55">
        <f t="shared" ref="H174" si="37">1000*D174*E174/100</f>
        <v>692.64228000000003</v>
      </c>
      <c r="I174" s="55">
        <f t="shared" si="36"/>
        <v>73.462060000000008</v>
      </c>
      <c r="J174" s="48" t="s">
        <v>46</v>
      </c>
      <c r="K174" s="48" t="s">
        <v>1104</v>
      </c>
      <c r="L174" s="52" t="s">
        <v>310</v>
      </c>
      <c r="M174" s="48"/>
      <c r="N174" s="46" t="s">
        <v>602</v>
      </c>
      <c r="O174" s="46" t="s">
        <v>602</v>
      </c>
    </row>
    <row r="175" spans="1:15" x14ac:dyDescent="0.25">
      <c r="A175" s="48"/>
      <c r="B175" s="48" t="s">
        <v>1105</v>
      </c>
      <c r="C175" s="48" t="s">
        <v>145</v>
      </c>
      <c r="D175" s="58">
        <v>4.0612000000000004</v>
      </c>
      <c r="E175" s="48">
        <v>1.18</v>
      </c>
      <c r="F175" s="48">
        <v>0.14000000000000001</v>
      </c>
      <c r="G175" s="48" t="s">
        <v>865</v>
      </c>
      <c r="H175" s="55">
        <f t="shared" ref="H175" si="38">1000*D175*E175/100</f>
        <v>47.922160000000005</v>
      </c>
      <c r="I175" s="55">
        <f t="shared" si="36"/>
        <v>5.6856800000000014</v>
      </c>
      <c r="J175" s="48" t="s">
        <v>46</v>
      </c>
      <c r="K175" s="48" t="s">
        <v>1107</v>
      </c>
      <c r="L175" s="52" t="s">
        <v>310</v>
      </c>
      <c r="M175" s="48"/>
      <c r="N175" s="46" t="s">
        <v>602</v>
      </c>
      <c r="O175" s="46" t="s">
        <v>602</v>
      </c>
    </row>
    <row r="176" spans="1:15" x14ac:dyDescent="0.25">
      <c r="A176" s="48"/>
      <c r="B176" s="48" t="s">
        <v>1106</v>
      </c>
      <c r="C176" s="48" t="s">
        <v>145</v>
      </c>
      <c r="D176" s="58">
        <v>5.0118999999999998</v>
      </c>
      <c r="E176" s="48">
        <v>1.1499999999999999</v>
      </c>
      <c r="F176" s="48">
        <v>0.16</v>
      </c>
      <c r="G176" s="48" t="s">
        <v>865</v>
      </c>
      <c r="H176" s="55">
        <f t="shared" ref="H176" si="39">1000*D176*E176/100</f>
        <v>57.636849999999995</v>
      </c>
      <c r="I176" s="55">
        <f t="shared" si="36"/>
        <v>8.0190400000000004</v>
      </c>
      <c r="J176" s="48" t="s">
        <v>46</v>
      </c>
      <c r="K176" s="48" t="s">
        <v>1107</v>
      </c>
      <c r="L176" s="52" t="s">
        <v>310</v>
      </c>
      <c r="M176" s="48"/>
      <c r="N176" s="46" t="s">
        <v>602</v>
      </c>
      <c r="O176" s="46" t="s">
        <v>602</v>
      </c>
    </row>
    <row r="177" spans="1:15" x14ac:dyDescent="0.25">
      <c r="B177" s="3" t="s">
        <v>223</v>
      </c>
      <c r="C177" s="3" t="s">
        <v>142</v>
      </c>
      <c r="D177" s="34">
        <v>200</v>
      </c>
      <c r="E177" s="38">
        <v>1.1399999999999999</v>
      </c>
      <c r="F177" s="38">
        <v>0.1</v>
      </c>
      <c r="H177" s="36">
        <f t="shared" si="35"/>
        <v>2279.9999999999995</v>
      </c>
      <c r="I177" s="36">
        <f t="shared" si="36"/>
        <v>200</v>
      </c>
      <c r="J177" s="3" t="s">
        <v>46</v>
      </c>
      <c r="K177" s="34" t="s">
        <v>908</v>
      </c>
      <c r="L177" s="4" t="s">
        <v>415</v>
      </c>
      <c r="M177" s="35" t="s">
        <v>380</v>
      </c>
      <c r="N177" s="72" t="s">
        <v>1046</v>
      </c>
      <c r="O177" s="72" t="s">
        <v>1046</v>
      </c>
    </row>
    <row r="178" spans="1:15" x14ac:dyDescent="0.25">
      <c r="B178" s="3" t="s">
        <v>224</v>
      </c>
      <c r="C178" s="3" t="s">
        <v>142</v>
      </c>
      <c r="D178" s="34">
        <v>310</v>
      </c>
      <c r="E178" s="38">
        <v>1.3</v>
      </c>
      <c r="F178" s="38">
        <v>0.11</v>
      </c>
      <c r="H178" s="36">
        <f t="shared" si="35"/>
        <v>4030</v>
      </c>
      <c r="I178" s="36">
        <f t="shared" si="36"/>
        <v>341</v>
      </c>
      <c r="J178" s="3" t="s">
        <v>46</v>
      </c>
      <c r="K178" s="34" t="s">
        <v>908</v>
      </c>
      <c r="L178" s="4" t="s">
        <v>415</v>
      </c>
      <c r="M178" s="35" t="s">
        <v>380</v>
      </c>
      <c r="N178" s="74" t="s">
        <v>1031</v>
      </c>
      <c r="O178" s="74" t="s">
        <v>1031</v>
      </c>
    </row>
    <row r="179" spans="1:15" x14ac:dyDescent="0.25">
      <c r="B179" s="3" t="s">
        <v>416</v>
      </c>
      <c r="C179" s="3" t="s">
        <v>142</v>
      </c>
      <c r="D179" s="34">
        <v>400</v>
      </c>
      <c r="E179" s="38">
        <v>1.1000000000000001</v>
      </c>
      <c r="F179" s="38">
        <v>0.1</v>
      </c>
      <c r="H179" s="36">
        <f t="shared" si="35"/>
        <v>4400.0000000000009</v>
      </c>
      <c r="I179" s="36">
        <f t="shared" si="36"/>
        <v>400</v>
      </c>
      <c r="J179" s="3" t="s">
        <v>46</v>
      </c>
      <c r="K179" s="34" t="s">
        <v>908</v>
      </c>
      <c r="L179" s="4" t="s">
        <v>415</v>
      </c>
      <c r="M179" s="35" t="s">
        <v>380</v>
      </c>
      <c r="N179" s="46" t="s">
        <v>602</v>
      </c>
      <c r="O179" s="46" t="s">
        <v>602</v>
      </c>
    </row>
    <row r="180" spans="1:15" x14ac:dyDescent="0.25">
      <c r="B180" s="3" t="s">
        <v>417</v>
      </c>
      <c r="C180" s="3" t="s">
        <v>145</v>
      </c>
      <c r="D180" s="34">
        <v>44.8</v>
      </c>
      <c r="E180" s="38" t="s">
        <v>420</v>
      </c>
      <c r="H180" s="36">
        <f t="shared" si="35"/>
        <v>497.28000000000009</v>
      </c>
      <c r="J180" s="3" t="s">
        <v>46</v>
      </c>
      <c r="K180" s="34" t="s">
        <v>908</v>
      </c>
      <c r="L180" s="4" t="s">
        <v>415</v>
      </c>
      <c r="M180" s="35" t="s">
        <v>380</v>
      </c>
      <c r="N180" s="74" t="s">
        <v>1031</v>
      </c>
      <c r="O180" s="74" t="s">
        <v>1031</v>
      </c>
    </row>
    <row r="181" spans="1:15" x14ac:dyDescent="0.25">
      <c r="B181" s="3" t="s">
        <v>418</v>
      </c>
      <c r="C181" s="3" t="s">
        <v>145</v>
      </c>
      <c r="D181" s="34">
        <v>234</v>
      </c>
      <c r="E181" s="38" t="s">
        <v>421</v>
      </c>
      <c r="H181" s="36">
        <f t="shared" si="35"/>
        <v>3042</v>
      </c>
      <c r="J181" s="3" t="s">
        <v>46</v>
      </c>
      <c r="K181" s="34" t="s">
        <v>908</v>
      </c>
      <c r="L181" s="4" t="s">
        <v>415</v>
      </c>
      <c r="M181" s="35" t="s">
        <v>380</v>
      </c>
      <c r="N181" s="72" t="s">
        <v>602</v>
      </c>
      <c r="O181" s="72" t="s">
        <v>602</v>
      </c>
    </row>
    <row r="182" spans="1:15" x14ac:dyDescent="0.25">
      <c r="B182" s="3" t="s">
        <v>419</v>
      </c>
      <c r="C182" s="3" t="s">
        <v>145</v>
      </c>
      <c r="D182" s="34">
        <v>22.6</v>
      </c>
      <c r="E182" s="38" t="s">
        <v>422</v>
      </c>
      <c r="H182" s="36">
        <f t="shared" si="35"/>
        <v>287.02</v>
      </c>
      <c r="J182" s="3" t="s">
        <v>46</v>
      </c>
      <c r="K182" s="34" t="s">
        <v>908</v>
      </c>
      <c r="L182" s="4" t="s">
        <v>415</v>
      </c>
      <c r="M182" s="35" t="s">
        <v>380</v>
      </c>
      <c r="N182" s="46" t="s">
        <v>1036</v>
      </c>
      <c r="O182" s="46" t="s">
        <v>602</v>
      </c>
    </row>
    <row r="183" spans="1:15" x14ac:dyDescent="0.25">
      <c r="N183" s="46"/>
      <c r="O183" s="42"/>
    </row>
    <row r="184" spans="1:15" x14ac:dyDescent="0.25">
      <c r="A184" s="26" t="s">
        <v>183</v>
      </c>
      <c r="B184" s="26" t="s">
        <v>183</v>
      </c>
      <c r="C184" s="26" t="s">
        <v>183</v>
      </c>
      <c r="D184" s="26" t="s">
        <v>183</v>
      </c>
      <c r="E184" s="26" t="s">
        <v>183</v>
      </c>
      <c r="F184" s="26" t="s">
        <v>183</v>
      </c>
      <c r="G184" s="26" t="s">
        <v>183</v>
      </c>
      <c r="H184" s="26" t="s">
        <v>183</v>
      </c>
      <c r="I184" s="26" t="s">
        <v>183</v>
      </c>
      <c r="J184" s="26" t="s">
        <v>183</v>
      </c>
      <c r="K184" s="26" t="s">
        <v>183</v>
      </c>
      <c r="L184" s="26" t="s">
        <v>183</v>
      </c>
      <c r="M184" s="26" t="s">
        <v>183</v>
      </c>
      <c r="N184" s="47"/>
      <c r="O184" s="42"/>
    </row>
    <row r="185" spans="1:15" x14ac:dyDescent="0.25">
      <c r="A185" s="39">
        <f>COUNT(D187:D189)</f>
        <v>3</v>
      </c>
      <c r="B185" s="22" t="s">
        <v>46</v>
      </c>
      <c r="C185" s="22" t="s">
        <v>46</v>
      </c>
      <c r="D185" s="23">
        <f>SUM(D187:D189)</f>
        <v>302.90499999999997</v>
      </c>
      <c r="E185" s="14">
        <f>100*(H185/1000)/D185</f>
        <v>1.3041367755566928</v>
      </c>
      <c r="F185" s="30">
        <f>100*(I185/1000)/D185</f>
        <v>5.1795381390204863E-2</v>
      </c>
      <c r="H185" s="23">
        <f>SUM(H187:H189)</f>
        <v>3950.2955000000002</v>
      </c>
      <c r="I185" s="23">
        <f>SUM(I187:I189)</f>
        <v>156.89080000000001</v>
      </c>
      <c r="N185" s="46"/>
      <c r="O185" s="42"/>
    </row>
    <row r="186" spans="1:15" x14ac:dyDescent="0.25">
      <c r="A186" s="1" t="s">
        <v>150</v>
      </c>
      <c r="B186" s="1" t="s">
        <v>134</v>
      </c>
      <c r="C186" s="1" t="s">
        <v>141</v>
      </c>
      <c r="D186" s="2" t="s">
        <v>0</v>
      </c>
      <c r="E186" s="2" t="s">
        <v>10</v>
      </c>
      <c r="F186" s="2" t="s">
        <v>9</v>
      </c>
      <c r="G186" s="2" t="s">
        <v>6</v>
      </c>
      <c r="H186" s="2" t="s">
        <v>11</v>
      </c>
      <c r="I186" s="2" t="s">
        <v>12</v>
      </c>
      <c r="J186" s="2" t="s">
        <v>641</v>
      </c>
      <c r="K186" s="2" t="s">
        <v>639</v>
      </c>
      <c r="L186" s="8" t="s">
        <v>5</v>
      </c>
      <c r="M186" s="15" t="s">
        <v>64</v>
      </c>
      <c r="N186" s="45"/>
      <c r="O186" s="42"/>
    </row>
    <row r="187" spans="1:15" x14ac:dyDescent="0.25">
      <c r="B187" s="3" t="s">
        <v>461</v>
      </c>
      <c r="C187" s="3" t="s">
        <v>145</v>
      </c>
      <c r="D187" s="3">
        <f>24.67+36.78+43.01+44.32+2.21+14.7</f>
        <v>165.69</v>
      </c>
      <c r="E187" s="5">
        <f>(1.54*24.67+1.45*36.78+1.25*43.01+1.12*44.32+1.02*2.21+1.01*14.7)/$D187</f>
        <v>1.2784410646387834</v>
      </c>
      <c r="F187" s="11">
        <f>(0*24.67+0*36.78+0*43.01+0.11*44.32+0.098*2.21+0.083*14.7)/$D187</f>
        <v>3.8094513851167848E-2</v>
      </c>
      <c r="H187" s="9">
        <f>1000*D187*E187/100</f>
        <v>2118.2490000000003</v>
      </c>
      <c r="I187" s="9">
        <f>1000*D187*F187/100</f>
        <v>63.118800000000007</v>
      </c>
      <c r="J187" s="3" t="s">
        <v>881</v>
      </c>
      <c r="K187" s="3" t="s">
        <v>914</v>
      </c>
      <c r="L187" s="4" t="s">
        <v>913</v>
      </c>
      <c r="N187" s="72" t="s">
        <v>1031</v>
      </c>
      <c r="O187" s="72" t="s">
        <v>1031</v>
      </c>
    </row>
    <row r="188" spans="1:15" x14ac:dyDescent="0.25">
      <c r="B188" s="3" t="s">
        <v>462</v>
      </c>
      <c r="C188" s="3" t="s">
        <v>145</v>
      </c>
      <c r="D188" s="34">
        <v>40</v>
      </c>
      <c r="E188" s="38">
        <v>1.25</v>
      </c>
      <c r="F188" s="38">
        <v>0.04</v>
      </c>
      <c r="H188" s="36">
        <f>1000*D188*E188/100</f>
        <v>500</v>
      </c>
      <c r="I188" s="36">
        <f>1000*D188*F188/100</f>
        <v>16</v>
      </c>
      <c r="J188" s="3" t="s">
        <v>46</v>
      </c>
      <c r="K188" s="34" t="s">
        <v>908</v>
      </c>
      <c r="L188" s="25" t="s">
        <v>102</v>
      </c>
      <c r="M188" s="35" t="s">
        <v>513</v>
      </c>
      <c r="N188" s="74" t="s">
        <v>1030</v>
      </c>
      <c r="O188" s="74" t="s">
        <v>1030</v>
      </c>
    </row>
    <row r="189" spans="1:15" x14ac:dyDescent="0.25">
      <c r="B189" s="3" t="s">
        <v>512</v>
      </c>
      <c r="C189" s="3" t="s">
        <v>145</v>
      </c>
      <c r="D189" s="3">
        <f>39.288+57.927</f>
        <v>97.215000000000003</v>
      </c>
      <c r="E189" s="5">
        <f>(1.4*39.288+1.35*57.927)/D189</f>
        <v>1.3702067582163246</v>
      </c>
      <c r="F189" s="38">
        <v>0.08</v>
      </c>
      <c r="H189" s="9">
        <f>1000*D189*E189/100</f>
        <v>1332.0464999999999</v>
      </c>
      <c r="I189" s="36">
        <f>1000*D189*F189/100</f>
        <v>77.771999999999991</v>
      </c>
      <c r="J189" s="3" t="s">
        <v>915</v>
      </c>
      <c r="K189" s="3" t="s">
        <v>916</v>
      </c>
      <c r="L189" s="4" t="s">
        <v>463</v>
      </c>
      <c r="N189" s="72" t="s">
        <v>1031</v>
      </c>
      <c r="O189" s="72" t="s">
        <v>1031</v>
      </c>
    </row>
    <row r="190" spans="1:15" x14ac:dyDescent="0.25">
      <c r="N190" s="46"/>
      <c r="O190" s="42"/>
    </row>
    <row r="191" spans="1:15" x14ac:dyDescent="0.25">
      <c r="A191" s="26" t="s">
        <v>184</v>
      </c>
      <c r="B191" s="26" t="s">
        <v>184</v>
      </c>
      <c r="C191" s="26" t="s">
        <v>184</v>
      </c>
      <c r="D191" s="26" t="s">
        <v>184</v>
      </c>
      <c r="E191" s="26" t="s">
        <v>184</v>
      </c>
      <c r="F191" s="26" t="s">
        <v>184</v>
      </c>
      <c r="G191" s="26" t="s">
        <v>184</v>
      </c>
      <c r="H191" s="26" t="s">
        <v>184</v>
      </c>
      <c r="I191" s="26" t="s">
        <v>184</v>
      </c>
      <c r="J191" s="26" t="s">
        <v>184</v>
      </c>
      <c r="K191" s="26" t="s">
        <v>184</v>
      </c>
      <c r="L191" s="26" t="s">
        <v>184</v>
      </c>
      <c r="M191" s="26" t="s">
        <v>184</v>
      </c>
      <c r="N191" s="47"/>
      <c r="O191" s="42"/>
    </row>
    <row r="192" spans="1:15" x14ac:dyDescent="0.25">
      <c r="B192" s="22" t="s">
        <v>46</v>
      </c>
      <c r="C192" s="22" t="s">
        <v>46</v>
      </c>
      <c r="L192" s="3"/>
      <c r="M192" s="3"/>
      <c r="N192" s="46"/>
      <c r="O192" s="42"/>
    </row>
    <row r="193" spans="1:15" x14ac:dyDescent="0.25">
      <c r="A193" s="1" t="s">
        <v>150</v>
      </c>
      <c r="B193" s="1" t="s">
        <v>134</v>
      </c>
      <c r="C193" s="1" t="s">
        <v>141</v>
      </c>
      <c r="D193" s="2" t="s">
        <v>0</v>
      </c>
      <c r="E193" s="2" t="s">
        <v>10</v>
      </c>
      <c r="F193" s="2" t="s">
        <v>9</v>
      </c>
      <c r="G193" s="2" t="s">
        <v>6</v>
      </c>
      <c r="H193" s="2" t="s">
        <v>11</v>
      </c>
      <c r="I193" s="2" t="s">
        <v>12</v>
      </c>
      <c r="J193" s="2" t="s">
        <v>641</v>
      </c>
      <c r="K193" s="2" t="s">
        <v>639</v>
      </c>
      <c r="L193" s="8" t="s">
        <v>5</v>
      </c>
      <c r="M193" s="15" t="s">
        <v>64</v>
      </c>
      <c r="N193" s="45"/>
      <c r="O193" s="42"/>
    </row>
    <row r="194" spans="1:15" x14ac:dyDescent="0.25">
      <c r="L194" s="3"/>
      <c r="M194" s="3"/>
      <c r="N194" s="45"/>
      <c r="O194" s="45"/>
    </row>
    <row r="195" spans="1:15" x14ac:dyDescent="0.25">
      <c r="L195" s="3"/>
      <c r="M195" s="3"/>
      <c r="N195" s="46"/>
      <c r="O195" s="42"/>
    </row>
    <row r="196" spans="1:15" x14ac:dyDescent="0.25">
      <c r="A196" s="26" t="s">
        <v>187</v>
      </c>
      <c r="B196" s="26" t="s">
        <v>187</v>
      </c>
      <c r="C196" s="26" t="s">
        <v>187</v>
      </c>
      <c r="D196" s="26" t="s">
        <v>187</v>
      </c>
      <c r="E196" s="26" t="s">
        <v>187</v>
      </c>
      <c r="F196" s="26" t="s">
        <v>187</v>
      </c>
      <c r="G196" s="26" t="s">
        <v>187</v>
      </c>
      <c r="H196" s="26" t="s">
        <v>187</v>
      </c>
      <c r="I196" s="26" t="s">
        <v>187</v>
      </c>
      <c r="J196" s="26" t="s">
        <v>187</v>
      </c>
      <c r="K196" s="26" t="s">
        <v>187</v>
      </c>
      <c r="L196" s="26" t="s">
        <v>187</v>
      </c>
      <c r="M196" s="26" t="s">
        <v>187</v>
      </c>
      <c r="N196" s="47"/>
      <c r="O196" s="42"/>
    </row>
    <row r="197" spans="1:15" x14ac:dyDescent="0.25">
      <c r="A197" s="39">
        <f>COUNT(D199:D201)</f>
        <v>3</v>
      </c>
      <c r="B197" s="22" t="s">
        <v>46</v>
      </c>
      <c r="C197" s="22" t="s">
        <v>46</v>
      </c>
      <c r="D197" s="23">
        <f>SUM(D199:D201)</f>
        <v>430.7</v>
      </c>
      <c r="E197" s="14">
        <f>100*(H197/1000)/D197</f>
        <v>0.998100766194567</v>
      </c>
      <c r="F197" s="30">
        <f>100*(I197/1000)/D197</f>
        <v>8.9196656605525906E-2</v>
      </c>
      <c r="H197" s="23">
        <f>SUM(H199:H201)</f>
        <v>4298.82</v>
      </c>
      <c r="I197" s="23">
        <f>SUM(I199:I201)</f>
        <v>384.17000000000007</v>
      </c>
      <c r="N197" s="46"/>
      <c r="O197" s="42"/>
    </row>
    <row r="198" spans="1:15" x14ac:dyDescent="0.25">
      <c r="A198" s="1" t="s">
        <v>150</v>
      </c>
      <c r="B198" s="1" t="s">
        <v>134</v>
      </c>
      <c r="C198" s="1" t="s">
        <v>141</v>
      </c>
      <c r="D198" s="2" t="s">
        <v>0</v>
      </c>
      <c r="E198" s="2" t="s">
        <v>10</v>
      </c>
      <c r="F198" s="2" t="s">
        <v>9</v>
      </c>
      <c r="G198" s="2" t="s">
        <v>6</v>
      </c>
      <c r="H198" s="2" t="s">
        <v>11</v>
      </c>
      <c r="I198" s="2" t="s">
        <v>12</v>
      </c>
      <c r="J198" s="2" t="s">
        <v>641</v>
      </c>
      <c r="K198" s="2" t="s">
        <v>639</v>
      </c>
      <c r="L198" s="8" t="s">
        <v>5</v>
      </c>
      <c r="M198" s="15" t="s">
        <v>64</v>
      </c>
      <c r="N198" s="45"/>
      <c r="O198" s="42"/>
    </row>
    <row r="199" spans="1:15" x14ac:dyDescent="0.25">
      <c r="B199" s="3" t="s">
        <v>188</v>
      </c>
      <c r="C199" s="3" t="s">
        <v>143</v>
      </c>
      <c r="D199" s="3">
        <f>42.4+29.8+71</f>
        <v>143.19999999999999</v>
      </c>
      <c r="E199" s="3">
        <v>1.01</v>
      </c>
      <c r="F199" s="5">
        <f>(0.11*42.4+0.11*29.8+0.1*71)/D199</f>
        <v>0.10504189944134081</v>
      </c>
      <c r="H199" s="9">
        <f>1000*D199*E199/100</f>
        <v>1446.32</v>
      </c>
      <c r="I199" s="9">
        <f>1000*D199*F199/100</f>
        <v>150.42000000000004</v>
      </c>
      <c r="J199" s="3" t="s">
        <v>46</v>
      </c>
      <c r="K199" s="3" t="s">
        <v>909</v>
      </c>
      <c r="L199" s="4" t="s">
        <v>189</v>
      </c>
      <c r="N199" s="74" t="s">
        <v>1031</v>
      </c>
      <c r="O199" s="42" t="s">
        <v>1031</v>
      </c>
    </row>
    <row r="200" spans="1:15" x14ac:dyDescent="0.25">
      <c r="B200" s="3" t="s">
        <v>642</v>
      </c>
      <c r="C200" s="3" t="s">
        <v>145</v>
      </c>
      <c r="D200" s="3">
        <v>162.5</v>
      </c>
      <c r="E200" s="3">
        <v>0.94</v>
      </c>
      <c r="F200" s="5">
        <v>0.09</v>
      </c>
      <c r="H200" s="9">
        <f t="shared" ref="H200:H201" si="40">1000*D200*E200/100</f>
        <v>1527.5</v>
      </c>
      <c r="I200" s="9">
        <f t="shared" ref="I200:I201" si="41">1000*D200*F200/100</f>
        <v>146.25</v>
      </c>
      <c r="J200" s="3" t="s">
        <v>46</v>
      </c>
      <c r="K200" s="3" t="s">
        <v>910</v>
      </c>
      <c r="L200" s="4" t="s">
        <v>911</v>
      </c>
      <c r="N200" s="72" t="s">
        <v>602</v>
      </c>
      <c r="O200" s="42" t="s">
        <v>602</v>
      </c>
    </row>
    <row r="201" spans="1:15" x14ac:dyDescent="0.25">
      <c r="B201" s="3" t="s">
        <v>336</v>
      </c>
      <c r="C201" s="3" t="s">
        <v>145</v>
      </c>
      <c r="D201" s="48">
        <v>125</v>
      </c>
      <c r="E201" s="3">
        <v>1.06</v>
      </c>
      <c r="F201" s="3">
        <v>7.0000000000000007E-2</v>
      </c>
      <c r="H201" s="9">
        <f t="shared" si="40"/>
        <v>1325</v>
      </c>
      <c r="I201" s="9">
        <f t="shared" si="41"/>
        <v>87.5</v>
      </c>
      <c r="J201" s="3" t="s">
        <v>46</v>
      </c>
      <c r="K201" s="3" t="s">
        <v>912</v>
      </c>
      <c r="L201" s="4" t="s">
        <v>337</v>
      </c>
      <c r="N201" s="74" t="s">
        <v>1031</v>
      </c>
      <c r="O201" s="74" t="s">
        <v>1031</v>
      </c>
    </row>
    <row r="202" spans="1:15" x14ac:dyDescent="0.25">
      <c r="N202" s="46"/>
      <c r="O202" s="42"/>
    </row>
    <row r="203" spans="1:15" x14ac:dyDescent="0.25">
      <c r="A203" s="26" t="s">
        <v>427</v>
      </c>
      <c r="B203" s="26" t="s">
        <v>427</v>
      </c>
      <c r="C203" s="26" t="s">
        <v>427</v>
      </c>
      <c r="D203" s="26" t="s">
        <v>427</v>
      </c>
      <c r="E203" s="26" t="s">
        <v>427</v>
      </c>
      <c r="F203" s="26" t="s">
        <v>427</v>
      </c>
      <c r="G203" s="26" t="s">
        <v>427</v>
      </c>
      <c r="H203" s="26" t="s">
        <v>427</v>
      </c>
      <c r="I203" s="26" t="s">
        <v>427</v>
      </c>
      <c r="J203" s="26" t="s">
        <v>427</v>
      </c>
      <c r="K203" s="26" t="s">
        <v>427</v>
      </c>
      <c r="L203" s="26" t="s">
        <v>427</v>
      </c>
      <c r="M203" s="26" t="s">
        <v>427</v>
      </c>
      <c r="N203" s="47"/>
      <c r="O203" s="42"/>
    </row>
    <row r="204" spans="1:15" x14ac:dyDescent="0.25">
      <c r="A204" s="39">
        <f>COUNT(D206:D207)</f>
        <v>2</v>
      </c>
      <c r="B204" s="22" t="s">
        <v>46</v>
      </c>
      <c r="C204" s="22" t="s">
        <v>46</v>
      </c>
      <c r="D204" s="23">
        <f>SUM(D206:D207)</f>
        <v>150</v>
      </c>
      <c r="E204" s="14">
        <f>100*(H204/1000)/D204</f>
        <v>1.446</v>
      </c>
      <c r="F204" s="30">
        <f>100*(I204/1000)/D204</f>
        <v>0</v>
      </c>
      <c r="H204" s="23">
        <f>SUM(H206:H207)</f>
        <v>2169</v>
      </c>
      <c r="I204" s="23">
        <f>SUM(I206:I207)</f>
        <v>0</v>
      </c>
      <c r="N204" s="46"/>
      <c r="O204" s="42"/>
    </row>
    <row r="205" spans="1:15" x14ac:dyDescent="0.25">
      <c r="A205" s="1" t="s">
        <v>150</v>
      </c>
      <c r="B205" s="1" t="s">
        <v>134</v>
      </c>
      <c r="C205" s="1" t="s">
        <v>141</v>
      </c>
      <c r="D205" s="2" t="s">
        <v>0</v>
      </c>
      <c r="E205" s="2" t="s">
        <v>10</v>
      </c>
      <c r="F205" s="2" t="s">
        <v>9</v>
      </c>
      <c r="G205" s="2" t="s">
        <v>6</v>
      </c>
      <c r="H205" s="2" t="s">
        <v>11</v>
      </c>
      <c r="I205" s="2" t="s">
        <v>12</v>
      </c>
      <c r="J205" s="2" t="s">
        <v>641</v>
      </c>
      <c r="K205" s="2" t="s">
        <v>639</v>
      </c>
      <c r="L205" s="8" t="s">
        <v>5</v>
      </c>
      <c r="M205" s="15" t="s">
        <v>64</v>
      </c>
      <c r="N205" s="45"/>
      <c r="O205" s="42"/>
    </row>
    <row r="206" spans="1:15" x14ac:dyDescent="0.25">
      <c r="B206" s="3" t="s">
        <v>428</v>
      </c>
      <c r="C206" s="3" t="s">
        <v>145</v>
      </c>
      <c r="D206" s="34">
        <v>110</v>
      </c>
      <c r="E206" s="34">
        <v>1.19</v>
      </c>
      <c r="H206" s="36">
        <f>1000*D206*E206/100</f>
        <v>1309</v>
      </c>
      <c r="J206" s="3" t="s">
        <v>46</v>
      </c>
      <c r="K206" s="34" t="s">
        <v>908</v>
      </c>
      <c r="L206" s="4" t="s">
        <v>514</v>
      </c>
      <c r="M206" s="35" t="s">
        <v>380</v>
      </c>
      <c r="N206" s="74" t="s">
        <v>1031</v>
      </c>
      <c r="O206" s="74" t="s">
        <v>1031</v>
      </c>
    </row>
    <row r="207" spans="1:15" x14ac:dyDescent="0.25">
      <c r="B207" s="3" t="s">
        <v>429</v>
      </c>
      <c r="C207" s="3" t="s">
        <v>145</v>
      </c>
      <c r="D207" s="34">
        <v>40</v>
      </c>
      <c r="E207" s="34">
        <v>2.15</v>
      </c>
      <c r="H207" s="36">
        <f>1000*D207*E207/100</f>
        <v>860</v>
      </c>
      <c r="J207" s="3" t="s">
        <v>46</v>
      </c>
      <c r="K207" s="34" t="s">
        <v>908</v>
      </c>
      <c r="L207" s="4" t="s">
        <v>515</v>
      </c>
      <c r="M207" s="35" t="s">
        <v>380</v>
      </c>
      <c r="N207" s="72" t="s">
        <v>1047</v>
      </c>
      <c r="O207" s="72" t="s">
        <v>1047</v>
      </c>
    </row>
    <row r="208" spans="1:15" x14ac:dyDescent="0.25">
      <c r="N208" s="72"/>
      <c r="O208" s="42"/>
    </row>
    <row r="209" spans="1:15" x14ac:dyDescent="0.25">
      <c r="A209" s="26" t="s">
        <v>191</v>
      </c>
      <c r="B209" s="26" t="s">
        <v>191</v>
      </c>
      <c r="C209" s="26" t="s">
        <v>191</v>
      </c>
      <c r="D209" s="26" t="s">
        <v>191</v>
      </c>
      <c r="E209" s="26" t="s">
        <v>191</v>
      </c>
      <c r="F209" s="26" t="s">
        <v>191</v>
      </c>
      <c r="G209" s="26" t="s">
        <v>191</v>
      </c>
      <c r="H209" s="26" t="s">
        <v>191</v>
      </c>
      <c r="I209" s="26" t="s">
        <v>191</v>
      </c>
      <c r="J209" s="26" t="s">
        <v>191</v>
      </c>
      <c r="K209" s="26" t="s">
        <v>191</v>
      </c>
      <c r="L209" s="26" t="s">
        <v>191</v>
      </c>
      <c r="M209" s="26" t="s">
        <v>191</v>
      </c>
      <c r="N209" s="72"/>
      <c r="O209" s="42"/>
    </row>
    <row r="210" spans="1:15" x14ac:dyDescent="0.25">
      <c r="A210" s="39">
        <f>COUNT(D212:D213)</f>
        <v>1</v>
      </c>
      <c r="B210" s="22" t="s">
        <v>46</v>
      </c>
      <c r="C210" s="22" t="s">
        <v>46</v>
      </c>
      <c r="D210" s="23">
        <f>SUM(D212:D213)</f>
        <v>331</v>
      </c>
      <c r="E210" s="14">
        <f>100*(H210/1000)/D210</f>
        <v>0.97492447129909365</v>
      </c>
      <c r="H210" s="23">
        <f>SUM(H212:H213)</f>
        <v>3227</v>
      </c>
      <c r="I210" s="23">
        <f>SUM(I212:I213)</f>
        <v>0</v>
      </c>
      <c r="N210" s="72"/>
      <c r="O210" s="42"/>
    </row>
    <row r="211" spans="1:15" x14ac:dyDescent="0.25">
      <c r="A211" s="1" t="s">
        <v>150</v>
      </c>
      <c r="B211" s="1" t="s">
        <v>134</v>
      </c>
      <c r="C211" s="1" t="s">
        <v>141</v>
      </c>
      <c r="D211" s="2" t="s">
        <v>0</v>
      </c>
      <c r="E211" s="2" t="s">
        <v>10</v>
      </c>
      <c r="F211" s="2" t="s">
        <v>9</v>
      </c>
      <c r="G211" s="2" t="s">
        <v>6</v>
      </c>
      <c r="H211" s="2" t="s">
        <v>11</v>
      </c>
      <c r="I211" s="2" t="s">
        <v>12</v>
      </c>
      <c r="J211" s="2" t="s">
        <v>641</v>
      </c>
      <c r="K211" s="2" t="s">
        <v>639</v>
      </c>
      <c r="L211" s="8" t="s">
        <v>5</v>
      </c>
      <c r="M211" s="15" t="s">
        <v>64</v>
      </c>
      <c r="N211" s="72"/>
      <c r="O211" s="42"/>
    </row>
    <row r="212" spans="1:15" x14ac:dyDescent="0.25">
      <c r="B212" s="3" t="s">
        <v>192</v>
      </c>
      <c r="C212" s="3" t="s">
        <v>142</v>
      </c>
      <c r="D212" s="3">
        <f>52+122+98+39+20</f>
        <v>331</v>
      </c>
      <c r="E212" s="5">
        <f>(1.3*52+1*122+0.8*98+1.3*39+0.2*20)/D212</f>
        <v>0.97492447129909365</v>
      </c>
      <c r="H212" s="9">
        <f>1000*D212*E212/100</f>
        <v>3227</v>
      </c>
      <c r="J212" s="3" t="s">
        <v>46</v>
      </c>
      <c r="K212" s="3" t="s">
        <v>649</v>
      </c>
      <c r="L212" s="4" t="s">
        <v>7</v>
      </c>
      <c r="M212" s="3" t="s">
        <v>643</v>
      </c>
      <c r="N212" s="72" t="s">
        <v>1048</v>
      </c>
      <c r="O212" s="72" t="s">
        <v>1048</v>
      </c>
    </row>
    <row r="213" spans="1:15" x14ac:dyDescent="0.25">
      <c r="H213" s="9"/>
      <c r="N213" s="46"/>
      <c r="O213" s="42"/>
    </row>
    <row r="214" spans="1:15" x14ac:dyDescent="0.25">
      <c r="N214" s="46"/>
      <c r="O214" s="42"/>
    </row>
    <row r="215" spans="1:15" x14ac:dyDescent="0.25">
      <c r="A215" s="26" t="s">
        <v>193</v>
      </c>
      <c r="B215" s="26" t="s">
        <v>193</v>
      </c>
      <c r="C215" s="26" t="s">
        <v>193</v>
      </c>
      <c r="D215" s="26" t="s">
        <v>193</v>
      </c>
      <c r="E215" s="26" t="s">
        <v>193</v>
      </c>
      <c r="F215" s="26" t="s">
        <v>193</v>
      </c>
      <c r="G215" s="26" t="s">
        <v>193</v>
      </c>
      <c r="H215" s="26" t="s">
        <v>193</v>
      </c>
      <c r="I215" s="26" t="s">
        <v>193</v>
      </c>
      <c r="J215" s="26" t="s">
        <v>193</v>
      </c>
      <c r="K215" s="26" t="s">
        <v>193</v>
      </c>
      <c r="L215" s="26" t="s">
        <v>193</v>
      </c>
      <c r="M215" s="26" t="s">
        <v>193</v>
      </c>
      <c r="N215" s="47"/>
      <c r="O215" s="42"/>
    </row>
    <row r="216" spans="1:15" x14ac:dyDescent="0.25">
      <c r="B216" s="22" t="s">
        <v>46</v>
      </c>
      <c r="C216" s="22" t="s">
        <v>46</v>
      </c>
      <c r="N216" s="46"/>
      <c r="O216" s="42"/>
    </row>
    <row r="217" spans="1:15" x14ac:dyDescent="0.25">
      <c r="A217" s="1" t="s">
        <v>150</v>
      </c>
      <c r="B217" s="1" t="s">
        <v>134</v>
      </c>
      <c r="C217" s="1" t="s">
        <v>141</v>
      </c>
      <c r="D217" s="2" t="s">
        <v>0</v>
      </c>
      <c r="E217" s="2" t="s">
        <v>10</v>
      </c>
      <c r="F217" s="2" t="s">
        <v>9</v>
      </c>
      <c r="G217" s="2" t="s">
        <v>6</v>
      </c>
      <c r="H217" s="2" t="s">
        <v>11</v>
      </c>
      <c r="I217" s="2" t="s">
        <v>12</v>
      </c>
      <c r="J217" s="2" t="s">
        <v>641</v>
      </c>
      <c r="K217" s="2" t="s">
        <v>639</v>
      </c>
      <c r="L217" s="8" t="s">
        <v>5</v>
      </c>
      <c r="M217" s="15" t="s">
        <v>64</v>
      </c>
      <c r="N217" s="45"/>
      <c r="O217" s="42"/>
    </row>
    <row r="218" spans="1:15" x14ac:dyDescent="0.25">
      <c r="L218" s="3"/>
      <c r="M218" s="3"/>
      <c r="N218" s="45"/>
      <c r="O218" s="45"/>
    </row>
    <row r="219" spans="1:15" x14ac:dyDescent="0.25">
      <c r="L219" s="3"/>
      <c r="M219" s="3"/>
      <c r="N219" s="45"/>
      <c r="O219" s="45"/>
    </row>
    <row r="220" spans="1:15" x14ac:dyDescent="0.25">
      <c r="L220" s="3"/>
      <c r="M220" s="3"/>
      <c r="N220" s="45"/>
      <c r="O220" s="45"/>
    </row>
    <row r="221" spans="1:15" x14ac:dyDescent="0.25">
      <c r="A221" s="26" t="s">
        <v>196</v>
      </c>
      <c r="B221" s="26" t="s">
        <v>196</v>
      </c>
      <c r="C221" s="26" t="s">
        <v>196</v>
      </c>
      <c r="D221" s="26" t="s">
        <v>196</v>
      </c>
      <c r="E221" s="26" t="s">
        <v>196</v>
      </c>
      <c r="F221" s="26" t="s">
        <v>196</v>
      </c>
      <c r="G221" s="26" t="s">
        <v>196</v>
      </c>
      <c r="H221" s="26" t="s">
        <v>196</v>
      </c>
      <c r="I221" s="26" t="s">
        <v>196</v>
      </c>
      <c r="J221" s="26" t="s">
        <v>196</v>
      </c>
      <c r="K221" s="26" t="s">
        <v>196</v>
      </c>
      <c r="L221" s="26" t="s">
        <v>196</v>
      </c>
      <c r="M221" s="26" t="s">
        <v>196</v>
      </c>
      <c r="N221" s="47"/>
      <c r="O221" s="42"/>
    </row>
    <row r="222" spans="1:15" x14ac:dyDescent="0.25">
      <c r="A222" s="39">
        <f>COUNT(D224:D226)</f>
        <v>3</v>
      </c>
      <c r="B222" s="22" t="s">
        <v>46</v>
      </c>
      <c r="C222" s="22" t="s">
        <v>46</v>
      </c>
      <c r="D222" s="23">
        <f>SUM(D224:D226)</f>
        <v>232.01</v>
      </c>
      <c r="E222" s="14">
        <f>100*(H222/1000)/D222</f>
        <v>0.98565665273048575</v>
      </c>
      <c r="F222" s="30">
        <f>100*(I222/1000)/D222</f>
        <v>8.2021464592043458E-2</v>
      </c>
      <c r="H222" s="23">
        <f>SUM(H224:H226)</f>
        <v>2286.8220000000001</v>
      </c>
      <c r="I222" s="23">
        <f>SUM(I224:I226)</f>
        <v>190.29800000000003</v>
      </c>
      <c r="N222" s="46"/>
      <c r="O222" s="42"/>
    </row>
    <row r="223" spans="1:15" x14ac:dyDescent="0.25">
      <c r="A223" s="1" t="s">
        <v>150</v>
      </c>
      <c r="B223" s="1" t="s">
        <v>134</v>
      </c>
      <c r="C223" s="1" t="s">
        <v>141</v>
      </c>
      <c r="D223" s="2" t="s">
        <v>0</v>
      </c>
      <c r="E223" s="2" t="s">
        <v>10</v>
      </c>
      <c r="F223" s="2" t="s">
        <v>9</v>
      </c>
      <c r="G223" s="2" t="s">
        <v>6</v>
      </c>
      <c r="H223" s="2" t="s">
        <v>11</v>
      </c>
      <c r="I223" s="2" t="s">
        <v>12</v>
      </c>
      <c r="J223" s="2" t="s">
        <v>641</v>
      </c>
      <c r="K223" s="2" t="s">
        <v>639</v>
      </c>
      <c r="L223" s="8" t="s">
        <v>5</v>
      </c>
      <c r="M223" s="15" t="s">
        <v>64</v>
      </c>
      <c r="N223" s="45"/>
      <c r="O223" s="42"/>
    </row>
    <row r="224" spans="1:15" x14ac:dyDescent="0.25">
      <c r="B224" s="3" t="s">
        <v>197</v>
      </c>
      <c r="C224" s="3" t="s">
        <v>143</v>
      </c>
      <c r="D224" s="3">
        <f>84.08+22.26+28.73</f>
        <v>135.07</v>
      </c>
      <c r="E224" s="5">
        <f>(1.05*84.08+0.84*22.26+1.08*28.73)/D224</f>
        <v>1.0217724143036946</v>
      </c>
      <c r="F224" s="11">
        <f>(0.091*84.08+0.066*22.26+0.044*28.73)/D224</f>
        <v>7.6882801510327989E-2</v>
      </c>
      <c r="H224" s="9">
        <f>1000*D224*E224/100</f>
        <v>1380.1080000000002</v>
      </c>
      <c r="I224" s="9">
        <f>1000*D224*F224/100</f>
        <v>103.84560000000002</v>
      </c>
      <c r="J224" s="3" t="s">
        <v>46</v>
      </c>
      <c r="K224" s="3" t="s">
        <v>883</v>
      </c>
      <c r="L224" s="4" t="s">
        <v>198</v>
      </c>
      <c r="N224" s="72" t="s">
        <v>1044</v>
      </c>
      <c r="O224" s="72" t="s">
        <v>1044</v>
      </c>
    </row>
    <row r="225" spans="1:15" x14ac:dyDescent="0.25">
      <c r="B225" s="3" t="s">
        <v>311</v>
      </c>
      <c r="C225" s="3" t="s">
        <v>143</v>
      </c>
      <c r="D225" s="3">
        <f>80.2+13.04</f>
        <v>93.240000000000009</v>
      </c>
      <c r="E225" s="5">
        <f>(0.91*80.2+0.86*13.04)/D225</f>
        <v>0.90300729300729288</v>
      </c>
      <c r="F225" s="11">
        <f>(0.093*80.2+0.091*13.04)/D225</f>
        <v>9.2720291720291725E-2</v>
      </c>
      <c r="H225" s="9">
        <f>1000*D225*E225/100</f>
        <v>841.96399999999994</v>
      </c>
      <c r="I225" s="9">
        <f>1000*D225*F225/100</f>
        <v>86.452400000000011</v>
      </c>
      <c r="J225" s="3" t="s">
        <v>46</v>
      </c>
      <c r="K225" s="3" t="s">
        <v>883</v>
      </c>
      <c r="L225" s="4" t="s">
        <v>198</v>
      </c>
      <c r="N225" s="72" t="s">
        <v>1044</v>
      </c>
      <c r="O225" s="72" t="s">
        <v>1044</v>
      </c>
    </row>
    <row r="226" spans="1:15" x14ac:dyDescent="0.25">
      <c r="B226" s="3" t="s">
        <v>423</v>
      </c>
      <c r="C226" s="3" t="s">
        <v>145</v>
      </c>
      <c r="D226" s="3">
        <v>3.7</v>
      </c>
      <c r="E226" s="3">
        <v>1.75</v>
      </c>
      <c r="H226" s="9">
        <f>1000*D226*E226/100</f>
        <v>64.75</v>
      </c>
      <c r="J226" s="3" t="s">
        <v>46</v>
      </c>
      <c r="K226" s="3" t="s">
        <v>917</v>
      </c>
      <c r="L226" s="4" t="s">
        <v>424</v>
      </c>
      <c r="N226" s="72" t="s">
        <v>1044</v>
      </c>
      <c r="O226" s="72" t="s">
        <v>1044</v>
      </c>
    </row>
    <row r="227" spans="1:15" x14ac:dyDescent="0.25">
      <c r="N227" s="46"/>
      <c r="O227" s="42"/>
    </row>
    <row r="228" spans="1:15" x14ac:dyDescent="0.25">
      <c r="A228" s="26" t="s">
        <v>202</v>
      </c>
      <c r="B228" s="26" t="s">
        <v>203</v>
      </c>
      <c r="C228" s="26" t="s">
        <v>202</v>
      </c>
      <c r="D228" s="26" t="s">
        <v>203</v>
      </c>
      <c r="E228" s="26" t="s">
        <v>202</v>
      </c>
      <c r="F228" s="26" t="s">
        <v>203</v>
      </c>
      <c r="G228" s="26" t="s">
        <v>202</v>
      </c>
      <c r="H228" s="26" t="s">
        <v>203</v>
      </c>
      <c r="I228" s="26" t="s">
        <v>202</v>
      </c>
      <c r="J228" s="26" t="s">
        <v>203</v>
      </c>
      <c r="K228" s="26" t="s">
        <v>202</v>
      </c>
      <c r="L228" s="26" t="s">
        <v>203</v>
      </c>
      <c r="M228" s="26" t="s">
        <v>203</v>
      </c>
      <c r="N228" s="47"/>
      <c r="O228" s="42"/>
    </row>
    <row r="229" spans="1:15" x14ac:dyDescent="0.25">
      <c r="A229" s="39">
        <f>COUNT(D231:D253)</f>
        <v>23</v>
      </c>
      <c r="B229" s="22" t="s">
        <v>46</v>
      </c>
      <c r="C229" s="22" t="s">
        <v>46</v>
      </c>
      <c r="D229" s="23">
        <f>SUM(D231:D253)</f>
        <v>808.14879999999982</v>
      </c>
      <c r="E229" s="14">
        <f>100*(H229/1000)/D229</f>
        <v>1.8580759780872047</v>
      </c>
      <c r="F229" s="30">
        <f>100*(I229/1000)/D229</f>
        <v>5.043656856995965E-2</v>
      </c>
      <c r="H229" s="23">
        <f>SUM(H231:H253)</f>
        <v>15016.018720000004</v>
      </c>
      <c r="I229" s="23">
        <f>SUM(I231:I253)</f>
        <v>407.60252365930597</v>
      </c>
      <c r="N229" s="46"/>
      <c r="O229" s="42"/>
    </row>
    <row r="230" spans="1:15" x14ac:dyDescent="0.25">
      <c r="A230" s="1" t="s">
        <v>150</v>
      </c>
      <c r="B230" s="1" t="s">
        <v>134</v>
      </c>
      <c r="C230" s="1" t="s">
        <v>141</v>
      </c>
      <c r="D230" s="2" t="s">
        <v>0</v>
      </c>
      <c r="E230" s="2" t="s">
        <v>10</v>
      </c>
      <c r="F230" s="2" t="s">
        <v>9</v>
      </c>
      <c r="G230" s="2" t="s">
        <v>6</v>
      </c>
      <c r="H230" s="2" t="s">
        <v>11</v>
      </c>
      <c r="I230" s="2" t="s">
        <v>12</v>
      </c>
      <c r="J230" s="2" t="s">
        <v>641</v>
      </c>
      <c r="K230" s="2" t="s">
        <v>639</v>
      </c>
      <c r="L230" s="8" t="s">
        <v>5</v>
      </c>
      <c r="M230" s="15" t="s">
        <v>64</v>
      </c>
      <c r="N230" s="45"/>
      <c r="O230" s="42"/>
    </row>
    <row r="231" spans="1:15" x14ac:dyDescent="0.25">
      <c r="B231" s="3" t="s">
        <v>218</v>
      </c>
      <c r="C231" s="3" t="s">
        <v>142</v>
      </c>
      <c r="D231" s="3">
        <v>365</v>
      </c>
      <c r="E231" s="3">
        <v>1.56</v>
      </c>
      <c r="F231" s="5">
        <f>(0.12*100.4+0.08*26.4)/(100.4+26.4)</f>
        <v>0.11167192429022081</v>
      </c>
      <c r="H231" s="9">
        <f t="shared" ref="H231:H253" si="42">1000*D231*E231/100</f>
        <v>5694</v>
      </c>
      <c r="I231" s="9">
        <f>1000*D231*F231/100</f>
        <v>407.60252365930597</v>
      </c>
      <c r="J231" s="3" t="s">
        <v>46</v>
      </c>
      <c r="K231" s="3" t="s">
        <v>1151</v>
      </c>
      <c r="L231" s="4" t="s">
        <v>180</v>
      </c>
      <c r="N231" s="72" t="s">
        <v>1044</v>
      </c>
      <c r="O231" s="72" t="s">
        <v>1044</v>
      </c>
    </row>
    <row r="232" spans="1:15" x14ac:dyDescent="0.25">
      <c r="B232" s="3" t="s">
        <v>403</v>
      </c>
      <c r="C232" s="3" t="s">
        <v>145</v>
      </c>
      <c r="D232" s="3">
        <v>150</v>
      </c>
      <c r="E232" s="6">
        <v>1.38</v>
      </c>
      <c r="F232" s="5"/>
      <c r="H232" s="9">
        <f t="shared" si="42"/>
        <v>2069.9999999999995</v>
      </c>
      <c r="I232" s="9"/>
      <c r="J232" s="3" t="s">
        <v>46</v>
      </c>
      <c r="K232" s="3" t="s">
        <v>1150</v>
      </c>
      <c r="L232" s="4" t="s">
        <v>1149</v>
      </c>
      <c r="N232" s="72" t="s">
        <v>1044</v>
      </c>
      <c r="O232" s="72" t="s">
        <v>1044</v>
      </c>
    </row>
    <row r="233" spans="1:15" x14ac:dyDescent="0.25">
      <c r="B233" s="3" t="s">
        <v>219</v>
      </c>
      <c r="C233" s="3" t="s">
        <v>143</v>
      </c>
      <c r="D233" s="3">
        <f>21.2+54.4+83</f>
        <v>158.6</v>
      </c>
      <c r="E233" s="5">
        <f>(2.54*21.2+2.45*54.4+2.5*83)/$D233</f>
        <v>2.4881967213114753</v>
      </c>
      <c r="H233" s="9">
        <f t="shared" si="42"/>
        <v>3946.28</v>
      </c>
      <c r="J233" s="3" t="s">
        <v>46</v>
      </c>
      <c r="K233" s="3" t="s">
        <v>649</v>
      </c>
      <c r="L233" s="4" t="s">
        <v>869</v>
      </c>
      <c r="N233" s="72" t="s">
        <v>1043</v>
      </c>
      <c r="O233" s="72" t="s">
        <v>1043</v>
      </c>
    </row>
    <row r="234" spans="1:15" x14ac:dyDescent="0.25">
      <c r="B234" s="3" t="s">
        <v>903</v>
      </c>
      <c r="C234" s="3" t="s">
        <v>142</v>
      </c>
      <c r="D234" s="63">
        <f>(0.527+1.408+2.803)*0.8</f>
        <v>3.7904</v>
      </c>
      <c r="E234" s="5">
        <f>(2.84*0.527+2.84*1.408+2.71*2.803)/(0.527+1.408+2.803)</f>
        <v>2.76309202195019</v>
      </c>
      <c r="H234" s="9">
        <f t="shared" si="42"/>
        <v>104.73224</v>
      </c>
      <c r="J234" s="3" t="s">
        <v>647</v>
      </c>
      <c r="K234" s="3" t="s">
        <v>649</v>
      </c>
      <c r="L234" s="4" t="s">
        <v>204</v>
      </c>
      <c r="N234" s="72" t="s">
        <v>1043</v>
      </c>
      <c r="O234" s="72" t="s">
        <v>1043</v>
      </c>
    </row>
    <row r="235" spans="1:15" x14ac:dyDescent="0.25">
      <c r="B235" s="3" t="s">
        <v>902</v>
      </c>
      <c r="C235" s="3" t="s">
        <v>142</v>
      </c>
      <c r="D235" s="63">
        <f>(0.858)*0.8</f>
        <v>0.68640000000000001</v>
      </c>
      <c r="E235" s="5">
        <f>(2.6*0.858)/(0.858)</f>
        <v>2.6</v>
      </c>
      <c r="H235" s="9">
        <f t="shared" si="42"/>
        <v>17.846400000000003</v>
      </c>
      <c r="J235" s="3" t="s">
        <v>647</v>
      </c>
      <c r="K235" s="3" t="s">
        <v>649</v>
      </c>
      <c r="L235" s="4" t="s">
        <v>204</v>
      </c>
      <c r="N235" s="72" t="s">
        <v>1043</v>
      </c>
      <c r="O235" s="72" t="s">
        <v>1043</v>
      </c>
    </row>
    <row r="236" spans="1:15" x14ac:dyDescent="0.25">
      <c r="B236" s="48" t="s">
        <v>901</v>
      </c>
      <c r="C236" s="3" t="s">
        <v>142</v>
      </c>
      <c r="D236" s="63">
        <f>(1.265+2.426+0.523)*0.8</f>
        <v>3.3712</v>
      </c>
      <c r="E236" s="5">
        <f>(2.67*1.265+2.7*2.426+2.7*0.523)/(1.265+2.426+0.523)</f>
        <v>2.6909943046986244</v>
      </c>
      <c r="H236" s="9">
        <f t="shared" si="42"/>
        <v>90.71880000000003</v>
      </c>
      <c r="J236" s="3" t="s">
        <v>647</v>
      </c>
      <c r="K236" s="3" t="s">
        <v>649</v>
      </c>
      <c r="L236" s="4" t="s">
        <v>204</v>
      </c>
      <c r="N236" s="72" t="s">
        <v>1043</v>
      </c>
      <c r="O236" s="72" t="s">
        <v>1043</v>
      </c>
    </row>
    <row r="237" spans="1:15" x14ac:dyDescent="0.25">
      <c r="B237" s="48" t="s">
        <v>900</v>
      </c>
      <c r="C237" s="3" t="s">
        <v>142</v>
      </c>
      <c r="D237" s="63">
        <f>(6.923+10.112+19.022)*0.8</f>
        <v>28.845600000000005</v>
      </c>
      <c r="E237" s="5">
        <f>(2.27*6.923+2.27*10.112+2.11*19.022)/(6.923+10.112+19.022)</f>
        <v>2.1855914246886874</v>
      </c>
      <c r="H237" s="9">
        <f t="shared" si="42"/>
        <v>630.4469600000001</v>
      </c>
      <c r="J237" s="3" t="s">
        <v>647</v>
      </c>
      <c r="K237" s="3" t="s">
        <v>649</v>
      </c>
      <c r="L237" s="4" t="s">
        <v>204</v>
      </c>
      <c r="N237" s="72" t="s">
        <v>1043</v>
      </c>
      <c r="O237" s="72" t="s">
        <v>1043</v>
      </c>
    </row>
    <row r="238" spans="1:15" x14ac:dyDescent="0.25">
      <c r="B238" s="48" t="s">
        <v>899</v>
      </c>
      <c r="C238" s="3" t="s">
        <v>142</v>
      </c>
      <c r="D238" s="63">
        <f>(1.932)*0.8</f>
        <v>1.5456000000000001</v>
      </c>
      <c r="E238" s="5">
        <f>(2.68*1.932)/(1.932)</f>
        <v>2.68</v>
      </c>
      <c r="H238" s="9">
        <f t="shared" si="42"/>
        <v>41.422080000000008</v>
      </c>
      <c r="J238" s="3" t="s">
        <v>647</v>
      </c>
      <c r="K238" s="3" t="s">
        <v>649</v>
      </c>
      <c r="L238" s="4" t="s">
        <v>204</v>
      </c>
      <c r="N238" s="72" t="s">
        <v>1043</v>
      </c>
      <c r="O238" s="72" t="s">
        <v>1043</v>
      </c>
    </row>
    <row r="239" spans="1:15" x14ac:dyDescent="0.25">
      <c r="B239" s="48" t="s">
        <v>898</v>
      </c>
      <c r="C239" s="3" t="s">
        <v>142</v>
      </c>
      <c r="D239" s="63">
        <f>(2.541+8.377+6.47)*0.8</f>
        <v>13.910400000000003</v>
      </c>
      <c r="E239" s="5">
        <f>(2.47*2.541+2.55*8.377+2.55*6.47)/(2.541+8.377+6.47)</f>
        <v>2.5383091787439613</v>
      </c>
      <c r="F239" s="34">
        <v>0.08</v>
      </c>
      <c r="H239" s="9">
        <f t="shared" si="42"/>
        <v>353.0889600000001</v>
      </c>
      <c r="J239" s="3" t="s">
        <v>647</v>
      </c>
      <c r="K239" s="3" t="s">
        <v>649</v>
      </c>
      <c r="L239" s="4" t="s">
        <v>204</v>
      </c>
      <c r="M239" s="35" t="s">
        <v>380</v>
      </c>
      <c r="N239" s="72" t="s">
        <v>1043</v>
      </c>
      <c r="O239" s="72" t="s">
        <v>1043</v>
      </c>
    </row>
    <row r="240" spans="1:15" x14ac:dyDescent="0.25">
      <c r="B240" s="48" t="s">
        <v>897</v>
      </c>
      <c r="C240" s="3" t="s">
        <v>142</v>
      </c>
      <c r="D240" s="63">
        <f>(1.944)*0.8</f>
        <v>1.5552000000000001</v>
      </c>
      <c r="E240" s="5">
        <f>(2.59*1.944)/(1.944)</f>
        <v>2.59</v>
      </c>
      <c r="H240" s="9">
        <f t="shared" ref="H240" si="43">1000*D240*E240/100</f>
        <v>40.279679999999999</v>
      </c>
      <c r="J240" s="3" t="s">
        <v>647</v>
      </c>
      <c r="K240" s="3" t="s">
        <v>649</v>
      </c>
      <c r="L240" s="4" t="s">
        <v>204</v>
      </c>
      <c r="N240" s="72" t="s">
        <v>1043</v>
      </c>
      <c r="O240" s="72" t="s">
        <v>1043</v>
      </c>
    </row>
    <row r="241" spans="1:15" x14ac:dyDescent="0.25">
      <c r="B241" s="48" t="s">
        <v>896</v>
      </c>
      <c r="C241" s="3" t="s">
        <v>142</v>
      </c>
      <c r="D241" s="63">
        <f>(8.529)*0.8</f>
        <v>6.8231999999999999</v>
      </c>
      <c r="E241" s="5">
        <f>(2.57*8.529)/(8.529)</f>
        <v>2.57</v>
      </c>
      <c r="H241" s="9">
        <f t="shared" ref="H241" si="44">1000*D241*E241/100</f>
        <v>175.35623999999999</v>
      </c>
      <c r="J241" s="3" t="s">
        <v>647</v>
      </c>
      <c r="K241" s="3" t="s">
        <v>649</v>
      </c>
      <c r="L241" s="4" t="s">
        <v>204</v>
      </c>
      <c r="N241" s="72" t="s">
        <v>1043</v>
      </c>
      <c r="O241" s="72" t="s">
        <v>1043</v>
      </c>
    </row>
    <row r="242" spans="1:15" x14ac:dyDescent="0.25">
      <c r="B242" s="48" t="s">
        <v>895</v>
      </c>
      <c r="C242" s="3" t="s">
        <v>142</v>
      </c>
      <c r="D242" s="63">
        <f>(2.114+0.664+1.579)*0.8</f>
        <v>3.4856000000000003</v>
      </c>
      <c r="E242" s="5">
        <f>(2.81*2.114+2.74*0.664+2.59*1.579)/(2.114+0.664+1.579)</f>
        <v>2.719602937801239</v>
      </c>
      <c r="H242" s="9">
        <f t="shared" si="42"/>
        <v>94.794480000000007</v>
      </c>
      <c r="J242" s="3" t="s">
        <v>647</v>
      </c>
      <c r="K242" s="3" t="s">
        <v>649</v>
      </c>
      <c r="L242" s="4" t="s">
        <v>204</v>
      </c>
      <c r="N242" s="72" t="s">
        <v>1043</v>
      </c>
      <c r="O242" s="72" t="s">
        <v>1043</v>
      </c>
    </row>
    <row r="243" spans="1:15" x14ac:dyDescent="0.25">
      <c r="B243" s="48" t="s">
        <v>894</v>
      </c>
      <c r="C243" s="3" t="s">
        <v>142</v>
      </c>
      <c r="D243" s="63">
        <f>(0.223+11.206+2.255)*0.8</f>
        <v>10.947200000000002</v>
      </c>
      <c r="E243" s="5">
        <f>(2.57*0.223+2.64*11.206+2.63*2.255)/(0.223+11.206+2.255)</f>
        <v>2.6372113417129488</v>
      </c>
      <c r="H243" s="9">
        <f t="shared" si="42"/>
        <v>288.70079999999996</v>
      </c>
      <c r="J243" s="3" t="s">
        <v>647</v>
      </c>
      <c r="K243" s="3" t="s">
        <v>649</v>
      </c>
      <c r="L243" s="4" t="s">
        <v>204</v>
      </c>
      <c r="N243" s="72" t="s">
        <v>1043</v>
      </c>
      <c r="O243" s="72" t="s">
        <v>1043</v>
      </c>
    </row>
    <row r="244" spans="1:15" x14ac:dyDescent="0.25">
      <c r="B244" s="48" t="s">
        <v>893</v>
      </c>
      <c r="C244" s="3" t="s">
        <v>142</v>
      </c>
      <c r="D244" s="63">
        <f>(0.044+0.137+0.463)*0.8</f>
        <v>0.51519999999999999</v>
      </c>
      <c r="E244" s="5">
        <f>(2.61*0.044+2.61*0.137+3.12*0.463)/(0.044+0.137+0.463)</f>
        <v>2.97666149068323</v>
      </c>
      <c r="H244" s="9">
        <f t="shared" ref="H244" si="45">1000*D244*E244/100</f>
        <v>15.335760000000002</v>
      </c>
      <c r="J244" s="3" t="s">
        <v>647</v>
      </c>
      <c r="K244" s="3" t="s">
        <v>649</v>
      </c>
      <c r="L244" s="4" t="s">
        <v>204</v>
      </c>
      <c r="N244" s="72" t="s">
        <v>1043</v>
      </c>
      <c r="O244" s="72" t="s">
        <v>1043</v>
      </c>
    </row>
    <row r="245" spans="1:15" x14ac:dyDescent="0.25">
      <c r="B245" s="48" t="s">
        <v>892</v>
      </c>
      <c r="C245" s="3" t="s">
        <v>142</v>
      </c>
      <c r="D245" s="63">
        <f>(1.75)*0.8</f>
        <v>1.4000000000000001</v>
      </c>
      <c r="E245" s="5">
        <f>(3.34*1.75)/(1.75)</f>
        <v>3.34</v>
      </c>
      <c r="H245" s="9">
        <f t="shared" ref="H245" si="46">1000*D245*E245/100</f>
        <v>46.760000000000012</v>
      </c>
      <c r="J245" s="3" t="s">
        <v>647</v>
      </c>
      <c r="K245" s="3" t="s">
        <v>649</v>
      </c>
      <c r="L245" s="4" t="s">
        <v>204</v>
      </c>
      <c r="N245" s="72" t="s">
        <v>1043</v>
      </c>
      <c r="O245" s="72" t="s">
        <v>1043</v>
      </c>
    </row>
    <row r="246" spans="1:15" x14ac:dyDescent="0.25">
      <c r="B246" s="48" t="s">
        <v>891</v>
      </c>
      <c r="C246" s="3" t="s">
        <v>142</v>
      </c>
      <c r="D246" s="63">
        <f>(0.131)*0.8</f>
        <v>0.1048</v>
      </c>
      <c r="E246" s="5">
        <f>(3.74*0.131)/(0.131)</f>
        <v>3.74</v>
      </c>
      <c r="H246" s="9">
        <f t="shared" ref="H246:H247" si="47">1000*D246*E246/100</f>
        <v>3.9195200000000003</v>
      </c>
      <c r="J246" s="3" t="s">
        <v>647</v>
      </c>
      <c r="K246" s="3" t="s">
        <v>649</v>
      </c>
      <c r="L246" s="4" t="s">
        <v>204</v>
      </c>
      <c r="N246" s="72" t="s">
        <v>1043</v>
      </c>
      <c r="O246" s="72" t="s">
        <v>1043</v>
      </c>
    </row>
    <row r="247" spans="1:15" x14ac:dyDescent="0.25">
      <c r="B247" s="48" t="s">
        <v>890</v>
      </c>
      <c r="C247" s="3" t="s">
        <v>142</v>
      </c>
      <c r="D247" s="63">
        <f>(0.411+1.109+4.112)*0.8</f>
        <v>4.5056000000000003</v>
      </c>
      <c r="E247" s="5">
        <f>(2.88*0.411+2.91*1.109+2.77*4.112)/(0.411+1.109+4.112)</f>
        <v>2.8055948153409096</v>
      </c>
      <c r="F247" s="34">
        <v>0.1</v>
      </c>
      <c r="H247" s="9">
        <f t="shared" si="47"/>
        <v>126.40888000000002</v>
      </c>
      <c r="J247" s="3" t="s">
        <v>647</v>
      </c>
      <c r="K247" s="3" t="s">
        <v>649</v>
      </c>
      <c r="L247" s="4" t="s">
        <v>204</v>
      </c>
      <c r="M247" s="35" t="s">
        <v>380</v>
      </c>
      <c r="N247" s="72" t="s">
        <v>1043</v>
      </c>
      <c r="O247" s="72" t="s">
        <v>1043</v>
      </c>
    </row>
    <row r="248" spans="1:15" x14ac:dyDescent="0.25">
      <c r="B248" s="48" t="s">
        <v>889</v>
      </c>
      <c r="C248" s="3" t="s">
        <v>142</v>
      </c>
      <c r="D248" s="63">
        <f>(3.644+7.31+3.583)*0.8</f>
        <v>11.629600000000002</v>
      </c>
      <c r="E248" s="5">
        <f>(2.61*3.644+2.64*7.31+2.67*3.583)/(3.644+7.31+3.583)</f>
        <v>2.6398741143289537</v>
      </c>
      <c r="F248" s="34">
        <v>0.12</v>
      </c>
      <c r="H248" s="9">
        <f t="shared" ref="H248" si="48">1000*D248*E248/100</f>
        <v>307.00680000000006</v>
      </c>
      <c r="J248" s="3" t="s">
        <v>647</v>
      </c>
      <c r="K248" s="3" t="s">
        <v>649</v>
      </c>
      <c r="L248" s="4" t="s">
        <v>204</v>
      </c>
      <c r="M248" s="35" t="s">
        <v>380</v>
      </c>
      <c r="N248" s="72" t="s">
        <v>1043</v>
      </c>
      <c r="O248" s="72" t="s">
        <v>1043</v>
      </c>
    </row>
    <row r="249" spans="1:15" x14ac:dyDescent="0.25">
      <c r="B249" s="48" t="s">
        <v>888</v>
      </c>
      <c r="C249" s="3" t="s">
        <v>142</v>
      </c>
      <c r="D249" s="63">
        <f>(0.02)*0.8</f>
        <v>1.6E-2</v>
      </c>
      <c r="E249" s="5">
        <f>(3.33*0.02)/(0.02)</f>
        <v>3.33</v>
      </c>
      <c r="F249" s="34">
        <v>0.1</v>
      </c>
      <c r="H249" s="9">
        <f t="shared" ref="H249" si="49">1000*D249*E249/100</f>
        <v>0.53280000000000005</v>
      </c>
      <c r="J249" s="3" t="s">
        <v>647</v>
      </c>
      <c r="K249" s="3" t="s">
        <v>649</v>
      </c>
      <c r="L249" s="4" t="s">
        <v>204</v>
      </c>
      <c r="M249" s="35" t="s">
        <v>380</v>
      </c>
      <c r="N249" s="72" t="s">
        <v>1043</v>
      </c>
      <c r="O249" s="72" t="s">
        <v>1043</v>
      </c>
    </row>
    <row r="250" spans="1:15" x14ac:dyDescent="0.25">
      <c r="B250" s="48" t="s">
        <v>887</v>
      </c>
      <c r="C250" s="3" t="s">
        <v>142</v>
      </c>
      <c r="D250" s="63">
        <f>(1.753)*0.8</f>
        <v>1.4024000000000001</v>
      </c>
      <c r="E250" s="5">
        <f>(2.57*1.753)/(1.753)</f>
        <v>2.5699999999999994</v>
      </c>
      <c r="H250" s="9">
        <f t="shared" ref="H250" si="50">1000*D250*E250/100</f>
        <v>36.041679999999992</v>
      </c>
      <c r="J250" s="3" t="s">
        <v>647</v>
      </c>
      <c r="K250" s="3" t="s">
        <v>649</v>
      </c>
      <c r="L250" s="4" t="s">
        <v>204</v>
      </c>
      <c r="N250" s="72" t="s">
        <v>1043</v>
      </c>
      <c r="O250" s="72" t="s">
        <v>1043</v>
      </c>
    </row>
    <row r="251" spans="1:15" x14ac:dyDescent="0.25">
      <c r="B251" s="48" t="s">
        <v>886</v>
      </c>
      <c r="C251" s="3" t="s">
        <v>142</v>
      </c>
      <c r="D251" s="63">
        <f>(8.122+28.588+7.865)*0.8</f>
        <v>35.660000000000004</v>
      </c>
      <c r="E251" s="5">
        <f>(2.45*8.122+2.27*28.588+2.27*7.865)/(8.122+28.588+7.865)</f>
        <v>2.3027977565900168</v>
      </c>
      <c r="F251" s="34">
        <v>0.09</v>
      </c>
      <c r="H251" s="9">
        <f t="shared" si="42"/>
        <v>821.17768000000012</v>
      </c>
      <c r="J251" s="3" t="s">
        <v>647</v>
      </c>
      <c r="K251" s="3" t="s">
        <v>649</v>
      </c>
      <c r="L251" s="4" t="s">
        <v>204</v>
      </c>
      <c r="M251" s="35" t="s">
        <v>380</v>
      </c>
      <c r="N251" s="72" t="s">
        <v>1043</v>
      </c>
      <c r="O251" s="72" t="s">
        <v>1043</v>
      </c>
    </row>
    <row r="252" spans="1:15" x14ac:dyDescent="0.25">
      <c r="B252" s="48" t="s">
        <v>885</v>
      </c>
      <c r="C252" s="3" t="s">
        <v>142</v>
      </c>
      <c r="D252" s="63">
        <f>(1.613+0.479)*0.8</f>
        <v>1.6736000000000002</v>
      </c>
      <c r="E252" s="5">
        <f>(2.56*1.613+2.52*0.479)/(1.613+0.479)</f>
        <v>2.550841300191204</v>
      </c>
      <c r="H252" s="9">
        <f t="shared" ref="H252" si="51">1000*D252*E252/100</f>
        <v>42.69088</v>
      </c>
      <c r="J252" s="3" t="s">
        <v>647</v>
      </c>
      <c r="K252" s="3" t="s">
        <v>649</v>
      </c>
      <c r="L252" s="4" t="s">
        <v>204</v>
      </c>
      <c r="N252" s="72" t="s">
        <v>1043</v>
      </c>
      <c r="O252" s="72" t="s">
        <v>1043</v>
      </c>
    </row>
    <row r="253" spans="1:15" x14ac:dyDescent="0.25">
      <c r="B253" s="48" t="s">
        <v>884</v>
      </c>
      <c r="C253" s="3" t="s">
        <v>142</v>
      </c>
      <c r="D253" s="63">
        <f>(0.721+0.875+1.755)*0.8</f>
        <v>2.6808000000000001</v>
      </c>
      <c r="E253" s="5">
        <f>(2.51*0.721+2.68*0.875+2.51*1.755)/(0.721+0.875+1.755)</f>
        <v>2.5543897344076392</v>
      </c>
      <c r="H253" s="9">
        <f t="shared" si="42"/>
        <v>68.478080000000006</v>
      </c>
      <c r="J253" s="3" t="s">
        <v>647</v>
      </c>
      <c r="K253" s="3" t="s">
        <v>649</v>
      </c>
      <c r="L253" s="4" t="s">
        <v>204</v>
      </c>
      <c r="N253" s="72" t="s">
        <v>1043</v>
      </c>
      <c r="O253" s="72" t="s">
        <v>1043</v>
      </c>
    </row>
    <row r="254" spans="1:15" x14ac:dyDescent="0.25">
      <c r="B254" s="4" t="s">
        <v>967</v>
      </c>
      <c r="N254" s="46"/>
      <c r="O254" s="42"/>
    </row>
    <row r="255" spans="1:15" x14ac:dyDescent="0.25">
      <c r="N255" s="46"/>
      <c r="O255" s="42"/>
    </row>
    <row r="256" spans="1:15" x14ac:dyDescent="0.25">
      <c r="A256" s="26" t="s">
        <v>155</v>
      </c>
      <c r="B256" s="26" t="s">
        <v>155</v>
      </c>
      <c r="C256" s="26" t="s">
        <v>155</v>
      </c>
      <c r="D256" s="26" t="s">
        <v>155</v>
      </c>
      <c r="E256" s="26" t="s">
        <v>155</v>
      </c>
      <c r="F256" s="26" t="s">
        <v>155</v>
      </c>
      <c r="G256" s="26" t="s">
        <v>155</v>
      </c>
      <c r="H256" s="26" t="s">
        <v>155</v>
      </c>
      <c r="I256" s="26" t="s">
        <v>155</v>
      </c>
      <c r="J256" s="26" t="s">
        <v>155</v>
      </c>
      <c r="K256" s="26" t="s">
        <v>155</v>
      </c>
      <c r="L256" s="26" t="s">
        <v>155</v>
      </c>
      <c r="M256" s="26" t="s">
        <v>155</v>
      </c>
      <c r="N256" s="47"/>
      <c r="O256" s="42"/>
    </row>
    <row r="257" spans="1:15" x14ac:dyDescent="0.25">
      <c r="A257" s="39">
        <f>COUNT(D259:D277)</f>
        <v>18</v>
      </c>
      <c r="B257" s="22" t="s">
        <v>46</v>
      </c>
      <c r="C257" s="22" t="s">
        <v>46</v>
      </c>
      <c r="D257" s="23">
        <f>SUM(D259:D277)</f>
        <v>1077.2156140000002</v>
      </c>
      <c r="E257" s="14">
        <f>100*(H257/1000)/D257</f>
        <v>1.3761566987488911</v>
      </c>
      <c r="F257" s="30">
        <f>100*(I257/1000)/D257</f>
        <v>4.8625826918249626E-2</v>
      </c>
      <c r="H257" s="23">
        <f>SUM(H259:H277)</f>
        <v>14824.174832029999</v>
      </c>
      <c r="I257" s="23">
        <f>SUM(I259:I277)</f>
        <v>523.80500000000006</v>
      </c>
      <c r="N257" s="46"/>
      <c r="O257" s="42"/>
    </row>
    <row r="258" spans="1:15" x14ac:dyDescent="0.25">
      <c r="A258" s="1" t="s">
        <v>150</v>
      </c>
      <c r="B258" s="1" t="s">
        <v>134</v>
      </c>
      <c r="C258" s="1" t="s">
        <v>141</v>
      </c>
      <c r="D258" s="2" t="s">
        <v>0</v>
      </c>
      <c r="E258" s="2" t="s">
        <v>10</v>
      </c>
      <c r="F258" s="2" t="s">
        <v>9</v>
      </c>
      <c r="G258" s="2" t="s">
        <v>6</v>
      </c>
      <c r="H258" s="2" t="s">
        <v>11</v>
      </c>
      <c r="I258" s="2" t="s">
        <v>12</v>
      </c>
      <c r="J258" s="2" t="s">
        <v>641</v>
      </c>
      <c r="K258" s="2" t="s">
        <v>639</v>
      </c>
      <c r="L258" s="8" t="s">
        <v>5</v>
      </c>
      <c r="M258" s="15" t="s">
        <v>64</v>
      </c>
      <c r="N258" s="45"/>
      <c r="O258" s="42"/>
    </row>
    <row r="259" spans="1:15" x14ac:dyDescent="0.25">
      <c r="B259" s="3" t="s">
        <v>205</v>
      </c>
      <c r="C259" s="3" t="s">
        <v>142</v>
      </c>
      <c r="D259" s="3">
        <f>21.2+31+7.8+5.3+45.4+16.2</f>
        <v>126.89999999999999</v>
      </c>
      <c r="E259" s="5">
        <f>(1.66*21.2+1.55*31+1.42*7.8+1.12*5.3+1.51*45.4+1.2*16.2)/D259</f>
        <v>1.4834357762017336</v>
      </c>
      <c r="H259" s="9">
        <f t="shared" ref="H259:H277" si="52">1000*D259*E259/100</f>
        <v>1882.4799999999998</v>
      </c>
      <c r="J259" s="3" t="s">
        <v>46</v>
      </c>
      <c r="K259" s="3" t="s">
        <v>649</v>
      </c>
      <c r="L259" s="4" t="s">
        <v>206</v>
      </c>
      <c r="N259" s="72" t="s">
        <v>1049</v>
      </c>
      <c r="O259" s="72" t="s">
        <v>1049</v>
      </c>
    </row>
    <row r="260" spans="1:15" x14ac:dyDescent="0.25">
      <c r="B260" s="3" t="s">
        <v>532</v>
      </c>
      <c r="C260" s="3" t="s">
        <v>145</v>
      </c>
      <c r="H260" s="9">
        <f t="shared" si="52"/>
        <v>0</v>
      </c>
      <c r="J260" s="3" t="s">
        <v>46</v>
      </c>
      <c r="L260" s="4" t="s">
        <v>390</v>
      </c>
      <c r="N260" s="72" t="s">
        <v>1043</v>
      </c>
      <c r="O260" s="72" t="s">
        <v>1043</v>
      </c>
    </row>
    <row r="261" spans="1:15" x14ac:dyDescent="0.25">
      <c r="B261" s="3" t="s">
        <v>217</v>
      </c>
      <c r="C261" s="3" t="s">
        <v>142</v>
      </c>
      <c r="D261" s="3">
        <f>47.1+35.8</f>
        <v>82.9</v>
      </c>
      <c r="E261" s="5">
        <f>(1.74*47.1+1.25*35.8)/D261</f>
        <v>1.5283956574185766</v>
      </c>
      <c r="H261" s="9">
        <f t="shared" si="52"/>
        <v>1267.04</v>
      </c>
      <c r="J261" s="3" t="s">
        <v>46</v>
      </c>
      <c r="K261" s="3" t="s">
        <v>649</v>
      </c>
      <c r="L261" s="4" t="s">
        <v>180</v>
      </c>
      <c r="N261" s="72" t="s">
        <v>1043</v>
      </c>
      <c r="O261" s="72" t="s">
        <v>1043</v>
      </c>
    </row>
    <row r="262" spans="1:15" x14ac:dyDescent="0.25">
      <c r="B262" s="3" t="s">
        <v>237</v>
      </c>
      <c r="C262" s="3" t="s">
        <v>142</v>
      </c>
      <c r="D262" s="3">
        <f>3.7+0.9+2.9+3</f>
        <v>10.5</v>
      </c>
      <c r="E262" s="5">
        <f>(1.35*3.7+1.33*0.9+1.26*2.9+1.24*3)/D262</f>
        <v>1.2919999999999998</v>
      </c>
      <c r="F262" s="34">
        <v>0.06</v>
      </c>
      <c r="H262" s="9">
        <f t="shared" si="52"/>
        <v>135.65999999999997</v>
      </c>
      <c r="I262" s="36">
        <f>1000*D262*F262/100</f>
        <v>6.3</v>
      </c>
      <c r="J262" s="3" t="s">
        <v>46</v>
      </c>
      <c r="K262" s="3" t="s">
        <v>649</v>
      </c>
      <c r="L262" s="4" t="s">
        <v>206</v>
      </c>
      <c r="M262" s="35" t="s">
        <v>380</v>
      </c>
      <c r="N262" s="72" t="s">
        <v>1050</v>
      </c>
      <c r="O262" s="72" t="s">
        <v>1050</v>
      </c>
    </row>
    <row r="263" spans="1:15" x14ac:dyDescent="0.25">
      <c r="B263" s="3" t="s">
        <v>238</v>
      </c>
      <c r="C263" s="3" t="s">
        <v>145</v>
      </c>
      <c r="D263" s="3">
        <f>6.3+53.3+125+39.6+81.9</f>
        <v>306.10000000000002</v>
      </c>
      <c r="E263" s="5">
        <f>(1.15*6.3+1.21*53.3+1.17*125+1.49*39.6+1.39*81.9)/D263</f>
        <v>1.276814766416204</v>
      </c>
      <c r="F263" s="34">
        <v>0.13</v>
      </c>
      <c r="H263" s="9">
        <f t="shared" si="52"/>
        <v>3908.33</v>
      </c>
      <c r="I263" s="36">
        <f>1000*D263*F263/100</f>
        <v>397.93</v>
      </c>
      <c r="J263" s="3" t="s">
        <v>646</v>
      </c>
      <c r="K263" s="3" t="s">
        <v>649</v>
      </c>
      <c r="L263" s="4" t="s">
        <v>206</v>
      </c>
      <c r="M263" s="35" t="s">
        <v>380</v>
      </c>
      <c r="N263" s="72" t="s">
        <v>1031</v>
      </c>
      <c r="O263" s="72" t="s">
        <v>1031</v>
      </c>
    </row>
    <row r="264" spans="1:15" x14ac:dyDescent="0.25">
      <c r="B264" s="3" t="s">
        <v>225</v>
      </c>
      <c r="C264" s="3" t="s">
        <v>143</v>
      </c>
      <c r="D264" s="3">
        <f>119.3+4.3</f>
        <v>123.6</v>
      </c>
      <c r="E264" s="5">
        <f>(1.25*119.3+1.29*4.3)/D264</f>
        <v>1.2513915857605178</v>
      </c>
      <c r="F264" s="5">
        <f>(0.06*119.3+0.07*4.3)/D264</f>
        <v>6.0347896440129452E-2</v>
      </c>
      <c r="H264" s="9">
        <f t="shared" si="52"/>
        <v>1546.72</v>
      </c>
      <c r="I264" s="9">
        <f>1000*D264*F264/100</f>
        <v>74.59</v>
      </c>
      <c r="J264" s="3" t="s">
        <v>46</v>
      </c>
      <c r="K264" s="3" t="s">
        <v>904</v>
      </c>
      <c r="L264" s="4" t="s">
        <v>180</v>
      </c>
      <c r="N264" s="72" t="s">
        <v>603</v>
      </c>
      <c r="O264" s="42" t="s">
        <v>603</v>
      </c>
    </row>
    <row r="265" spans="1:15" x14ac:dyDescent="0.25">
      <c r="B265" s="3" t="s">
        <v>234</v>
      </c>
      <c r="C265" s="3" t="s">
        <v>145</v>
      </c>
      <c r="D265" s="3">
        <f>16.1+89+18</f>
        <v>123.1</v>
      </c>
      <c r="E265" s="5">
        <f>(1.44*16.1+1.31*89+1.3*18)/D265</f>
        <v>1.3255402112103982</v>
      </c>
      <c r="H265" s="9">
        <f t="shared" si="52"/>
        <v>1631.7400000000002</v>
      </c>
      <c r="J265" s="3" t="s">
        <v>46</v>
      </c>
      <c r="K265" s="3" t="s">
        <v>649</v>
      </c>
      <c r="L265" s="4" t="s">
        <v>39</v>
      </c>
      <c r="M265" s="4" t="s">
        <v>668</v>
      </c>
      <c r="N265" s="72" t="s">
        <v>1043</v>
      </c>
      <c r="O265" s="72" t="s">
        <v>1043</v>
      </c>
    </row>
    <row r="266" spans="1:15" x14ac:dyDescent="0.25">
      <c r="B266" s="3" t="s">
        <v>378</v>
      </c>
      <c r="C266" s="3" t="s">
        <v>145</v>
      </c>
      <c r="D266" s="34">
        <v>13</v>
      </c>
      <c r="E266" s="34">
        <v>1.4</v>
      </c>
      <c r="H266" s="36">
        <f t="shared" si="52"/>
        <v>182</v>
      </c>
      <c r="J266" s="3" t="s">
        <v>46</v>
      </c>
      <c r="K266" s="34" t="s">
        <v>908</v>
      </c>
      <c r="L266" s="4" t="s">
        <v>379</v>
      </c>
      <c r="M266" s="35" t="s">
        <v>380</v>
      </c>
      <c r="N266" s="72" t="s">
        <v>1051</v>
      </c>
      <c r="O266" s="72" t="s">
        <v>1051</v>
      </c>
    </row>
    <row r="267" spans="1:15" x14ac:dyDescent="0.25">
      <c r="B267" s="3" t="s">
        <v>381</v>
      </c>
      <c r="C267" s="3" t="s">
        <v>145</v>
      </c>
      <c r="D267" s="11">
        <f>11.956517+6.056097</f>
        <v>18.012613999999999</v>
      </c>
      <c r="E267" s="5">
        <f>(1.341*11.956517+1.298*6.056097)/D267</f>
        <v>1.3265427884592431</v>
      </c>
      <c r="H267" s="9">
        <f t="shared" si="52"/>
        <v>238.94503202999996</v>
      </c>
      <c r="J267" s="3" t="s">
        <v>46</v>
      </c>
      <c r="K267" s="3" t="s">
        <v>946</v>
      </c>
      <c r="L267" s="4" t="s">
        <v>382</v>
      </c>
      <c r="M267" s="37" t="s">
        <v>383</v>
      </c>
      <c r="N267" s="72" t="s">
        <v>1047</v>
      </c>
      <c r="O267" s="72" t="s">
        <v>1047</v>
      </c>
    </row>
    <row r="268" spans="1:15" x14ac:dyDescent="0.25">
      <c r="B268" s="3" t="s">
        <v>454</v>
      </c>
      <c r="C268" s="3" t="s">
        <v>145</v>
      </c>
      <c r="D268" s="34">
        <v>61</v>
      </c>
      <c r="E268" s="34">
        <v>1.5</v>
      </c>
      <c r="F268" s="34">
        <v>0.06</v>
      </c>
      <c r="H268" s="36">
        <f t="shared" si="52"/>
        <v>915</v>
      </c>
      <c r="I268" s="36">
        <f>1000*D268*F268/100</f>
        <v>36.6</v>
      </c>
      <c r="J268" s="3" t="s">
        <v>46</v>
      </c>
      <c r="K268" s="34" t="s">
        <v>908</v>
      </c>
      <c r="L268" s="4" t="s">
        <v>382</v>
      </c>
      <c r="M268" s="35" t="s">
        <v>380</v>
      </c>
      <c r="N268" s="72" t="s">
        <v>1047</v>
      </c>
      <c r="O268" s="72" t="s">
        <v>1047</v>
      </c>
    </row>
    <row r="269" spans="1:15" x14ac:dyDescent="0.25">
      <c r="B269" s="3" t="s">
        <v>384</v>
      </c>
      <c r="C269" s="3" t="s">
        <v>145</v>
      </c>
      <c r="D269" s="3">
        <v>4.5309999999999997</v>
      </c>
      <c r="E269" s="5">
        <v>1.4</v>
      </c>
      <c r="H269" s="9">
        <f t="shared" si="52"/>
        <v>63.433999999999997</v>
      </c>
      <c r="J269" s="3" t="s">
        <v>46</v>
      </c>
      <c r="K269" s="3" t="s">
        <v>947</v>
      </c>
      <c r="L269" s="4" t="s">
        <v>385</v>
      </c>
      <c r="M269" s="37" t="s">
        <v>383</v>
      </c>
      <c r="N269" s="72" t="s">
        <v>1052</v>
      </c>
      <c r="O269" s="72" t="s">
        <v>1052</v>
      </c>
    </row>
    <row r="270" spans="1:15" x14ac:dyDescent="0.25">
      <c r="B270" s="3" t="s">
        <v>386</v>
      </c>
      <c r="C270" s="3" t="s">
        <v>145</v>
      </c>
      <c r="D270" s="3">
        <v>49.966000000000001</v>
      </c>
      <c r="E270" s="3">
        <v>1.26</v>
      </c>
      <c r="H270" s="9">
        <f t="shared" si="52"/>
        <v>629.57159999999999</v>
      </c>
      <c r="J270" s="3" t="s">
        <v>46</v>
      </c>
      <c r="K270" s="3" t="s">
        <v>947</v>
      </c>
      <c r="L270" s="4" t="s">
        <v>533</v>
      </c>
      <c r="M270" s="37" t="s">
        <v>534</v>
      </c>
      <c r="N270" s="72" t="s">
        <v>1052</v>
      </c>
      <c r="O270" s="72" t="s">
        <v>1052</v>
      </c>
    </row>
    <row r="271" spans="1:15" x14ac:dyDescent="0.25">
      <c r="B271" s="3" t="s">
        <v>387</v>
      </c>
      <c r="C271" s="3" t="s">
        <v>145</v>
      </c>
      <c r="D271" s="3">
        <v>45.601999999999997</v>
      </c>
      <c r="E271" s="3">
        <v>1.55</v>
      </c>
      <c r="H271" s="9">
        <f t="shared" si="52"/>
        <v>706.83100000000002</v>
      </c>
      <c r="J271" s="3" t="s">
        <v>46</v>
      </c>
      <c r="K271" s="3" t="s">
        <v>947</v>
      </c>
      <c r="L271" s="4" t="s">
        <v>389</v>
      </c>
      <c r="M271" s="37" t="s">
        <v>383</v>
      </c>
      <c r="N271" s="72" t="s">
        <v>1052</v>
      </c>
      <c r="O271" s="72" t="s">
        <v>1052</v>
      </c>
    </row>
    <row r="272" spans="1:15" x14ac:dyDescent="0.25">
      <c r="B272" s="3" t="s">
        <v>388</v>
      </c>
      <c r="C272" s="3" t="s">
        <v>145</v>
      </c>
      <c r="D272" s="3">
        <v>11.103999999999999</v>
      </c>
      <c r="E272" s="3">
        <v>1.33</v>
      </c>
      <c r="H272" s="9">
        <f t="shared" si="52"/>
        <v>147.68320000000003</v>
      </c>
      <c r="J272" s="3" t="s">
        <v>46</v>
      </c>
      <c r="K272" s="3" t="s">
        <v>947</v>
      </c>
      <c r="L272" s="4" t="s">
        <v>389</v>
      </c>
      <c r="M272" s="37" t="s">
        <v>383</v>
      </c>
      <c r="N272" s="72" t="s">
        <v>1052</v>
      </c>
      <c r="O272" s="72" t="s">
        <v>1052</v>
      </c>
    </row>
    <row r="273" spans="1:15" x14ac:dyDescent="0.25">
      <c r="B273" s="3" t="s">
        <v>503</v>
      </c>
      <c r="C273" s="3" t="s">
        <v>145</v>
      </c>
      <c r="D273" s="34">
        <v>13</v>
      </c>
      <c r="E273" s="34" t="s">
        <v>421</v>
      </c>
      <c r="H273" s="36">
        <f t="shared" si="52"/>
        <v>169</v>
      </c>
      <c r="J273" s="3" t="s">
        <v>46</v>
      </c>
      <c r="K273" s="34" t="s">
        <v>908</v>
      </c>
      <c r="L273" s="4" t="s">
        <v>180</v>
      </c>
      <c r="M273" s="35" t="s">
        <v>380</v>
      </c>
      <c r="N273" s="72" t="s">
        <v>1031</v>
      </c>
      <c r="O273" s="72" t="s">
        <v>1031</v>
      </c>
    </row>
    <row r="274" spans="1:15" x14ac:dyDescent="0.25">
      <c r="B274" s="3" t="s">
        <v>504</v>
      </c>
      <c r="C274" s="3" t="s">
        <v>145</v>
      </c>
      <c r="D274" s="34">
        <v>20</v>
      </c>
      <c r="E274" s="34" t="s">
        <v>506</v>
      </c>
      <c r="H274" s="36">
        <f t="shared" si="52"/>
        <v>314</v>
      </c>
      <c r="J274" s="3" t="s">
        <v>46</v>
      </c>
      <c r="K274" s="34" t="s">
        <v>908</v>
      </c>
      <c r="L274" s="4" t="s">
        <v>180</v>
      </c>
      <c r="M274" s="35" t="s">
        <v>380</v>
      </c>
      <c r="N274" s="72" t="s">
        <v>1053</v>
      </c>
      <c r="O274" s="72" t="s">
        <v>1053</v>
      </c>
    </row>
    <row r="275" spans="1:15" x14ac:dyDescent="0.25">
      <c r="B275" s="3" t="s">
        <v>505</v>
      </c>
      <c r="C275" s="3" t="s">
        <v>145</v>
      </c>
      <c r="D275" s="34">
        <v>12.9</v>
      </c>
      <c r="E275" s="34" t="s">
        <v>507</v>
      </c>
      <c r="F275" s="34" t="s">
        <v>467</v>
      </c>
      <c r="H275" s="36">
        <f t="shared" si="52"/>
        <v>162.54</v>
      </c>
      <c r="I275" s="36">
        <f>1000*D275*F275/100</f>
        <v>8.3849999999999998</v>
      </c>
      <c r="J275" s="3" t="s">
        <v>46</v>
      </c>
      <c r="K275" s="34" t="s">
        <v>908</v>
      </c>
      <c r="L275" s="4" t="s">
        <v>508</v>
      </c>
      <c r="M275" s="35" t="s">
        <v>380</v>
      </c>
      <c r="N275" s="72" t="s">
        <v>1043</v>
      </c>
      <c r="O275" s="72" t="s">
        <v>1043</v>
      </c>
    </row>
    <row r="276" spans="1:15" x14ac:dyDescent="0.25">
      <c r="B276" s="48" t="s">
        <v>377</v>
      </c>
      <c r="C276" s="48" t="s">
        <v>145</v>
      </c>
      <c r="D276" s="48">
        <v>8</v>
      </c>
      <c r="E276" s="48">
        <v>1.2</v>
      </c>
      <c r="F276" s="48"/>
      <c r="G276" s="48"/>
      <c r="H276" s="55">
        <f t="shared" si="52"/>
        <v>96</v>
      </c>
      <c r="I276" s="48"/>
      <c r="J276" s="48" t="s">
        <v>46</v>
      </c>
      <c r="K276" s="48" t="s">
        <v>1130</v>
      </c>
      <c r="L276" s="25" t="s">
        <v>102</v>
      </c>
      <c r="M276" s="3"/>
      <c r="N276" s="72" t="s">
        <v>1049</v>
      </c>
      <c r="O276" s="72" t="s">
        <v>1049</v>
      </c>
    </row>
    <row r="277" spans="1:15" x14ac:dyDescent="0.25">
      <c r="B277" s="3" t="s">
        <v>584</v>
      </c>
      <c r="C277" s="3" t="s">
        <v>145</v>
      </c>
      <c r="D277" s="3">
        <v>47</v>
      </c>
      <c r="E277" s="3">
        <v>1.76</v>
      </c>
      <c r="H277" s="9">
        <f t="shared" si="52"/>
        <v>827.2</v>
      </c>
      <c r="J277" s="3" t="s">
        <v>46</v>
      </c>
      <c r="K277" s="3" t="s">
        <v>1057</v>
      </c>
      <c r="L277" s="4" t="s">
        <v>206</v>
      </c>
      <c r="N277" s="72" t="s">
        <v>1043</v>
      </c>
      <c r="O277" s="72" t="s">
        <v>1043</v>
      </c>
    </row>
    <row r="278" spans="1:15" x14ac:dyDescent="0.25">
      <c r="N278" s="46"/>
      <c r="O278" s="42"/>
    </row>
    <row r="279" spans="1:15" x14ac:dyDescent="0.25">
      <c r="A279" s="26" t="s">
        <v>210</v>
      </c>
      <c r="B279" s="26" t="s">
        <v>210</v>
      </c>
      <c r="C279" s="26" t="s">
        <v>210</v>
      </c>
      <c r="D279" s="26" t="s">
        <v>210</v>
      </c>
      <c r="E279" s="26" t="s">
        <v>210</v>
      </c>
      <c r="F279" s="26" t="s">
        <v>210</v>
      </c>
      <c r="G279" s="26" t="s">
        <v>210</v>
      </c>
      <c r="H279" s="26" t="s">
        <v>210</v>
      </c>
      <c r="I279" s="26" t="s">
        <v>210</v>
      </c>
      <c r="J279" s="26" t="s">
        <v>210</v>
      </c>
      <c r="K279" s="26" t="s">
        <v>210</v>
      </c>
      <c r="L279" s="26" t="s">
        <v>210</v>
      </c>
      <c r="M279" s="26" t="s">
        <v>210</v>
      </c>
      <c r="N279" s="45"/>
      <c r="O279" s="45"/>
    </row>
    <row r="280" spans="1:15" x14ac:dyDescent="0.25">
      <c r="A280" s="39">
        <f>COUNT(D282:D282)</f>
        <v>1</v>
      </c>
      <c r="B280" s="22" t="s">
        <v>46</v>
      </c>
      <c r="C280" s="22" t="s">
        <v>46</v>
      </c>
      <c r="D280" s="23">
        <f>SUM(D282:D282)</f>
        <v>11.999999999999998</v>
      </c>
      <c r="E280" s="14">
        <f>100*(H280/1000)/D280</f>
        <v>1.3912500000000003</v>
      </c>
      <c r="F280" s="30">
        <f>100*(I280/1000)/D280</f>
        <v>4.0000000000000008E-2</v>
      </c>
      <c r="H280" s="23">
        <f>SUM(H282:H283)</f>
        <v>166.95</v>
      </c>
      <c r="I280" s="23">
        <f>SUM(I282:I283)</f>
        <v>4.8</v>
      </c>
      <c r="N280" s="45"/>
      <c r="O280" s="45"/>
    </row>
    <row r="281" spans="1:15" x14ac:dyDescent="0.25">
      <c r="A281" s="1" t="s">
        <v>150</v>
      </c>
      <c r="B281" s="1" t="s">
        <v>134</v>
      </c>
      <c r="C281" s="1" t="s">
        <v>141</v>
      </c>
      <c r="D281" s="2" t="s">
        <v>0</v>
      </c>
      <c r="E281" s="2" t="s">
        <v>10</v>
      </c>
      <c r="F281" s="2" t="s">
        <v>9</v>
      </c>
      <c r="G281" s="2" t="s">
        <v>6</v>
      </c>
      <c r="H281" s="2" t="s">
        <v>11</v>
      </c>
      <c r="I281" s="2" t="s">
        <v>12</v>
      </c>
      <c r="J281" s="2" t="s">
        <v>641</v>
      </c>
      <c r="K281" s="2" t="s">
        <v>639</v>
      </c>
      <c r="L281" s="8" t="s">
        <v>5</v>
      </c>
      <c r="M281" s="15" t="s">
        <v>64</v>
      </c>
      <c r="N281" s="45"/>
      <c r="O281" s="45"/>
    </row>
    <row r="282" spans="1:15" x14ac:dyDescent="0.25">
      <c r="B282" s="3" t="s">
        <v>209</v>
      </c>
      <c r="C282" s="3" t="s">
        <v>142</v>
      </c>
      <c r="D282" s="3">
        <f>2.1+2.5+1.8+3.9+1.7</f>
        <v>11.999999999999998</v>
      </c>
      <c r="E282" s="5">
        <f>(1.53*2.1+1.44*2.5+1.37*1.8+1.3*3.9+1.38*1.7)/D282</f>
        <v>1.3912500000000003</v>
      </c>
      <c r="F282" s="34">
        <v>0.04</v>
      </c>
      <c r="H282" s="9">
        <f>1000*D282*E282/100</f>
        <v>166.95</v>
      </c>
      <c r="I282" s="36">
        <f>1000*D282*F282/100</f>
        <v>4.8</v>
      </c>
      <c r="J282" s="3" t="s">
        <v>46</v>
      </c>
      <c r="K282" s="3" t="s">
        <v>649</v>
      </c>
      <c r="L282" s="4" t="s">
        <v>206</v>
      </c>
      <c r="M282" s="35" t="s">
        <v>380</v>
      </c>
      <c r="N282" s="72" t="s">
        <v>1043</v>
      </c>
      <c r="O282" s="72" t="s">
        <v>1043</v>
      </c>
    </row>
    <row r="283" spans="1:15" x14ac:dyDescent="0.25">
      <c r="N283" s="45"/>
      <c r="O283" s="45"/>
    </row>
    <row r="284" spans="1:15" x14ac:dyDescent="0.25">
      <c r="N284" s="45"/>
      <c r="O284" s="45"/>
    </row>
    <row r="285" spans="1:15" x14ac:dyDescent="0.25">
      <c r="A285" s="26" t="s">
        <v>574</v>
      </c>
      <c r="B285" s="26" t="s">
        <v>574</v>
      </c>
      <c r="C285" s="26" t="s">
        <v>574</v>
      </c>
      <c r="D285" s="26" t="s">
        <v>574</v>
      </c>
      <c r="E285" s="26" t="s">
        <v>574</v>
      </c>
      <c r="F285" s="26" t="s">
        <v>574</v>
      </c>
      <c r="G285" s="26" t="s">
        <v>574</v>
      </c>
      <c r="H285" s="26" t="s">
        <v>574</v>
      </c>
      <c r="I285" s="26" t="s">
        <v>574</v>
      </c>
      <c r="J285" s="26" t="s">
        <v>574</v>
      </c>
      <c r="K285" s="26" t="s">
        <v>574</v>
      </c>
      <c r="L285" s="26" t="s">
        <v>574</v>
      </c>
      <c r="M285" s="26" t="s">
        <v>574</v>
      </c>
      <c r="N285" s="45"/>
      <c r="O285" s="45"/>
    </row>
    <row r="286" spans="1:15" x14ac:dyDescent="0.25">
      <c r="A286" s="39">
        <f>COUNT(D288:D288)</f>
        <v>1</v>
      </c>
      <c r="B286" s="22" t="s">
        <v>46</v>
      </c>
      <c r="C286" s="22" t="s">
        <v>46</v>
      </c>
      <c r="D286" s="23">
        <f>SUM(D288:D288)</f>
        <v>43</v>
      </c>
      <c r="E286" s="14">
        <f>100*(H286/1000)/D286</f>
        <v>1.04</v>
      </c>
      <c r="F286" s="30">
        <f>100*(I286/1000)/D286</f>
        <v>6.0000000000000005E-2</v>
      </c>
      <c r="H286" s="23">
        <f>SUM(H288:H289)</f>
        <v>447.2</v>
      </c>
      <c r="I286" s="23">
        <f>SUM(I288:I289)</f>
        <v>25.8</v>
      </c>
      <c r="N286" s="45"/>
      <c r="O286" s="45"/>
    </row>
    <row r="287" spans="1:15" x14ac:dyDescent="0.25">
      <c r="A287" s="1" t="s">
        <v>150</v>
      </c>
      <c r="B287" s="1" t="s">
        <v>134</v>
      </c>
      <c r="C287" s="1" t="s">
        <v>141</v>
      </c>
      <c r="D287" s="2" t="s">
        <v>0</v>
      </c>
      <c r="E287" s="2" t="s">
        <v>10</v>
      </c>
      <c r="F287" s="2" t="s">
        <v>9</v>
      </c>
      <c r="G287" s="2" t="s">
        <v>6</v>
      </c>
      <c r="H287" s="2" t="s">
        <v>11</v>
      </c>
      <c r="I287" s="2" t="s">
        <v>12</v>
      </c>
      <c r="J287" s="2" t="s">
        <v>641</v>
      </c>
      <c r="K287" s="2" t="s">
        <v>639</v>
      </c>
      <c r="L287" s="8" t="s">
        <v>5</v>
      </c>
      <c r="M287" s="15" t="s">
        <v>64</v>
      </c>
      <c r="N287" s="45"/>
      <c r="O287" s="45"/>
    </row>
    <row r="288" spans="1:15" x14ac:dyDescent="0.25">
      <c r="B288" s="3" t="s">
        <v>425</v>
      </c>
      <c r="C288" s="3" t="s">
        <v>142</v>
      </c>
      <c r="D288" s="34">
        <v>43</v>
      </c>
      <c r="E288" s="34">
        <v>1.04</v>
      </c>
      <c r="F288" s="34">
        <v>0.06</v>
      </c>
      <c r="H288" s="36">
        <f>1000*D288*E288/100</f>
        <v>447.2</v>
      </c>
      <c r="I288" s="36">
        <f>1000*D288*F288/100</f>
        <v>25.8</v>
      </c>
      <c r="J288" s="3" t="s">
        <v>46</v>
      </c>
      <c r="K288" s="34" t="s">
        <v>908</v>
      </c>
      <c r="L288" s="4" t="s">
        <v>426</v>
      </c>
      <c r="M288" s="35" t="s">
        <v>380</v>
      </c>
      <c r="N288" s="74" t="s">
        <v>1031</v>
      </c>
      <c r="O288" s="74" t="s">
        <v>1031</v>
      </c>
    </row>
    <row r="289" spans="1:15" x14ac:dyDescent="0.25">
      <c r="B289" s="3" t="s">
        <v>211</v>
      </c>
      <c r="C289" s="3" t="s">
        <v>142</v>
      </c>
      <c r="J289" s="3" t="s">
        <v>46</v>
      </c>
      <c r="L289" s="4" t="s">
        <v>546</v>
      </c>
      <c r="N289" s="72" t="s">
        <v>1054</v>
      </c>
      <c r="O289" s="72" t="s">
        <v>1054</v>
      </c>
    </row>
    <row r="290" spans="1:15" x14ac:dyDescent="0.25">
      <c r="N290" s="45"/>
      <c r="O290" s="45"/>
    </row>
    <row r="291" spans="1:15" x14ac:dyDescent="0.25">
      <c r="A291" s="26" t="s">
        <v>212</v>
      </c>
      <c r="B291" s="26" t="s">
        <v>212</v>
      </c>
      <c r="C291" s="26" t="s">
        <v>212</v>
      </c>
      <c r="D291" s="26" t="s">
        <v>212</v>
      </c>
      <c r="E291" s="26" t="s">
        <v>212</v>
      </c>
      <c r="F291" s="26" t="s">
        <v>212</v>
      </c>
      <c r="G291" s="26" t="s">
        <v>212</v>
      </c>
      <c r="H291" s="26" t="s">
        <v>212</v>
      </c>
      <c r="I291" s="26" t="s">
        <v>212</v>
      </c>
      <c r="J291" s="26" t="s">
        <v>212</v>
      </c>
      <c r="K291" s="26" t="s">
        <v>212</v>
      </c>
      <c r="L291" s="26" t="s">
        <v>212</v>
      </c>
      <c r="M291" s="26" t="s">
        <v>212</v>
      </c>
      <c r="N291" s="45"/>
      <c r="O291" s="45"/>
    </row>
    <row r="292" spans="1:15" x14ac:dyDescent="0.25">
      <c r="A292" s="39">
        <f>COUNT(D294:D296)</f>
        <v>3</v>
      </c>
      <c r="B292" s="22" t="s">
        <v>46</v>
      </c>
      <c r="C292" s="22" t="s">
        <v>46</v>
      </c>
      <c r="D292" s="23">
        <f>SUM(D294:D296)</f>
        <v>300</v>
      </c>
      <c r="E292" s="14">
        <f>100*(H292/1000)/D292</f>
        <v>1.0724633333333333</v>
      </c>
      <c r="F292" s="30">
        <f>100*(I292/1000)/D292</f>
        <v>0</v>
      </c>
      <c r="H292" s="23">
        <f>SUM(H294:H296)</f>
        <v>3217.39</v>
      </c>
      <c r="I292" s="23">
        <f>SUM(I294:I296)</f>
        <v>0</v>
      </c>
      <c r="N292" s="45"/>
      <c r="O292" s="45"/>
    </row>
    <row r="293" spans="1:15" x14ac:dyDescent="0.25">
      <c r="A293" s="1" t="s">
        <v>150</v>
      </c>
      <c r="B293" s="1" t="s">
        <v>134</v>
      </c>
      <c r="C293" s="1" t="s">
        <v>141</v>
      </c>
      <c r="D293" s="2" t="s">
        <v>0</v>
      </c>
      <c r="E293" s="2" t="s">
        <v>10</v>
      </c>
      <c r="F293" s="2" t="s">
        <v>9</v>
      </c>
      <c r="G293" s="2" t="s">
        <v>6</v>
      </c>
      <c r="H293" s="2" t="s">
        <v>11</v>
      </c>
      <c r="I293" s="2" t="s">
        <v>12</v>
      </c>
      <c r="J293" s="2" t="s">
        <v>641</v>
      </c>
      <c r="K293" s="2" t="s">
        <v>639</v>
      </c>
      <c r="L293" s="8" t="s">
        <v>5</v>
      </c>
      <c r="M293" s="15" t="s">
        <v>64</v>
      </c>
      <c r="N293" s="45"/>
      <c r="O293" s="45"/>
    </row>
    <row r="294" spans="1:15" x14ac:dyDescent="0.25">
      <c r="B294" s="3" t="s">
        <v>443</v>
      </c>
      <c r="C294" s="3" t="s">
        <v>142</v>
      </c>
      <c r="D294" s="34">
        <v>66.2</v>
      </c>
      <c r="E294" s="34">
        <v>1.2</v>
      </c>
      <c r="H294" s="36">
        <f>1000*D294*E294/100</f>
        <v>794.4</v>
      </c>
      <c r="J294" s="3" t="s">
        <v>46</v>
      </c>
      <c r="K294" s="34" t="s">
        <v>908</v>
      </c>
      <c r="L294" s="4" t="s">
        <v>213</v>
      </c>
      <c r="M294" s="35" t="s">
        <v>380</v>
      </c>
      <c r="N294" s="74" t="s">
        <v>602</v>
      </c>
      <c r="O294" s="75" t="s">
        <v>602</v>
      </c>
    </row>
    <row r="295" spans="1:15" x14ac:dyDescent="0.25">
      <c r="B295" s="3" t="s">
        <v>444</v>
      </c>
      <c r="C295" s="3" t="s">
        <v>142</v>
      </c>
      <c r="D295" s="34">
        <v>228.3</v>
      </c>
      <c r="E295" s="34">
        <v>1.03</v>
      </c>
      <c r="H295" s="36">
        <f>1000*D295*E295/100</f>
        <v>2351.4899999999998</v>
      </c>
      <c r="J295" s="3" t="s">
        <v>46</v>
      </c>
      <c r="K295" s="34" t="s">
        <v>908</v>
      </c>
      <c r="L295" s="4" t="s">
        <v>213</v>
      </c>
      <c r="M295" s="35" t="s">
        <v>380</v>
      </c>
      <c r="N295" s="74" t="s">
        <v>602</v>
      </c>
      <c r="O295" s="74" t="s">
        <v>602</v>
      </c>
    </row>
    <row r="296" spans="1:15" x14ac:dyDescent="0.25">
      <c r="B296" s="3" t="s">
        <v>445</v>
      </c>
      <c r="C296" s="3" t="s">
        <v>142</v>
      </c>
      <c r="D296" s="34">
        <v>5.5</v>
      </c>
      <c r="E296" s="34">
        <v>1.3</v>
      </c>
      <c r="H296" s="36">
        <f>1000*D296*E296/100</f>
        <v>71.5</v>
      </c>
      <c r="J296" s="3" t="s">
        <v>46</v>
      </c>
      <c r="K296" s="34" t="s">
        <v>908</v>
      </c>
      <c r="L296" s="4" t="s">
        <v>213</v>
      </c>
      <c r="M296" s="35" t="s">
        <v>380</v>
      </c>
      <c r="N296" s="74" t="s">
        <v>1031</v>
      </c>
      <c r="O296" s="74" t="s">
        <v>1031</v>
      </c>
    </row>
    <row r="297" spans="1:15" x14ac:dyDescent="0.25">
      <c r="N297" s="45"/>
      <c r="O297" s="45"/>
    </row>
    <row r="298" spans="1:15" x14ac:dyDescent="0.25">
      <c r="A298" s="26" t="s">
        <v>214</v>
      </c>
      <c r="B298" s="26" t="s">
        <v>214</v>
      </c>
      <c r="C298" s="26" t="s">
        <v>214</v>
      </c>
      <c r="D298" s="26" t="s">
        <v>214</v>
      </c>
      <c r="E298" s="26" t="s">
        <v>214</v>
      </c>
      <c r="F298" s="26" t="s">
        <v>214</v>
      </c>
      <c r="G298" s="26" t="s">
        <v>214</v>
      </c>
      <c r="H298" s="26" t="s">
        <v>214</v>
      </c>
      <c r="I298" s="26" t="s">
        <v>214</v>
      </c>
      <c r="J298" s="26" t="s">
        <v>214</v>
      </c>
      <c r="K298" s="26" t="s">
        <v>214</v>
      </c>
      <c r="L298" s="26" t="s">
        <v>214</v>
      </c>
      <c r="M298" s="26" t="s">
        <v>214</v>
      </c>
      <c r="N298" s="45"/>
      <c r="O298" s="45"/>
    </row>
    <row r="299" spans="1:15" x14ac:dyDescent="0.25">
      <c r="B299" s="22" t="s">
        <v>46</v>
      </c>
      <c r="C299" s="22" t="s">
        <v>46</v>
      </c>
      <c r="N299" s="45"/>
      <c r="O299" s="45"/>
    </row>
    <row r="300" spans="1:15" x14ac:dyDescent="0.25">
      <c r="A300" s="1" t="s">
        <v>150</v>
      </c>
      <c r="B300" s="1" t="s">
        <v>134</v>
      </c>
      <c r="C300" s="1" t="s">
        <v>141</v>
      </c>
      <c r="D300" s="2" t="s">
        <v>0</v>
      </c>
      <c r="E300" s="2" t="s">
        <v>10</v>
      </c>
      <c r="F300" s="2" t="s">
        <v>9</v>
      </c>
      <c r="G300" s="2" t="s">
        <v>6</v>
      </c>
      <c r="H300" s="2" t="s">
        <v>11</v>
      </c>
      <c r="I300" s="2" t="s">
        <v>12</v>
      </c>
      <c r="J300" s="2" t="s">
        <v>641</v>
      </c>
      <c r="K300" s="2" t="s">
        <v>639</v>
      </c>
      <c r="L300" s="8" t="s">
        <v>5</v>
      </c>
      <c r="M300" s="15" t="s">
        <v>64</v>
      </c>
      <c r="N300" s="45"/>
      <c r="O300" s="45"/>
    </row>
    <row r="301" spans="1:15" x14ac:dyDescent="0.25">
      <c r="L301" s="3"/>
      <c r="M301" s="3"/>
      <c r="N301" s="45"/>
      <c r="O301" s="45"/>
    </row>
    <row r="302" spans="1:15" x14ac:dyDescent="0.25">
      <c r="L302" s="3"/>
      <c r="M302" s="3"/>
      <c r="N302" s="45"/>
      <c r="O302" s="45"/>
    </row>
    <row r="303" spans="1:15" x14ac:dyDescent="0.25">
      <c r="L303" s="3"/>
      <c r="M303" s="3"/>
      <c r="N303" s="45"/>
      <c r="O303" s="45"/>
    </row>
    <row r="304" spans="1:15" x14ac:dyDescent="0.25">
      <c r="N304" s="46"/>
      <c r="O304" s="42"/>
    </row>
    <row r="305" spans="1:15" x14ac:dyDescent="0.25">
      <c r="A305" s="26" t="s">
        <v>221</v>
      </c>
      <c r="B305" s="26" t="s">
        <v>222</v>
      </c>
      <c r="C305" s="26" t="s">
        <v>221</v>
      </c>
      <c r="D305" s="26" t="s">
        <v>222</v>
      </c>
      <c r="E305" s="26" t="s">
        <v>221</v>
      </c>
      <c r="F305" s="26" t="s">
        <v>222</v>
      </c>
      <c r="G305" s="26" t="s">
        <v>221</v>
      </c>
      <c r="H305" s="26" t="s">
        <v>222</v>
      </c>
      <c r="I305" s="26" t="s">
        <v>221</v>
      </c>
      <c r="J305" s="26" t="s">
        <v>222</v>
      </c>
      <c r="K305" s="26" t="s">
        <v>221</v>
      </c>
      <c r="L305" s="26" t="s">
        <v>222</v>
      </c>
      <c r="M305" s="26" t="s">
        <v>221</v>
      </c>
      <c r="N305" s="47"/>
      <c r="O305" s="42"/>
    </row>
    <row r="306" spans="1:15" x14ac:dyDescent="0.25">
      <c r="A306" s="39">
        <f>COUNT(D308:D309)</f>
        <v>2</v>
      </c>
      <c r="B306" s="22" t="s">
        <v>46</v>
      </c>
      <c r="C306" s="22" t="s">
        <v>46</v>
      </c>
      <c r="D306" s="23">
        <f>SUM(D308:D309)</f>
        <v>85.800000000000011</v>
      </c>
      <c r="E306" s="14">
        <f>100*(H306/1000)/D306</f>
        <v>1.4949883449883445</v>
      </c>
      <c r="F306" s="30">
        <f>100*(I306/1000)/D306</f>
        <v>0</v>
      </c>
      <c r="H306" s="23">
        <f>SUM(H308:H309)</f>
        <v>1282.7</v>
      </c>
      <c r="I306" s="23">
        <f>SUM(I308:I309)</f>
        <v>0</v>
      </c>
      <c r="N306" s="46"/>
      <c r="O306" s="42"/>
    </row>
    <row r="307" spans="1:15" x14ac:dyDescent="0.25">
      <c r="A307" s="1" t="s">
        <v>150</v>
      </c>
      <c r="B307" s="1" t="s">
        <v>134</v>
      </c>
      <c r="C307" s="1" t="s">
        <v>141</v>
      </c>
      <c r="D307" s="2" t="s">
        <v>0</v>
      </c>
      <c r="E307" s="2" t="s">
        <v>10</v>
      </c>
      <c r="F307" s="2" t="s">
        <v>9</v>
      </c>
      <c r="G307" s="2" t="s">
        <v>6</v>
      </c>
      <c r="H307" s="2" t="s">
        <v>11</v>
      </c>
      <c r="I307" s="2" t="s">
        <v>12</v>
      </c>
      <c r="J307" s="2" t="s">
        <v>641</v>
      </c>
      <c r="K307" s="2" t="s">
        <v>639</v>
      </c>
      <c r="L307" s="8" t="s">
        <v>5</v>
      </c>
      <c r="M307" s="15" t="s">
        <v>64</v>
      </c>
      <c r="N307" s="45"/>
      <c r="O307" s="42"/>
    </row>
    <row r="308" spans="1:15" x14ac:dyDescent="0.25">
      <c r="B308" s="3" t="s">
        <v>220</v>
      </c>
      <c r="C308" s="3" t="s">
        <v>144</v>
      </c>
      <c r="D308" s="3">
        <f>40.2+34.5+4.9</f>
        <v>79.600000000000009</v>
      </c>
      <c r="E308" s="5">
        <f>(1.45*40.2+1.56*34.5+1.4*4.9)/D308</f>
        <v>1.4945979899497486</v>
      </c>
      <c r="H308" s="9">
        <f>1000*D308*E308/100</f>
        <v>1189.7</v>
      </c>
      <c r="J308" s="3" t="s">
        <v>46</v>
      </c>
      <c r="K308" s="3" t="s">
        <v>649</v>
      </c>
      <c r="L308" s="4" t="s">
        <v>39</v>
      </c>
      <c r="N308" s="72" t="s">
        <v>1043</v>
      </c>
      <c r="O308" s="72" t="s">
        <v>1043</v>
      </c>
    </row>
    <row r="309" spans="1:15" x14ac:dyDescent="0.25">
      <c r="B309" s="3" t="s">
        <v>905</v>
      </c>
      <c r="C309" s="3" t="s">
        <v>145</v>
      </c>
      <c r="D309" s="3">
        <v>6.2</v>
      </c>
      <c r="E309" s="3">
        <v>1.5</v>
      </c>
      <c r="H309" s="9">
        <f>1000*D309*E309/100</f>
        <v>93</v>
      </c>
      <c r="J309" s="3" t="s">
        <v>46</v>
      </c>
      <c r="K309" s="3" t="s">
        <v>649</v>
      </c>
      <c r="L309" s="4" t="s">
        <v>19</v>
      </c>
      <c r="N309" s="72" t="s">
        <v>1050</v>
      </c>
      <c r="O309" s="72" t="s">
        <v>1050</v>
      </c>
    </row>
    <row r="310" spans="1:15" x14ac:dyDescent="0.25">
      <c r="N310" s="46"/>
      <c r="O310" s="42"/>
    </row>
    <row r="311" spans="1:15" x14ac:dyDescent="0.25">
      <c r="A311" s="26" t="s">
        <v>226</v>
      </c>
      <c r="B311" s="26" t="s">
        <v>226</v>
      </c>
      <c r="C311" s="26" t="s">
        <v>226</v>
      </c>
      <c r="D311" s="26" t="s">
        <v>226</v>
      </c>
      <c r="E311" s="26" t="s">
        <v>226</v>
      </c>
      <c r="F311" s="26" t="s">
        <v>226</v>
      </c>
      <c r="G311" s="26" t="s">
        <v>226</v>
      </c>
      <c r="H311" s="26" t="s">
        <v>226</v>
      </c>
      <c r="I311" s="26" t="s">
        <v>226</v>
      </c>
      <c r="J311" s="26" t="s">
        <v>226</v>
      </c>
      <c r="K311" s="26" t="s">
        <v>226</v>
      </c>
      <c r="L311" s="26" t="s">
        <v>226</v>
      </c>
      <c r="M311" s="26" t="s">
        <v>226</v>
      </c>
      <c r="N311" s="47"/>
      <c r="O311" s="42"/>
    </row>
    <row r="312" spans="1:15" x14ac:dyDescent="0.25">
      <c r="A312" s="39">
        <f>COUNT(D314:D315)</f>
        <v>2</v>
      </c>
      <c r="B312" s="22" t="s">
        <v>46</v>
      </c>
      <c r="C312" s="22" t="s">
        <v>46</v>
      </c>
      <c r="D312" s="23">
        <f>SUM(D314:D315)</f>
        <v>103.2</v>
      </c>
      <c r="E312" s="14">
        <f>100*(H312/1000)/D312</f>
        <v>1.0418217054263565</v>
      </c>
      <c r="F312" s="30">
        <f>100*(I312/1000)/D312</f>
        <v>1.7819957440340477E-2</v>
      </c>
      <c r="H312" s="23">
        <f>SUM(H314:H315)</f>
        <v>1075.1600000000001</v>
      </c>
      <c r="I312" s="23">
        <f>SUM(I314:I315)</f>
        <v>18.390196078431373</v>
      </c>
      <c r="N312" s="46"/>
      <c r="O312" s="42"/>
    </row>
    <row r="313" spans="1:15" x14ac:dyDescent="0.25">
      <c r="A313" s="1" t="s">
        <v>150</v>
      </c>
      <c r="B313" s="1" t="s">
        <v>134</v>
      </c>
      <c r="C313" s="1" t="s">
        <v>141</v>
      </c>
      <c r="D313" s="2" t="s">
        <v>0</v>
      </c>
      <c r="E313" s="2" t="s">
        <v>10</v>
      </c>
      <c r="F313" s="2" t="s">
        <v>9</v>
      </c>
      <c r="G313" s="2" t="s">
        <v>6</v>
      </c>
      <c r="H313" s="2" t="s">
        <v>11</v>
      </c>
      <c r="I313" s="2" t="s">
        <v>12</v>
      </c>
      <c r="J313" s="2" t="s">
        <v>641</v>
      </c>
      <c r="K313" s="2" t="s">
        <v>639</v>
      </c>
      <c r="L313" s="8" t="s">
        <v>5</v>
      </c>
      <c r="M313" s="15" t="s">
        <v>64</v>
      </c>
      <c r="N313" s="45"/>
      <c r="O313" s="42"/>
    </row>
    <row r="314" spans="1:15" x14ac:dyDescent="0.25">
      <c r="B314" s="3" t="s">
        <v>227</v>
      </c>
      <c r="C314" s="3" t="s">
        <v>143</v>
      </c>
      <c r="D314" s="3">
        <v>33.200000000000003</v>
      </c>
      <c r="E314" s="3">
        <v>1.1299999999999999</v>
      </c>
      <c r="F314" s="30">
        <f>(1/20.4)*E314</f>
        <v>5.5392156862745102E-2</v>
      </c>
      <c r="H314" s="9">
        <f>1000*D314*E314/100</f>
        <v>375.16</v>
      </c>
      <c r="I314" s="16">
        <f>1000*D314*F314/100</f>
        <v>18.390196078431373</v>
      </c>
      <c r="J314" s="3" t="s">
        <v>46</v>
      </c>
      <c r="L314" s="4" t="s">
        <v>245</v>
      </c>
      <c r="N314" s="72" t="s">
        <v>602</v>
      </c>
      <c r="O314" s="42" t="s">
        <v>602</v>
      </c>
    </row>
    <row r="315" spans="1:15" x14ac:dyDescent="0.25">
      <c r="B315" s="3" t="s">
        <v>1127</v>
      </c>
      <c r="C315" s="3" t="s">
        <v>145</v>
      </c>
      <c r="D315" s="3">
        <v>70</v>
      </c>
      <c r="E315" s="3">
        <v>1</v>
      </c>
      <c r="F315" s="30"/>
      <c r="H315" s="9">
        <f>1000*D315*E315/100</f>
        <v>700</v>
      </c>
      <c r="I315" s="16"/>
      <c r="J315" s="3" t="s">
        <v>46</v>
      </c>
      <c r="K315" s="48" t="s">
        <v>1144</v>
      </c>
      <c r="L315" s="4" t="s">
        <v>102</v>
      </c>
      <c r="N315" s="72" t="s">
        <v>602</v>
      </c>
      <c r="O315" s="42" t="s">
        <v>602</v>
      </c>
    </row>
    <row r="316" spans="1:15" x14ac:dyDescent="0.25">
      <c r="N316" s="46"/>
      <c r="O316" s="42"/>
    </row>
    <row r="317" spans="1:15" x14ac:dyDescent="0.25">
      <c r="A317" s="26" t="s">
        <v>235</v>
      </c>
      <c r="B317" s="26" t="s">
        <v>235</v>
      </c>
      <c r="C317" s="26" t="s">
        <v>235</v>
      </c>
      <c r="D317" s="26" t="s">
        <v>235</v>
      </c>
      <c r="E317" s="26" t="s">
        <v>235</v>
      </c>
      <c r="F317" s="26" t="s">
        <v>235</v>
      </c>
      <c r="G317" s="26" t="s">
        <v>235</v>
      </c>
      <c r="H317" s="26" t="s">
        <v>235</v>
      </c>
      <c r="I317" s="26" t="s">
        <v>235</v>
      </c>
      <c r="J317" s="26" t="s">
        <v>235</v>
      </c>
      <c r="K317" s="26" t="s">
        <v>235</v>
      </c>
      <c r="L317" s="26" t="s">
        <v>235</v>
      </c>
      <c r="M317" s="26" t="s">
        <v>235</v>
      </c>
      <c r="N317" s="47"/>
      <c r="O317" s="42"/>
    </row>
    <row r="318" spans="1:15" x14ac:dyDescent="0.25">
      <c r="A318" s="39">
        <f>COUNT(D320:D321)</f>
        <v>2</v>
      </c>
      <c r="B318" s="22" t="s">
        <v>46</v>
      </c>
      <c r="C318" s="22" t="s">
        <v>46</v>
      </c>
      <c r="D318" s="23">
        <f>SUM(D320:D322)</f>
        <v>219.82</v>
      </c>
      <c r="E318" s="14">
        <f>100*(H318/1000)/D318</f>
        <v>0.86952825038668002</v>
      </c>
      <c r="F318" s="30">
        <f>100*(I318/1000)/D318</f>
        <v>3.9389318533345465E-2</v>
      </c>
      <c r="H318" s="23">
        <f>SUM(H320:H322)</f>
        <v>1911.3969999999999</v>
      </c>
      <c r="I318" s="23">
        <f>SUM(I320:I322)</f>
        <v>86.585599999999999</v>
      </c>
      <c r="N318" s="46"/>
      <c r="O318" s="42"/>
    </row>
    <row r="319" spans="1:15" x14ac:dyDescent="0.25">
      <c r="A319" s="1" t="s">
        <v>150</v>
      </c>
      <c r="B319" s="1" t="s">
        <v>134</v>
      </c>
      <c r="C319" s="1" t="s">
        <v>141</v>
      </c>
      <c r="D319" s="2" t="s">
        <v>0</v>
      </c>
      <c r="E319" s="2" t="s">
        <v>10</v>
      </c>
      <c r="F319" s="2" t="s">
        <v>9</v>
      </c>
      <c r="G319" s="2" t="s">
        <v>6</v>
      </c>
      <c r="H319" s="2" t="s">
        <v>11</v>
      </c>
      <c r="I319" s="2" t="s">
        <v>12</v>
      </c>
      <c r="J319" s="2" t="s">
        <v>641</v>
      </c>
      <c r="K319" s="2" t="s">
        <v>639</v>
      </c>
      <c r="L319" s="8" t="s">
        <v>5</v>
      </c>
      <c r="M319" s="15" t="s">
        <v>64</v>
      </c>
      <c r="N319" s="45"/>
      <c r="O319" s="42"/>
    </row>
    <row r="320" spans="1:15" x14ac:dyDescent="0.25">
      <c r="B320" s="3" t="s">
        <v>322</v>
      </c>
      <c r="C320" s="3" t="s">
        <v>145</v>
      </c>
      <c r="D320" s="3">
        <f>30.5+10.9+4.7+42+13.2+0.7+0.41+1.62+1.48+0.37+0.84</f>
        <v>106.72000000000001</v>
      </c>
      <c r="E320" s="5">
        <f>(0.87*30.5+0.97*10.9+1.01*4.7+0.93*42+0.99*13.2+0.99*0.7+0.91*0.41+0.74*1.62+0.72*1.48+0.66*0.37+1*0.84)/$D320</f>
        <v>0.92201742878560722</v>
      </c>
      <c r="F320" s="11">
        <f>(0.035*30.5+0.028*10.9+0.026*4.7+0.027*42+0.019*13.2+0.027*0.7+0.02*0.41+0.019*1.62+0.031*1.48+0.018*0.37+0.016*0.84)/$D320</f>
        <v>2.8144302848575706E-2</v>
      </c>
      <c r="H320" s="9">
        <f>1000*$D320*E320/100</f>
        <v>983.97700000000009</v>
      </c>
      <c r="I320" s="9">
        <f>1000*$D320*F320/100</f>
        <v>30.035599999999999</v>
      </c>
      <c r="J320" s="3" t="s">
        <v>46</v>
      </c>
      <c r="K320" s="3" t="s">
        <v>1008</v>
      </c>
      <c r="L320" s="4" t="s">
        <v>321</v>
      </c>
      <c r="M320" s="3"/>
      <c r="N320" s="72" t="s">
        <v>602</v>
      </c>
      <c r="O320" s="42" t="s">
        <v>602</v>
      </c>
    </row>
    <row r="321" spans="1:15" x14ac:dyDescent="0.25">
      <c r="B321" s="3" t="s">
        <v>878</v>
      </c>
      <c r="C321" s="3" t="s">
        <v>145</v>
      </c>
      <c r="D321" s="3">
        <v>113.1</v>
      </c>
      <c r="E321" s="3">
        <v>0.82</v>
      </c>
      <c r="F321" s="3">
        <v>0.05</v>
      </c>
      <c r="H321" s="9">
        <f>1000*$D321*E321/100</f>
        <v>927.42</v>
      </c>
      <c r="I321" s="9">
        <f>1000*$D321*F321/100</f>
        <v>56.55</v>
      </c>
      <c r="J321" s="3" t="s">
        <v>46</v>
      </c>
      <c r="K321" s="3" t="s">
        <v>687</v>
      </c>
      <c r="L321" s="4" t="s">
        <v>879</v>
      </c>
      <c r="M321" s="3"/>
      <c r="N321" s="74" t="s">
        <v>1036</v>
      </c>
      <c r="O321" s="75" t="s">
        <v>1036</v>
      </c>
    </row>
    <row r="322" spans="1:15" x14ac:dyDescent="0.25">
      <c r="L322" s="3"/>
      <c r="M322" s="3"/>
      <c r="N322" s="46"/>
      <c r="O322" s="42"/>
    </row>
    <row r="323" spans="1:15" x14ac:dyDescent="0.25">
      <c r="N323" s="46"/>
      <c r="O323" s="42"/>
    </row>
    <row r="324" spans="1:15" x14ac:dyDescent="0.25">
      <c r="A324" s="26" t="s">
        <v>246</v>
      </c>
      <c r="B324" s="26" t="s">
        <v>246</v>
      </c>
      <c r="C324" s="26" t="s">
        <v>246</v>
      </c>
      <c r="D324" s="26" t="s">
        <v>246</v>
      </c>
      <c r="E324" s="26" t="s">
        <v>246</v>
      </c>
      <c r="F324" s="26" t="s">
        <v>246</v>
      </c>
      <c r="G324" s="26" t="s">
        <v>246</v>
      </c>
      <c r="H324" s="26" t="s">
        <v>246</v>
      </c>
      <c r="I324" s="26" t="s">
        <v>246</v>
      </c>
      <c r="J324" s="26" t="s">
        <v>246</v>
      </c>
      <c r="K324" s="26" t="s">
        <v>246</v>
      </c>
      <c r="L324" s="26" t="s">
        <v>246</v>
      </c>
      <c r="M324" s="26" t="s">
        <v>246</v>
      </c>
      <c r="N324" s="47"/>
      <c r="O324" s="42"/>
    </row>
    <row r="325" spans="1:15" x14ac:dyDescent="0.25">
      <c r="A325" s="39">
        <f>COUNT(D327:D328)</f>
        <v>2</v>
      </c>
      <c r="B325" s="22" t="s">
        <v>46</v>
      </c>
      <c r="C325" s="22" t="s">
        <v>46</v>
      </c>
      <c r="D325" s="23">
        <f>SUM(D327:D328)</f>
        <v>138.958</v>
      </c>
      <c r="E325" s="14">
        <f>100*(H325/1000)/D325</f>
        <v>1.2054974884497476</v>
      </c>
      <c r="H325" s="23">
        <f>SUM(H327:H328)</f>
        <v>1675.1352000000002</v>
      </c>
      <c r="I325" s="23">
        <f>SUM(I327:I328)</f>
        <v>0</v>
      </c>
      <c r="N325" s="46"/>
      <c r="O325" s="42"/>
    </row>
    <row r="326" spans="1:15" x14ac:dyDescent="0.25">
      <c r="A326" s="1" t="s">
        <v>150</v>
      </c>
      <c r="B326" s="1" t="s">
        <v>134</v>
      </c>
      <c r="C326" s="1" t="s">
        <v>141</v>
      </c>
      <c r="D326" s="2" t="s">
        <v>0</v>
      </c>
      <c r="E326" s="2" t="s">
        <v>10</v>
      </c>
      <c r="F326" s="2" t="s">
        <v>9</v>
      </c>
      <c r="G326" s="2" t="s">
        <v>6</v>
      </c>
      <c r="H326" s="2" t="s">
        <v>11</v>
      </c>
      <c r="I326" s="2" t="s">
        <v>12</v>
      </c>
      <c r="J326" s="2" t="s">
        <v>641</v>
      </c>
      <c r="K326" s="2" t="s">
        <v>639</v>
      </c>
      <c r="L326" s="8" t="s">
        <v>5</v>
      </c>
      <c r="M326" s="15" t="s">
        <v>64</v>
      </c>
      <c r="N326" s="45"/>
      <c r="O326" s="42"/>
    </row>
    <row r="327" spans="1:15" x14ac:dyDescent="0.25">
      <c r="B327" s="3" t="s">
        <v>376</v>
      </c>
      <c r="C327" s="3" t="s">
        <v>145</v>
      </c>
      <c r="D327" s="3">
        <f>21.9+13.7</f>
        <v>35.599999999999994</v>
      </c>
      <c r="E327" s="5">
        <f>(1.19*21.9+1.21*13.7)/$D327</f>
        <v>1.1976966292134832</v>
      </c>
      <c r="H327" s="9">
        <f>1000*D327*E327/100</f>
        <v>426.37999999999994</v>
      </c>
      <c r="J327" s="3" t="s">
        <v>46</v>
      </c>
      <c r="K327" s="3" t="s">
        <v>660</v>
      </c>
      <c r="L327" s="4" t="s">
        <v>250</v>
      </c>
      <c r="N327" s="72" t="s">
        <v>1055</v>
      </c>
      <c r="O327" s="72" t="s">
        <v>1055</v>
      </c>
    </row>
    <row r="328" spans="1:15" x14ac:dyDescent="0.25">
      <c r="B328" s="3" t="s">
        <v>1100</v>
      </c>
      <c r="C328" s="3" t="s">
        <v>145</v>
      </c>
      <c r="D328" s="3">
        <f>52.532+50.826</f>
        <v>103.358</v>
      </c>
      <c r="E328" s="5">
        <f>(1.1*52.532+1.32*50.826)/D328</f>
        <v>1.2081843688925871</v>
      </c>
      <c r="H328" s="9">
        <f>1000*D328*E328/100</f>
        <v>1248.7552000000003</v>
      </c>
      <c r="J328" s="3" t="s">
        <v>46</v>
      </c>
      <c r="K328" s="3" t="s">
        <v>1101</v>
      </c>
      <c r="L328" s="4" t="s">
        <v>1102</v>
      </c>
      <c r="N328" s="72" t="s">
        <v>1031</v>
      </c>
      <c r="O328" s="72" t="s">
        <v>1031</v>
      </c>
    </row>
    <row r="329" spans="1:15" x14ac:dyDescent="0.25">
      <c r="N329" s="46"/>
      <c r="O329" s="42"/>
    </row>
    <row r="330" spans="1:15" x14ac:dyDescent="0.25">
      <c r="A330" s="26" t="s">
        <v>258</v>
      </c>
      <c r="B330" s="26" t="s">
        <v>258</v>
      </c>
      <c r="C330" s="26" t="s">
        <v>258</v>
      </c>
      <c r="D330" s="26" t="s">
        <v>258</v>
      </c>
      <c r="E330" s="26" t="s">
        <v>258</v>
      </c>
      <c r="F330" s="26" t="s">
        <v>258</v>
      </c>
      <c r="G330" s="26" t="s">
        <v>258</v>
      </c>
      <c r="H330" s="26" t="s">
        <v>258</v>
      </c>
      <c r="I330" s="26" t="s">
        <v>258</v>
      </c>
      <c r="J330" s="26" t="s">
        <v>258</v>
      </c>
      <c r="K330" s="26" t="s">
        <v>258</v>
      </c>
      <c r="L330" s="26" t="s">
        <v>258</v>
      </c>
      <c r="M330" s="26" t="s">
        <v>258</v>
      </c>
      <c r="N330" s="47"/>
      <c r="O330" s="42"/>
    </row>
    <row r="331" spans="1:15" x14ac:dyDescent="0.25">
      <c r="A331" s="39">
        <f>COUNT(D333:D334)</f>
        <v>2</v>
      </c>
      <c r="B331" s="22" t="s">
        <v>46</v>
      </c>
      <c r="C331" s="22" t="s">
        <v>46</v>
      </c>
      <c r="D331" s="23">
        <f>SUM(D333:D334)</f>
        <v>48.535200000000003</v>
      </c>
      <c r="E331" s="14">
        <f>100*(H331/1000)/D331</f>
        <v>0.87495327102803744</v>
      </c>
      <c r="H331" s="23">
        <f>SUM(H333:H334)</f>
        <v>424.66032000000001</v>
      </c>
      <c r="I331" s="23">
        <f>SUM(I333:I334)</f>
        <v>30.617999999999999</v>
      </c>
      <c r="L331" s="3"/>
      <c r="M331" s="3"/>
      <c r="N331" s="46"/>
      <c r="O331" s="42"/>
    </row>
    <row r="332" spans="1:15" x14ac:dyDescent="0.25">
      <c r="A332" s="1" t="s">
        <v>150</v>
      </c>
      <c r="B332" s="1" t="s">
        <v>134</v>
      </c>
      <c r="C332" s="1" t="s">
        <v>141</v>
      </c>
      <c r="D332" s="2" t="s">
        <v>0</v>
      </c>
      <c r="E332" s="2" t="s">
        <v>10</v>
      </c>
      <c r="F332" s="2" t="s">
        <v>9</v>
      </c>
      <c r="G332" s="2" t="s">
        <v>6</v>
      </c>
      <c r="H332" s="2" t="s">
        <v>11</v>
      </c>
      <c r="I332" s="2" t="s">
        <v>12</v>
      </c>
      <c r="J332" s="2" t="s">
        <v>641</v>
      </c>
      <c r="K332" s="2" t="s">
        <v>639</v>
      </c>
      <c r="L332" s="8" t="s">
        <v>5</v>
      </c>
      <c r="M332" s="15" t="s">
        <v>64</v>
      </c>
      <c r="N332" s="45"/>
      <c r="O332" s="42"/>
    </row>
    <row r="333" spans="1:15" x14ac:dyDescent="0.25">
      <c r="A333" s="48"/>
      <c r="B333" s="48" t="s">
        <v>1115</v>
      </c>
      <c r="C333" s="48" t="s">
        <v>145</v>
      </c>
      <c r="D333" s="84">
        <f>37.5*0.9072</f>
        <v>34.020000000000003</v>
      </c>
      <c r="E333" s="48">
        <v>0.86</v>
      </c>
      <c r="F333" s="48">
        <v>0.09</v>
      </c>
      <c r="G333" s="48"/>
      <c r="H333" s="55">
        <f>1000*$D333*E333/100</f>
        <v>292.572</v>
      </c>
      <c r="I333" s="55">
        <f>1000*$D333*F333/100</f>
        <v>30.617999999999999</v>
      </c>
      <c r="J333" s="48" t="s">
        <v>46</v>
      </c>
      <c r="K333" s="48" t="s">
        <v>1114</v>
      </c>
      <c r="L333" s="48" t="s">
        <v>102</v>
      </c>
      <c r="M333" s="48"/>
      <c r="N333" s="72" t="s">
        <v>1043</v>
      </c>
      <c r="O333" s="72" t="s">
        <v>1043</v>
      </c>
    </row>
    <row r="334" spans="1:15" x14ac:dyDescent="0.25">
      <c r="B334" s="3" t="s">
        <v>1123</v>
      </c>
      <c r="C334" s="48" t="s">
        <v>145</v>
      </c>
      <c r="D334" s="10">
        <f>(3+3+10)*0.9072</f>
        <v>14.5152</v>
      </c>
      <c r="E334" s="48">
        <v>0.91</v>
      </c>
      <c r="H334" s="55">
        <f>1000*$D334*E334/100</f>
        <v>132.08832000000001</v>
      </c>
      <c r="J334" s="48" t="s">
        <v>46</v>
      </c>
      <c r="K334" s="48" t="s">
        <v>1114</v>
      </c>
      <c r="L334" s="48" t="s">
        <v>102</v>
      </c>
      <c r="M334" s="3"/>
      <c r="N334" s="72" t="s">
        <v>1043</v>
      </c>
      <c r="O334" s="72" t="s">
        <v>1043</v>
      </c>
    </row>
    <row r="335" spans="1:15" x14ac:dyDescent="0.25">
      <c r="N335" s="46"/>
      <c r="O335" s="42"/>
    </row>
    <row r="336" spans="1:15" x14ac:dyDescent="0.25">
      <c r="A336" s="26" t="s">
        <v>292</v>
      </c>
      <c r="B336" s="26" t="s">
        <v>292</v>
      </c>
      <c r="C336" s="26" t="s">
        <v>292</v>
      </c>
      <c r="D336" s="26" t="s">
        <v>292</v>
      </c>
      <c r="E336" s="26" t="s">
        <v>292</v>
      </c>
      <c r="F336" s="26" t="s">
        <v>292</v>
      </c>
      <c r="G336" s="26" t="s">
        <v>292</v>
      </c>
      <c r="H336" s="26" t="s">
        <v>292</v>
      </c>
      <c r="I336" s="26" t="s">
        <v>292</v>
      </c>
      <c r="J336" s="26" t="s">
        <v>292</v>
      </c>
      <c r="K336" s="26" t="s">
        <v>292</v>
      </c>
      <c r="L336" s="26" t="s">
        <v>292</v>
      </c>
      <c r="M336" s="26" t="s">
        <v>292</v>
      </c>
      <c r="N336" s="47"/>
      <c r="O336" s="42"/>
    </row>
    <row r="337" spans="1:15" x14ac:dyDescent="0.25">
      <c r="B337" s="22" t="s">
        <v>46</v>
      </c>
      <c r="C337" s="22" t="s">
        <v>46</v>
      </c>
      <c r="L337" s="3"/>
      <c r="M337" s="3"/>
      <c r="N337" s="46"/>
      <c r="O337" s="42"/>
    </row>
    <row r="338" spans="1:15" x14ac:dyDescent="0.25">
      <c r="A338" s="1" t="s">
        <v>150</v>
      </c>
      <c r="B338" s="1" t="s">
        <v>134</v>
      </c>
      <c r="C338" s="1" t="s">
        <v>141</v>
      </c>
      <c r="D338" s="2" t="s">
        <v>0</v>
      </c>
      <c r="E338" s="2" t="s">
        <v>10</v>
      </c>
      <c r="F338" s="2" t="s">
        <v>9</v>
      </c>
      <c r="G338" s="2" t="s">
        <v>6</v>
      </c>
      <c r="H338" s="2" t="s">
        <v>11</v>
      </c>
      <c r="I338" s="2" t="s">
        <v>12</v>
      </c>
      <c r="J338" s="2" t="s">
        <v>641</v>
      </c>
      <c r="K338" s="2" t="s">
        <v>639</v>
      </c>
      <c r="L338" s="8" t="s">
        <v>5</v>
      </c>
      <c r="M338" s="15" t="s">
        <v>64</v>
      </c>
      <c r="N338" s="45"/>
      <c r="O338" s="42"/>
    </row>
    <row r="339" spans="1:15" x14ac:dyDescent="0.25">
      <c r="L339" s="3"/>
      <c r="M339" s="3"/>
      <c r="N339" s="45"/>
      <c r="O339" s="45"/>
    </row>
    <row r="340" spans="1:15" x14ac:dyDescent="0.25">
      <c r="N340" s="46"/>
      <c r="O340" s="42"/>
    </row>
    <row r="341" spans="1:15" x14ac:dyDescent="0.25">
      <c r="A341" s="26" t="s">
        <v>314</v>
      </c>
      <c r="B341" s="26" t="s">
        <v>315</v>
      </c>
      <c r="C341" s="26" t="s">
        <v>314</v>
      </c>
      <c r="D341" s="26" t="s">
        <v>315</v>
      </c>
      <c r="E341" s="26" t="s">
        <v>314</v>
      </c>
      <c r="F341" s="26" t="s">
        <v>315</v>
      </c>
      <c r="G341" s="26" t="s">
        <v>314</v>
      </c>
      <c r="H341" s="26" t="s">
        <v>315</v>
      </c>
      <c r="I341" s="26" t="s">
        <v>314</v>
      </c>
      <c r="J341" s="26" t="s">
        <v>315</v>
      </c>
      <c r="K341" s="26" t="s">
        <v>314</v>
      </c>
      <c r="L341" s="26" t="s">
        <v>315</v>
      </c>
      <c r="M341" s="26" t="s">
        <v>314</v>
      </c>
      <c r="N341" s="47"/>
      <c r="O341" s="42"/>
    </row>
    <row r="342" spans="1:15" x14ac:dyDescent="0.25">
      <c r="A342" s="39">
        <f>COUNT(D344:D345)</f>
        <v>2</v>
      </c>
      <c r="B342" s="22" t="s">
        <v>46</v>
      </c>
      <c r="C342" s="22" t="s">
        <v>46</v>
      </c>
      <c r="D342" s="23">
        <f>SUM(D344:D345)</f>
        <v>160.69999999999999</v>
      </c>
      <c r="E342" s="14">
        <f>100*(H342/1000)/D342</f>
        <v>1.0402924704418173</v>
      </c>
      <c r="F342" s="30">
        <f>100*(I342/1000)/D342</f>
        <v>8.7703795892968284E-2</v>
      </c>
      <c r="H342" s="23">
        <f>SUM(H344:H345)</f>
        <v>1671.75</v>
      </c>
      <c r="I342" s="23">
        <f>SUM(I344:I345)</f>
        <v>140.94</v>
      </c>
      <c r="N342" s="46"/>
      <c r="O342" s="42"/>
    </row>
    <row r="343" spans="1:15" x14ac:dyDescent="0.25">
      <c r="A343" s="1" t="s">
        <v>150</v>
      </c>
      <c r="B343" s="1" t="s">
        <v>134</v>
      </c>
      <c r="C343" s="1" t="s">
        <v>141</v>
      </c>
      <c r="D343" s="2" t="s">
        <v>0</v>
      </c>
      <c r="E343" s="2" t="s">
        <v>10</v>
      </c>
      <c r="F343" s="2" t="s">
        <v>9</v>
      </c>
      <c r="G343" s="2" t="s">
        <v>6</v>
      </c>
      <c r="H343" s="2" t="s">
        <v>11</v>
      </c>
      <c r="I343" s="2" t="s">
        <v>12</v>
      </c>
      <c r="J343" s="2" t="s">
        <v>641</v>
      </c>
      <c r="K343" s="2" t="s">
        <v>639</v>
      </c>
      <c r="L343" s="8" t="s">
        <v>5</v>
      </c>
      <c r="M343" s="15" t="s">
        <v>64</v>
      </c>
      <c r="N343" s="45"/>
      <c r="O343" s="42"/>
    </row>
    <row r="344" spans="1:15" x14ac:dyDescent="0.25">
      <c r="B344" s="3" t="s">
        <v>391</v>
      </c>
      <c r="C344" s="3" t="s">
        <v>145</v>
      </c>
      <c r="D344" s="3">
        <v>159</v>
      </c>
      <c r="E344" s="3">
        <v>1.0449999999999999</v>
      </c>
      <c r="F344" s="3">
        <v>8.7999999999999995E-2</v>
      </c>
      <c r="H344" s="9">
        <f>1000*$D344*E344/100</f>
        <v>1661.55</v>
      </c>
      <c r="I344" s="9">
        <f>1000*$D344*F344/100</f>
        <v>139.91999999999999</v>
      </c>
      <c r="J344" s="3" t="s">
        <v>46</v>
      </c>
      <c r="K344" s="3" t="s">
        <v>656</v>
      </c>
      <c r="L344" s="4" t="s">
        <v>313</v>
      </c>
      <c r="N344" s="72" t="s">
        <v>1031</v>
      </c>
      <c r="O344" s="72" t="s">
        <v>1031</v>
      </c>
    </row>
    <row r="345" spans="1:15" x14ac:dyDescent="0.25">
      <c r="B345" s="3" t="s">
        <v>906</v>
      </c>
      <c r="C345" s="3" t="s">
        <v>145</v>
      </c>
      <c r="D345" s="3">
        <v>1.7</v>
      </c>
      <c r="E345" s="3">
        <v>0.6</v>
      </c>
      <c r="F345" s="3">
        <v>0.06</v>
      </c>
      <c r="H345" s="9">
        <f>1000*$D345*E345/100</f>
        <v>10.199999999999999</v>
      </c>
      <c r="I345" s="9">
        <f>1000*$D345*F345/100</f>
        <v>1.02</v>
      </c>
      <c r="J345" s="3" t="s">
        <v>46</v>
      </c>
      <c r="K345" s="3" t="s">
        <v>907</v>
      </c>
      <c r="L345" s="4" t="s">
        <v>149</v>
      </c>
      <c r="N345" s="72" t="s">
        <v>1028</v>
      </c>
      <c r="O345" s="72" t="s">
        <v>1028</v>
      </c>
    </row>
    <row r="346" spans="1:15" x14ac:dyDescent="0.25">
      <c r="N346" s="72"/>
      <c r="O346" s="42"/>
    </row>
    <row r="347" spans="1:15" x14ac:dyDescent="0.25">
      <c r="A347" s="26" t="s">
        <v>325</v>
      </c>
      <c r="B347" s="26" t="s">
        <v>325</v>
      </c>
      <c r="C347" s="26" t="s">
        <v>325</v>
      </c>
      <c r="D347" s="26" t="s">
        <v>325</v>
      </c>
      <c r="E347" s="26" t="s">
        <v>325</v>
      </c>
      <c r="F347" s="26" t="s">
        <v>325</v>
      </c>
      <c r="G347" s="26" t="s">
        <v>325</v>
      </c>
      <c r="H347" s="26" t="s">
        <v>325</v>
      </c>
      <c r="I347" s="26" t="s">
        <v>325</v>
      </c>
      <c r="J347" s="26" t="s">
        <v>325</v>
      </c>
      <c r="K347" s="26" t="s">
        <v>325</v>
      </c>
      <c r="L347" s="26" t="s">
        <v>325</v>
      </c>
      <c r="M347" s="26" t="s">
        <v>325</v>
      </c>
      <c r="N347" s="72"/>
      <c r="O347" s="42"/>
    </row>
    <row r="348" spans="1:15" x14ac:dyDescent="0.25">
      <c r="A348" s="39">
        <f>COUNT(D350:D350)</f>
        <v>1</v>
      </c>
      <c r="B348" s="22" t="s">
        <v>46</v>
      </c>
      <c r="C348" s="22" t="s">
        <v>46</v>
      </c>
      <c r="D348" s="23">
        <f>SUM(D350:D350)</f>
        <v>8.5530000000000008</v>
      </c>
      <c r="E348" s="14">
        <f>100*(H348/1000)/D348</f>
        <v>0.35999999999999993</v>
      </c>
      <c r="F348" s="30">
        <f>100*(I348/1000)/D348</f>
        <v>2.9999999999999988E-2</v>
      </c>
      <c r="H348" s="23">
        <f>SUM(H350:H351)</f>
        <v>30.790800000000001</v>
      </c>
      <c r="I348" s="23">
        <f>SUM(I350:I351)</f>
        <v>2.5658999999999996</v>
      </c>
      <c r="N348" s="72"/>
      <c r="O348" s="42"/>
    </row>
    <row r="349" spans="1:15" x14ac:dyDescent="0.25">
      <c r="A349" s="1" t="s">
        <v>150</v>
      </c>
      <c r="B349" s="1" t="s">
        <v>134</v>
      </c>
      <c r="C349" s="1" t="s">
        <v>141</v>
      </c>
      <c r="D349" s="2" t="s">
        <v>0</v>
      </c>
      <c r="E349" s="2" t="s">
        <v>10</v>
      </c>
      <c r="F349" s="2" t="s">
        <v>9</v>
      </c>
      <c r="G349" s="2" t="s">
        <v>6</v>
      </c>
      <c r="H349" s="2" t="s">
        <v>11</v>
      </c>
      <c r="I349" s="2" t="s">
        <v>12</v>
      </c>
      <c r="J349" s="2" t="s">
        <v>641</v>
      </c>
      <c r="K349" s="2" t="s">
        <v>639</v>
      </c>
      <c r="L349" s="8" t="s">
        <v>5</v>
      </c>
      <c r="M349" s="15" t="s">
        <v>64</v>
      </c>
      <c r="N349" s="72"/>
      <c r="O349" s="42"/>
    </row>
    <row r="350" spans="1:15" x14ac:dyDescent="0.25">
      <c r="B350" s="3" t="s">
        <v>326</v>
      </c>
      <c r="C350" s="3" t="s">
        <v>145</v>
      </c>
      <c r="D350" s="3">
        <v>8.5530000000000008</v>
      </c>
      <c r="E350" s="3">
        <v>0.36</v>
      </c>
      <c r="F350" s="3">
        <v>0.03</v>
      </c>
      <c r="G350" s="3" t="s">
        <v>948</v>
      </c>
      <c r="H350" s="9">
        <f>1000*$D350*E350/100</f>
        <v>30.790800000000001</v>
      </c>
      <c r="I350" s="9">
        <f>1000*$D350*F350/100</f>
        <v>2.5658999999999996</v>
      </c>
      <c r="J350" s="3" t="s">
        <v>46</v>
      </c>
      <c r="K350" s="3" t="s">
        <v>949</v>
      </c>
      <c r="L350" s="4" t="s">
        <v>327</v>
      </c>
      <c r="N350" s="72" t="s">
        <v>1056</v>
      </c>
      <c r="O350" s="72" t="s">
        <v>1056</v>
      </c>
    </row>
    <row r="351" spans="1:15" x14ac:dyDescent="0.25">
      <c r="N351" s="72"/>
      <c r="O351" s="42"/>
    </row>
    <row r="352" spans="1:15" x14ac:dyDescent="0.25">
      <c r="A352" s="26" t="s">
        <v>328</v>
      </c>
      <c r="B352" s="26" t="s">
        <v>329</v>
      </c>
      <c r="C352" s="26" t="s">
        <v>328</v>
      </c>
      <c r="D352" s="26" t="s">
        <v>329</v>
      </c>
      <c r="E352" s="26" t="s">
        <v>328</v>
      </c>
      <c r="F352" s="26" t="s">
        <v>329</v>
      </c>
      <c r="G352" s="26" t="s">
        <v>328</v>
      </c>
      <c r="H352" s="26" t="s">
        <v>329</v>
      </c>
      <c r="I352" s="26" t="s">
        <v>328</v>
      </c>
      <c r="J352" s="26" t="s">
        <v>329</v>
      </c>
      <c r="K352" s="26" t="s">
        <v>328</v>
      </c>
      <c r="L352" s="26" t="s">
        <v>329</v>
      </c>
      <c r="M352" s="26" t="s">
        <v>328</v>
      </c>
      <c r="N352" s="72"/>
      <c r="O352" s="42"/>
    </row>
    <row r="353" spans="1:15" x14ac:dyDescent="0.25">
      <c r="A353" s="1" t="s">
        <v>150</v>
      </c>
      <c r="B353" s="1" t="s">
        <v>134</v>
      </c>
      <c r="C353" s="1" t="s">
        <v>141</v>
      </c>
      <c r="D353" s="2" t="s">
        <v>0</v>
      </c>
      <c r="E353" s="2" t="s">
        <v>10</v>
      </c>
      <c r="F353" s="2" t="s">
        <v>9</v>
      </c>
      <c r="G353" s="2" t="s">
        <v>6</v>
      </c>
      <c r="H353" s="2" t="s">
        <v>11</v>
      </c>
      <c r="I353" s="2" t="s">
        <v>12</v>
      </c>
      <c r="J353" s="2" t="s">
        <v>641</v>
      </c>
      <c r="K353" s="2" t="s">
        <v>639</v>
      </c>
      <c r="L353" s="8" t="s">
        <v>5</v>
      </c>
      <c r="M353" s="15" t="s">
        <v>64</v>
      </c>
      <c r="N353" s="72"/>
      <c r="O353" s="42"/>
    </row>
    <row r="354" spans="1:15" s="48" customFormat="1" x14ac:dyDescent="0.25">
      <c r="A354" s="3"/>
      <c r="B354" s="3" t="s">
        <v>330</v>
      </c>
      <c r="C354" s="3" t="s">
        <v>331</v>
      </c>
      <c r="D354" s="3"/>
      <c r="E354" s="3"/>
      <c r="F354" s="3"/>
      <c r="G354" s="3"/>
      <c r="H354" s="3"/>
      <c r="I354" s="3"/>
      <c r="J354" s="3"/>
      <c r="K354" s="3"/>
      <c r="L354" s="4"/>
      <c r="M354" s="4"/>
      <c r="N354" s="72" t="s">
        <v>602</v>
      </c>
      <c r="O354" s="42" t="s">
        <v>602</v>
      </c>
    </row>
    <row r="355" spans="1:15" s="48" customForma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4"/>
      <c r="M355" s="4"/>
      <c r="N355" s="72"/>
      <c r="O355" s="42"/>
    </row>
    <row r="356" spans="1:15" s="48" customFormat="1" x14ac:dyDescent="0.25">
      <c r="A356" s="26" t="s">
        <v>158</v>
      </c>
      <c r="B356" s="26" t="s">
        <v>158</v>
      </c>
      <c r="C356" s="26" t="s">
        <v>158</v>
      </c>
      <c r="D356" s="26" t="s">
        <v>158</v>
      </c>
      <c r="E356" s="26" t="s">
        <v>158</v>
      </c>
      <c r="F356" s="26" t="s">
        <v>158</v>
      </c>
      <c r="G356" s="26" t="s">
        <v>158</v>
      </c>
      <c r="H356" s="26" t="s">
        <v>158</v>
      </c>
      <c r="I356" s="26" t="s">
        <v>158</v>
      </c>
      <c r="J356" s="26" t="s">
        <v>158</v>
      </c>
      <c r="K356" s="26" t="s">
        <v>158</v>
      </c>
      <c r="L356" s="26" t="s">
        <v>158</v>
      </c>
      <c r="M356" s="26" t="s">
        <v>158</v>
      </c>
      <c r="N356" s="72"/>
      <c r="O356" s="42"/>
    </row>
    <row r="357" spans="1:15" s="48" customFormat="1" x14ac:dyDescent="0.25">
      <c r="A357" s="39">
        <f>COUNT(D359:D360)</f>
        <v>2</v>
      </c>
      <c r="B357" s="22" t="s">
        <v>46</v>
      </c>
      <c r="C357" s="22" t="s">
        <v>46</v>
      </c>
      <c r="D357" s="23">
        <f>SUM(D359:D360)</f>
        <v>323.149</v>
      </c>
      <c r="E357" s="14">
        <f>100*(H357/1000)/D357</f>
        <v>0.61207672002698454</v>
      </c>
      <c r="F357" s="30">
        <f>100*(I357/1000)/D357</f>
        <v>0.21194563498571867</v>
      </c>
      <c r="G357" s="3"/>
      <c r="H357" s="23">
        <f>SUM(H359:H360)</f>
        <v>1977.9198000000001</v>
      </c>
      <c r="I357" s="23">
        <f>SUM(I359:I360)</f>
        <v>684.90019999999993</v>
      </c>
      <c r="J357" s="3"/>
      <c r="K357" s="3"/>
      <c r="L357" s="4"/>
      <c r="M357" s="4"/>
      <c r="N357" s="72"/>
      <c r="O357" s="42"/>
    </row>
    <row r="358" spans="1:15" s="48" customFormat="1" x14ac:dyDescent="0.25">
      <c r="A358" s="1" t="s">
        <v>150</v>
      </c>
      <c r="B358" s="1" t="s">
        <v>134</v>
      </c>
      <c r="C358" s="1" t="s">
        <v>141</v>
      </c>
      <c r="D358" s="2" t="s">
        <v>0</v>
      </c>
      <c r="E358" s="2" t="s">
        <v>10</v>
      </c>
      <c r="F358" s="2" t="s">
        <v>9</v>
      </c>
      <c r="G358" s="2" t="s">
        <v>6</v>
      </c>
      <c r="H358" s="2" t="s">
        <v>11</v>
      </c>
      <c r="I358" s="2" t="s">
        <v>12</v>
      </c>
      <c r="J358" s="2" t="s">
        <v>44</v>
      </c>
      <c r="K358" s="2" t="s">
        <v>639</v>
      </c>
      <c r="L358" s="8" t="s">
        <v>5</v>
      </c>
      <c r="M358" s="15" t="s">
        <v>64</v>
      </c>
      <c r="N358" s="72"/>
      <c r="O358" s="42"/>
    </row>
    <row r="359" spans="1:15" s="48" customFormat="1" x14ac:dyDescent="0.25">
      <c r="A359" s="3"/>
      <c r="B359" s="3" t="s">
        <v>349</v>
      </c>
      <c r="C359" s="3" t="s">
        <v>145</v>
      </c>
      <c r="D359" s="5">
        <f>6.527+53.277+0.672+20.247+0.766+19.163</f>
        <v>100.652</v>
      </c>
      <c r="E359" s="5">
        <f>(0.55*6.527+0.69*53.277+0.49*0.672+0.68*20.247+0.49*0.766+0.66*19.163)/D359</f>
        <v>0.67034077812661452</v>
      </c>
      <c r="F359" s="5">
        <f>(0.47*6.527+0.22*53.277+0.43*0.672+0.19*20.247+0.39*0.766+0.19*19.163)/D359</f>
        <v>0.22716120891785557</v>
      </c>
      <c r="G359" s="3"/>
      <c r="H359" s="9">
        <f>1000*$D359*E359/100</f>
        <v>674.71140000000003</v>
      </c>
      <c r="I359" s="9">
        <f>1000*$D359*F359/100</f>
        <v>228.64230000000001</v>
      </c>
      <c r="J359" s="3" t="s">
        <v>46</v>
      </c>
      <c r="K359" s="3" t="s">
        <v>841</v>
      </c>
      <c r="L359" s="4" t="s">
        <v>350</v>
      </c>
      <c r="M359" s="4"/>
      <c r="N359" s="72" t="s">
        <v>1035</v>
      </c>
      <c r="O359" s="72" t="s">
        <v>1035</v>
      </c>
    </row>
    <row r="360" spans="1:15" s="48" customFormat="1" x14ac:dyDescent="0.25">
      <c r="A360" s="3"/>
      <c r="B360" s="3" t="s">
        <v>351</v>
      </c>
      <c r="C360" s="3" t="s">
        <v>145</v>
      </c>
      <c r="D360" s="5">
        <f>6.625+33.251+14.79+167.831</f>
        <v>222.49699999999999</v>
      </c>
      <c r="E360" s="5">
        <f>(0.53*6.625+0.6*33.251+0.53*14.79+0.59*167.831)/D360</f>
        <v>0.58571953779152075</v>
      </c>
      <c r="F360" s="5">
        <f>(0.38*6.625+0.21*33.251+0.4*14.79+0.18*167.831)/D360</f>
        <v>0.2050624952246547</v>
      </c>
      <c r="G360" s="3"/>
      <c r="H360" s="9">
        <f>1000*$D360*E360/100</f>
        <v>1303.2084</v>
      </c>
      <c r="I360" s="9">
        <f>1000*$D360*F360/100</f>
        <v>456.25789999999995</v>
      </c>
      <c r="J360" s="3" t="s">
        <v>46</v>
      </c>
      <c r="K360" s="3" t="s">
        <v>841</v>
      </c>
      <c r="L360" s="4" t="s">
        <v>350</v>
      </c>
      <c r="M360" s="4"/>
      <c r="N360" s="72" t="s">
        <v>1035</v>
      </c>
      <c r="O360" s="72" t="s">
        <v>1035</v>
      </c>
    </row>
    <row r="361" spans="1:15" s="48" customForma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4"/>
      <c r="M361" s="4"/>
      <c r="N361" s="72"/>
      <c r="O361" s="42"/>
    </row>
    <row r="362" spans="1:15" s="48" customFormat="1" x14ac:dyDescent="0.25">
      <c r="A362" s="26" t="s">
        <v>156</v>
      </c>
      <c r="B362" s="26" t="s">
        <v>156</v>
      </c>
      <c r="C362" s="26" t="s">
        <v>156</v>
      </c>
      <c r="D362" s="26" t="s">
        <v>156</v>
      </c>
      <c r="E362" s="26" t="s">
        <v>156</v>
      </c>
      <c r="F362" s="26" t="s">
        <v>156</v>
      </c>
      <c r="G362" s="26" t="s">
        <v>156</v>
      </c>
      <c r="H362" s="26" t="s">
        <v>156</v>
      </c>
      <c r="I362" s="26" t="s">
        <v>156</v>
      </c>
      <c r="J362" s="26" t="s">
        <v>156</v>
      </c>
      <c r="K362" s="26" t="s">
        <v>156</v>
      </c>
      <c r="L362" s="26" t="s">
        <v>156</v>
      </c>
      <c r="M362" s="26" t="s">
        <v>156</v>
      </c>
      <c r="N362" s="72"/>
      <c r="O362" s="42"/>
    </row>
    <row r="363" spans="1:15" s="48" customFormat="1" x14ac:dyDescent="0.25">
      <c r="A363" s="39">
        <f>COUNT(D365:D369)</f>
        <v>5</v>
      </c>
      <c r="B363" s="22" t="s">
        <v>46</v>
      </c>
      <c r="C363" s="22" t="s">
        <v>46</v>
      </c>
      <c r="D363" s="23">
        <f>SUM(D365:D369)</f>
        <v>214.78</v>
      </c>
      <c r="E363" s="14">
        <f>100*(H363/1000)/D363</f>
        <v>0.92791228233541301</v>
      </c>
      <c r="F363" s="30">
        <f>100*(I363/1000)/D363</f>
        <v>6.6707328429090232E-2</v>
      </c>
      <c r="G363" s="3"/>
      <c r="H363" s="23">
        <f>SUM(H365:H369)</f>
        <v>1992.9699999999998</v>
      </c>
      <c r="I363" s="23">
        <f>SUM(I365:I369)</f>
        <v>143.274</v>
      </c>
      <c r="J363" s="3"/>
      <c r="K363" s="3"/>
      <c r="L363" s="4"/>
      <c r="M363" s="4"/>
      <c r="N363" s="72"/>
      <c r="O363" s="42"/>
    </row>
    <row r="364" spans="1:15" s="48" customFormat="1" x14ac:dyDescent="0.25">
      <c r="A364" s="1" t="s">
        <v>150</v>
      </c>
      <c r="B364" s="1" t="s">
        <v>134</v>
      </c>
      <c r="C364" s="1" t="s">
        <v>141</v>
      </c>
      <c r="D364" s="2" t="s">
        <v>0</v>
      </c>
      <c r="E364" s="2" t="s">
        <v>10</v>
      </c>
      <c r="F364" s="2" t="s">
        <v>9</v>
      </c>
      <c r="G364" s="2" t="s">
        <v>6</v>
      </c>
      <c r="H364" s="2" t="s">
        <v>11</v>
      </c>
      <c r="I364" s="2" t="s">
        <v>12</v>
      </c>
      <c r="J364" s="2" t="s">
        <v>641</v>
      </c>
      <c r="K364" s="2" t="s">
        <v>639</v>
      </c>
      <c r="L364" s="8" t="s">
        <v>5</v>
      </c>
      <c r="M364" s="15" t="s">
        <v>64</v>
      </c>
      <c r="N364" s="72"/>
      <c r="O364" s="42"/>
    </row>
    <row r="365" spans="1:15" s="48" customFormat="1" x14ac:dyDescent="0.25">
      <c r="A365" s="3"/>
      <c r="B365" s="3" t="s">
        <v>430</v>
      </c>
      <c r="C365" s="3" t="s">
        <v>145</v>
      </c>
      <c r="D365" s="34">
        <v>63.9</v>
      </c>
      <c r="E365" s="34" t="s">
        <v>435</v>
      </c>
      <c r="F365" s="34">
        <v>0.15</v>
      </c>
      <c r="G365" s="3"/>
      <c r="H365" s="36">
        <f>1000*D365*E365/100</f>
        <v>658.17</v>
      </c>
      <c r="I365" s="36">
        <f>1000*D365*F365/100</f>
        <v>95.85</v>
      </c>
      <c r="J365" s="3" t="s">
        <v>46</v>
      </c>
      <c r="K365" s="34" t="s">
        <v>908</v>
      </c>
      <c r="L365" s="4" t="s">
        <v>442</v>
      </c>
      <c r="M365" s="35" t="s">
        <v>380</v>
      </c>
      <c r="N365" s="72" t="s">
        <v>1031</v>
      </c>
      <c r="O365" s="72" t="s">
        <v>1031</v>
      </c>
    </row>
    <row r="366" spans="1:15" s="48" customFormat="1" x14ac:dyDescent="0.25">
      <c r="A366" s="3"/>
      <c r="B366" s="3" t="s">
        <v>431</v>
      </c>
      <c r="C366" s="3" t="s">
        <v>145</v>
      </c>
      <c r="D366" s="34">
        <v>64.599999999999994</v>
      </c>
      <c r="E366" s="34" t="s">
        <v>436</v>
      </c>
      <c r="F366" s="3"/>
      <c r="G366" s="3"/>
      <c r="H366" s="36">
        <f>1000*D366*E366/100</f>
        <v>568.4799999999999</v>
      </c>
      <c r="I366" s="3"/>
      <c r="J366" s="3" t="s">
        <v>46</v>
      </c>
      <c r="K366" s="34" t="s">
        <v>908</v>
      </c>
      <c r="L366" s="4" t="s">
        <v>440</v>
      </c>
      <c r="M366" s="35" t="s">
        <v>380</v>
      </c>
      <c r="N366" s="72" t="s">
        <v>1031</v>
      </c>
      <c r="O366" s="72" t="s">
        <v>1031</v>
      </c>
    </row>
    <row r="367" spans="1:15" s="48" customFormat="1" x14ac:dyDescent="0.25">
      <c r="A367" s="3"/>
      <c r="B367" s="3" t="s">
        <v>432</v>
      </c>
      <c r="C367" s="3" t="s">
        <v>145</v>
      </c>
      <c r="D367" s="34">
        <v>40.880000000000003</v>
      </c>
      <c r="E367" s="34" t="s">
        <v>437</v>
      </c>
      <c r="F367" s="34">
        <v>0.08</v>
      </c>
      <c r="G367" s="3"/>
      <c r="H367" s="36">
        <f>1000*D367*E367/100</f>
        <v>327.04000000000002</v>
      </c>
      <c r="I367" s="36">
        <f>1000*D367*F367/100</f>
        <v>32.704000000000001</v>
      </c>
      <c r="J367" s="3" t="s">
        <v>46</v>
      </c>
      <c r="K367" s="34" t="s">
        <v>908</v>
      </c>
      <c r="L367" s="4" t="s">
        <v>441</v>
      </c>
      <c r="M367" s="35" t="s">
        <v>380</v>
      </c>
      <c r="N367" s="72" t="s">
        <v>602</v>
      </c>
      <c r="O367" s="42" t="s">
        <v>602</v>
      </c>
    </row>
    <row r="368" spans="1:15" s="48" customFormat="1" x14ac:dyDescent="0.25">
      <c r="A368" s="3"/>
      <c r="B368" s="3" t="s">
        <v>433</v>
      </c>
      <c r="C368" s="3" t="s">
        <v>145</v>
      </c>
      <c r="D368" s="34">
        <v>18.399999999999999</v>
      </c>
      <c r="E368" s="34" t="s">
        <v>438</v>
      </c>
      <c r="F368" s="34">
        <v>0.08</v>
      </c>
      <c r="G368" s="3"/>
      <c r="H368" s="36">
        <f>1000*D368*E368/100</f>
        <v>169.28</v>
      </c>
      <c r="I368" s="36">
        <f>1000*D368*F368/100</f>
        <v>14.72</v>
      </c>
      <c r="J368" s="3" t="s">
        <v>46</v>
      </c>
      <c r="K368" s="34" t="s">
        <v>908</v>
      </c>
      <c r="L368" s="4" t="s">
        <v>441</v>
      </c>
      <c r="M368" s="35" t="s">
        <v>380</v>
      </c>
      <c r="N368" s="72" t="s">
        <v>1031</v>
      </c>
      <c r="O368" s="72" t="s">
        <v>1031</v>
      </c>
    </row>
    <row r="369" spans="1:15" s="48" customFormat="1" x14ac:dyDescent="0.25">
      <c r="A369" s="3"/>
      <c r="B369" s="3" t="s">
        <v>434</v>
      </c>
      <c r="C369" s="3" t="s">
        <v>145</v>
      </c>
      <c r="D369" s="34">
        <v>27</v>
      </c>
      <c r="E369" s="34" t="s">
        <v>439</v>
      </c>
      <c r="F369" s="3"/>
      <c r="G369" s="3"/>
      <c r="H369" s="36">
        <f>1000*D369*E369/100</f>
        <v>270</v>
      </c>
      <c r="I369" s="3"/>
      <c r="J369" s="3" t="s">
        <v>46</v>
      </c>
      <c r="K369" s="34" t="s">
        <v>908</v>
      </c>
      <c r="L369" s="4" t="s">
        <v>441</v>
      </c>
      <c r="M369" s="35" t="s">
        <v>380</v>
      </c>
      <c r="N369" s="72" t="s">
        <v>1036</v>
      </c>
      <c r="O369" s="42" t="s">
        <v>1036</v>
      </c>
    </row>
    <row r="370" spans="1:15" x14ac:dyDescent="0.25">
      <c r="N370" s="46"/>
      <c r="O370" s="42"/>
    </row>
    <row r="371" spans="1:15" x14ac:dyDescent="0.25">
      <c r="A371" s="26" t="s">
        <v>446</v>
      </c>
      <c r="B371" s="26" t="s">
        <v>446</v>
      </c>
      <c r="C371" s="26" t="s">
        <v>446</v>
      </c>
      <c r="D371" s="26" t="s">
        <v>446</v>
      </c>
      <c r="E371" s="26" t="s">
        <v>446</v>
      </c>
      <c r="F371" s="26" t="s">
        <v>446</v>
      </c>
      <c r="G371" s="26" t="s">
        <v>446</v>
      </c>
      <c r="H371" s="26" t="s">
        <v>446</v>
      </c>
      <c r="I371" s="26" t="s">
        <v>446</v>
      </c>
      <c r="J371" s="26" t="s">
        <v>446</v>
      </c>
      <c r="K371" s="26" t="s">
        <v>446</v>
      </c>
      <c r="L371" s="26" t="s">
        <v>446</v>
      </c>
      <c r="M371" s="26" t="s">
        <v>446</v>
      </c>
      <c r="N371" s="47"/>
      <c r="O371" s="42"/>
    </row>
    <row r="372" spans="1:15" x14ac:dyDescent="0.25">
      <c r="A372" s="39">
        <f>COUNT(D374:D376)</f>
        <v>3</v>
      </c>
      <c r="B372" s="22" t="s">
        <v>46</v>
      </c>
      <c r="C372" s="22" t="s">
        <v>46</v>
      </c>
      <c r="D372" s="23">
        <f>SUM(D374:D376)</f>
        <v>266.39999999999998</v>
      </c>
      <c r="E372" s="14">
        <f>100*(H372/1000)/D372</f>
        <v>1.3435810810810815</v>
      </c>
      <c r="F372" s="30">
        <f>100*(I372/1000)/D372</f>
        <v>6.6036036036036042E-2</v>
      </c>
      <c r="H372" s="23">
        <f>SUM(H374:H376)</f>
        <v>3579.3</v>
      </c>
      <c r="I372" s="23">
        <f>SUM(I374:I376)</f>
        <v>175.92</v>
      </c>
      <c r="N372" s="46"/>
      <c r="O372" s="42"/>
    </row>
    <row r="373" spans="1:15" x14ac:dyDescent="0.25">
      <c r="A373" s="1" t="s">
        <v>150</v>
      </c>
      <c r="B373" s="1" t="s">
        <v>134</v>
      </c>
      <c r="C373" s="1" t="s">
        <v>141</v>
      </c>
      <c r="D373" s="2" t="s">
        <v>0</v>
      </c>
      <c r="E373" s="2" t="s">
        <v>10</v>
      </c>
      <c r="F373" s="2" t="s">
        <v>9</v>
      </c>
      <c r="G373" s="2" t="s">
        <v>6</v>
      </c>
      <c r="H373" s="2" t="s">
        <v>11</v>
      </c>
      <c r="I373" s="2" t="s">
        <v>12</v>
      </c>
      <c r="J373" s="2" t="s">
        <v>641</v>
      </c>
      <c r="K373" s="2" t="s">
        <v>639</v>
      </c>
      <c r="L373" s="8" t="s">
        <v>5</v>
      </c>
      <c r="M373" s="15" t="s">
        <v>64</v>
      </c>
      <c r="N373" s="45"/>
      <c r="O373" s="42"/>
    </row>
    <row r="374" spans="1:15" x14ac:dyDescent="0.25">
      <c r="B374" s="3" t="s">
        <v>447</v>
      </c>
      <c r="C374" s="3" t="s">
        <v>145</v>
      </c>
      <c r="D374" s="34">
        <v>185</v>
      </c>
      <c r="E374" s="34" t="s">
        <v>450</v>
      </c>
      <c r="F374" s="34">
        <v>0.08</v>
      </c>
      <c r="H374" s="36">
        <f>1000*D374*E374/100</f>
        <v>2423.5</v>
      </c>
      <c r="I374" s="36">
        <f>1000*D374*F374/100</f>
        <v>148</v>
      </c>
      <c r="J374" s="3" t="s">
        <v>46</v>
      </c>
      <c r="K374" s="34" t="s">
        <v>908</v>
      </c>
      <c r="L374" s="4" t="s">
        <v>453</v>
      </c>
      <c r="M374" s="35" t="s">
        <v>380</v>
      </c>
      <c r="N374" s="72" t="s">
        <v>1044</v>
      </c>
      <c r="O374" s="72" t="s">
        <v>1044</v>
      </c>
    </row>
    <row r="375" spans="1:15" x14ac:dyDescent="0.25">
      <c r="B375" s="3" t="s">
        <v>448</v>
      </c>
      <c r="C375" s="3" t="s">
        <v>145</v>
      </c>
      <c r="D375" s="34">
        <v>46.4</v>
      </c>
      <c r="E375" s="34" t="s">
        <v>451</v>
      </c>
      <c r="F375" s="34">
        <v>0.03</v>
      </c>
      <c r="H375" s="36">
        <f>1000*D375*E375/100</f>
        <v>672.8</v>
      </c>
      <c r="I375" s="36">
        <f>1000*D375*F375/100</f>
        <v>13.92</v>
      </c>
      <c r="J375" s="3" t="s">
        <v>46</v>
      </c>
      <c r="K375" s="34" t="s">
        <v>908</v>
      </c>
      <c r="L375" s="4" t="s">
        <v>453</v>
      </c>
      <c r="M375" s="35" t="s">
        <v>380</v>
      </c>
      <c r="N375" s="72" t="s">
        <v>1043</v>
      </c>
      <c r="O375" s="72" t="s">
        <v>1043</v>
      </c>
    </row>
    <row r="376" spans="1:15" x14ac:dyDescent="0.25">
      <c r="B376" s="3" t="s">
        <v>449</v>
      </c>
      <c r="C376" s="3" t="s">
        <v>145</v>
      </c>
      <c r="D376" s="34">
        <v>35</v>
      </c>
      <c r="E376" s="34" t="s">
        <v>452</v>
      </c>
      <c r="F376" s="34">
        <v>0.04</v>
      </c>
      <c r="H376" s="36">
        <f>1000*D376*E376/100</f>
        <v>482.99999999999994</v>
      </c>
      <c r="I376" s="36">
        <f>1000*D376*F376/100</f>
        <v>14</v>
      </c>
      <c r="J376" s="3" t="s">
        <v>46</v>
      </c>
      <c r="K376" s="34" t="s">
        <v>908</v>
      </c>
      <c r="L376" s="4" t="s">
        <v>453</v>
      </c>
      <c r="M376" s="35" t="s">
        <v>380</v>
      </c>
      <c r="N376" s="72" t="s">
        <v>1043</v>
      </c>
      <c r="O376" s="72" t="s">
        <v>1043</v>
      </c>
    </row>
    <row r="377" spans="1:15" x14ac:dyDescent="0.25">
      <c r="N377" s="72"/>
      <c r="O377" s="42"/>
    </row>
    <row r="378" spans="1:15" x14ac:dyDescent="0.25">
      <c r="A378" s="26" t="s">
        <v>455</v>
      </c>
      <c r="B378" s="26" t="s">
        <v>456</v>
      </c>
      <c r="C378" s="26" t="s">
        <v>455</v>
      </c>
      <c r="D378" s="26" t="s">
        <v>456</v>
      </c>
      <c r="E378" s="26" t="s">
        <v>455</v>
      </c>
      <c r="F378" s="26" t="s">
        <v>456</v>
      </c>
      <c r="G378" s="26" t="s">
        <v>455</v>
      </c>
      <c r="H378" s="26" t="s">
        <v>456</v>
      </c>
      <c r="I378" s="26" t="s">
        <v>455</v>
      </c>
      <c r="J378" s="26" t="s">
        <v>456</v>
      </c>
      <c r="K378" s="26" t="s">
        <v>455</v>
      </c>
      <c r="L378" s="26" t="s">
        <v>456</v>
      </c>
      <c r="M378" s="26" t="s">
        <v>455</v>
      </c>
      <c r="N378" s="72"/>
      <c r="O378" s="42"/>
    </row>
    <row r="379" spans="1:15" x14ac:dyDescent="0.25">
      <c r="A379" s="39">
        <f>COUNT(D381:D381)</f>
        <v>1</v>
      </c>
      <c r="B379" s="22" t="s">
        <v>46</v>
      </c>
      <c r="C379" s="22" t="s">
        <v>46</v>
      </c>
      <c r="D379" s="23">
        <f>SUM(D381:D381)</f>
        <v>293</v>
      </c>
      <c r="E379" s="14">
        <f>100*(H379/1000)/D379</f>
        <v>1.4600000000000002</v>
      </c>
      <c r="F379" s="30">
        <f>100*(I379/1000)/D379</f>
        <v>0.11000000000000001</v>
      </c>
      <c r="H379" s="23">
        <f>SUM(H381:H384)</f>
        <v>4277.8</v>
      </c>
      <c r="I379" s="23">
        <f>SUM(I381:I384)</f>
        <v>322.3</v>
      </c>
      <c r="N379" s="72"/>
      <c r="O379" s="42"/>
    </row>
    <row r="380" spans="1:15" x14ac:dyDescent="0.25">
      <c r="A380" s="1" t="s">
        <v>150</v>
      </c>
      <c r="B380" s="1" t="s">
        <v>134</v>
      </c>
      <c r="C380" s="1" t="s">
        <v>141</v>
      </c>
      <c r="D380" s="2" t="s">
        <v>0</v>
      </c>
      <c r="E380" s="2" t="s">
        <v>10</v>
      </c>
      <c r="F380" s="2" t="s">
        <v>9</v>
      </c>
      <c r="G380" s="2" t="s">
        <v>6</v>
      </c>
      <c r="H380" s="2" t="s">
        <v>11</v>
      </c>
      <c r="I380" s="2" t="s">
        <v>12</v>
      </c>
      <c r="J380" s="2" t="s">
        <v>641</v>
      </c>
      <c r="K380" s="2" t="s">
        <v>639</v>
      </c>
      <c r="L380" s="8" t="s">
        <v>5</v>
      </c>
      <c r="M380" s="15" t="s">
        <v>64</v>
      </c>
      <c r="N380" s="72"/>
      <c r="O380" s="42"/>
    </row>
    <row r="381" spans="1:15" x14ac:dyDescent="0.25">
      <c r="B381" s="3" t="s">
        <v>457</v>
      </c>
      <c r="C381" s="3" t="s">
        <v>145</v>
      </c>
      <c r="D381" s="34">
        <v>293</v>
      </c>
      <c r="E381" s="34">
        <v>1.46</v>
      </c>
      <c r="F381" s="34">
        <v>0.11</v>
      </c>
      <c r="H381" s="36">
        <f>1000*D381*E381/100</f>
        <v>4277.8</v>
      </c>
      <c r="I381" s="36">
        <f>1000*D381*F381/100</f>
        <v>322.3</v>
      </c>
      <c r="J381" s="3" t="s">
        <v>46</v>
      </c>
      <c r="K381" s="34" t="s">
        <v>908</v>
      </c>
      <c r="L381" s="4" t="s">
        <v>458</v>
      </c>
      <c r="M381" s="35" t="s">
        <v>380</v>
      </c>
      <c r="N381" s="72" t="s">
        <v>1050</v>
      </c>
      <c r="O381" s="72" t="s">
        <v>1050</v>
      </c>
    </row>
    <row r="382" spans="1:15" x14ac:dyDescent="0.25">
      <c r="L382" s="3"/>
      <c r="M382" s="3"/>
      <c r="N382" s="72"/>
      <c r="O382" s="72"/>
    </row>
    <row r="383" spans="1:15" x14ac:dyDescent="0.25">
      <c r="L383" s="3"/>
      <c r="M383" s="3"/>
      <c r="N383" s="72"/>
      <c r="O383" s="72"/>
    </row>
    <row r="384" spans="1:15" x14ac:dyDescent="0.25">
      <c r="N384" s="72"/>
      <c r="O384" s="42"/>
    </row>
    <row r="385" spans="1:15" x14ac:dyDescent="0.25">
      <c r="A385" s="26" t="s">
        <v>459</v>
      </c>
      <c r="B385" s="26" t="s">
        <v>459</v>
      </c>
      <c r="C385" s="26" t="s">
        <v>459</v>
      </c>
      <c r="D385" s="26" t="s">
        <v>459</v>
      </c>
      <c r="E385" s="26" t="s">
        <v>459</v>
      </c>
      <c r="F385" s="26" t="s">
        <v>459</v>
      </c>
      <c r="G385" s="26" t="s">
        <v>459</v>
      </c>
      <c r="H385" s="26" t="s">
        <v>459</v>
      </c>
      <c r="I385" s="26" t="s">
        <v>459</v>
      </c>
      <c r="J385" s="26" t="s">
        <v>459</v>
      </c>
      <c r="K385" s="26" t="s">
        <v>459</v>
      </c>
      <c r="L385" s="26" t="s">
        <v>459</v>
      </c>
      <c r="M385" s="26" t="s">
        <v>459</v>
      </c>
      <c r="N385" s="72"/>
      <c r="O385" s="42"/>
    </row>
    <row r="386" spans="1:15" x14ac:dyDescent="0.25">
      <c r="A386" s="39">
        <f>COUNT(D388:D388)</f>
        <v>1</v>
      </c>
      <c r="B386" s="22" t="s">
        <v>46</v>
      </c>
      <c r="C386" s="22" t="s">
        <v>46</v>
      </c>
      <c r="D386" s="23">
        <f>SUM(D388:D388)</f>
        <v>17</v>
      </c>
      <c r="E386" s="14">
        <f>100*(H386/1000)/D386</f>
        <v>1.3</v>
      </c>
      <c r="H386" s="23">
        <f>SUM(H388:H388)</f>
        <v>221</v>
      </c>
      <c r="I386" s="23">
        <f>SUM(I388:I388)</f>
        <v>0</v>
      </c>
      <c r="N386" s="72"/>
      <c r="O386" s="42"/>
    </row>
    <row r="387" spans="1:15" x14ac:dyDescent="0.25">
      <c r="A387" s="1" t="s">
        <v>150</v>
      </c>
      <c r="B387" s="1" t="s">
        <v>134</v>
      </c>
      <c r="C387" s="1" t="s">
        <v>141</v>
      </c>
      <c r="D387" s="2" t="s">
        <v>0</v>
      </c>
      <c r="E387" s="2" t="s">
        <v>10</v>
      </c>
      <c r="F387" s="2" t="s">
        <v>9</v>
      </c>
      <c r="G387" s="2" t="s">
        <v>6</v>
      </c>
      <c r="H387" s="2" t="s">
        <v>11</v>
      </c>
      <c r="I387" s="2" t="s">
        <v>12</v>
      </c>
      <c r="J387" s="2" t="s">
        <v>641</v>
      </c>
      <c r="K387" s="2" t="s">
        <v>639</v>
      </c>
      <c r="L387" s="8" t="s">
        <v>5</v>
      </c>
      <c r="M387" s="15" t="s">
        <v>64</v>
      </c>
      <c r="N387" s="72"/>
      <c r="O387" s="42"/>
    </row>
    <row r="388" spans="1:15" x14ac:dyDescent="0.25">
      <c r="B388" s="3" t="s">
        <v>460</v>
      </c>
      <c r="C388" s="3" t="s">
        <v>145</v>
      </c>
      <c r="D388" s="34">
        <v>17</v>
      </c>
      <c r="E388" s="34">
        <v>1.3</v>
      </c>
      <c r="H388" s="36">
        <f>1000*D388*E388/100</f>
        <v>221</v>
      </c>
      <c r="J388" s="3" t="s">
        <v>46</v>
      </c>
      <c r="K388" s="34" t="s">
        <v>908</v>
      </c>
      <c r="L388" s="25" t="s">
        <v>102</v>
      </c>
      <c r="M388" s="35" t="s">
        <v>380</v>
      </c>
      <c r="N388" s="72" t="s">
        <v>1050</v>
      </c>
      <c r="O388" s="72" t="s">
        <v>1050</v>
      </c>
    </row>
    <row r="389" spans="1:15" x14ac:dyDescent="0.25">
      <c r="N389" s="72"/>
      <c r="O389" s="42"/>
    </row>
    <row r="390" spans="1:15" x14ac:dyDescent="0.25">
      <c r="A390" s="26" t="s">
        <v>464</v>
      </c>
      <c r="B390" s="26" t="s">
        <v>464</v>
      </c>
      <c r="C390" s="26" t="s">
        <v>464</v>
      </c>
      <c r="D390" s="26" t="s">
        <v>464</v>
      </c>
      <c r="E390" s="26" t="s">
        <v>464</v>
      </c>
      <c r="F390" s="26" t="s">
        <v>464</v>
      </c>
      <c r="G390" s="26" t="s">
        <v>464</v>
      </c>
      <c r="H390" s="26" t="s">
        <v>464</v>
      </c>
      <c r="I390" s="26" t="s">
        <v>464</v>
      </c>
      <c r="J390" s="26" t="s">
        <v>464</v>
      </c>
      <c r="K390" s="26" t="s">
        <v>464</v>
      </c>
      <c r="L390" s="26" t="s">
        <v>464</v>
      </c>
      <c r="M390" s="26" t="s">
        <v>464</v>
      </c>
      <c r="N390" s="72"/>
      <c r="O390" s="42"/>
    </row>
    <row r="391" spans="1:15" x14ac:dyDescent="0.25">
      <c r="A391" s="39">
        <f>COUNT(D393:D395)</f>
        <v>3</v>
      </c>
      <c r="B391" s="22" t="s">
        <v>46</v>
      </c>
      <c r="C391" s="22" t="s">
        <v>46</v>
      </c>
      <c r="D391" s="23">
        <f>SUM(D393:D395)</f>
        <v>155.30500000000001</v>
      </c>
      <c r="E391" s="14">
        <f>100*(H391/1000)/D391</f>
        <v>0.80583175042657995</v>
      </c>
      <c r="F391" s="30">
        <f>100*(I391/1000)/D391</f>
        <v>4.251704710086604E-2</v>
      </c>
      <c r="H391" s="23">
        <f>SUM(H393:H395)</f>
        <v>1251.4970000000001</v>
      </c>
      <c r="I391" s="23">
        <f>SUM(I393:I395)</f>
        <v>66.031100000000009</v>
      </c>
      <c r="N391" s="72"/>
      <c r="O391" s="42"/>
    </row>
    <row r="392" spans="1:15" x14ac:dyDescent="0.25">
      <c r="A392" s="1" t="s">
        <v>150</v>
      </c>
      <c r="B392" s="1" t="s">
        <v>134</v>
      </c>
      <c r="C392" s="1" t="s">
        <v>141</v>
      </c>
      <c r="D392" s="2" t="s">
        <v>0</v>
      </c>
      <c r="E392" s="2" t="s">
        <v>10</v>
      </c>
      <c r="F392" s="2" t="s">
        <v>9</v>
      </c>
      <c r="G392" s="2" t="s">
        <v>6</v>
      </c>
      <c r="H392" s="2" t="s">
        <v>11</v>
      </c>
      <c r="I392" s="2" t="s">
        <v>12</v>
      </c>
      <c r="J392" s="2" t="s">
        <v>641</v>
      </c>
      <c r="K392" s="2" t="s">
        <v>639</v>
      </c>
      <c r="L392" s="8" t="s">
        <v>5</v>
      </c>
      <c r="M392" s="15" t="s">
        <v>64</v>
      </c>
      <c r="N392" s="72"/>
      <c r="O392" s="42"/>
    </row>
    <row r="393" spans="1:15" x14ac:dyDescent="0.25">
      <c r="B393" s="3" t="s">
        <v>465</v>
      </c>
      <c r="C393" s="3" t="s">
        <v>145</v>
      </c>
      <c r="D393" s="34">
        <v>9.6999999999999993</v>
      </c>
      <c r="E393" s="34" t="s">
        <v>470</v>
      </c>
      <c r="F393" s="34" t="s">
        <v>468</v>
      </c>
      <c r="H393" s="36">
        <f>1000*D393*E393/100</f>
        <v>88.27</v>
      </c>
      <c r="I393" s="36">
        <f>1000*D393*F393/100</f>
        <v>5.7229999999999999</v>
      </c>
      <c r="J393" s="3" t="s">
        <v>46</v>
      </c>
      <c r="K393" s="34" t="s">
        <v>908</v>
      </c>
      <c r="L393" s="4" t="s">
        <v>472</v>
      </c>
      <c r="M393" s="35" t="s">
        <v>380</v>
      </c>
      <c r="N393" s="72" t="s">
        <v>1053</v>
      </c>
      <c r="O393" s="72" t="s">
        <v>1053</v>
      </c>
    </row>
    <row r="394" spans="1:15" x14ac:dyDescent="0.25">
      <c r="B394" s="3" t="s">
        <v>466</v>
      </c>
      <c r="C394" s="3" t="s">
        <v>145</v>
      </c>
      <c r="D394" s="34">
        <v>8.6999999999999993</v>
      </c>
      <c r="E394" s="34" t="s">
        <v>471</v>
      </c>
      <c r="F394" s="34" t="s">
        <v>469</v>
      </c>
      <c r="H394" s="36">
        <f>1000*D394*E394/100</f>
        <v>99.18</v>
      </c>
      <c r="I394" s="36">
        <f>1000*D394*F394/100</f>
        <v>4.6980000000000004</v>
      </c>
      <c r="J394" s="3" t="s">
        <v>46</v>
      </c>
      <c r="K394" s="34" t="s">
        <v>908</v>
      </c>
      <c r="L394" s="4" t="s">
        <v>473</v>
      </c>
      <c r="M394" s="35" t="s">
        <v>380</v>
      </c>
      <c r="N394" s="72" t="s">
        <v>1053</v>
      </c>
      <c r="O394" s="72" t="s">
        <v>1053</v>
      </c>
    </row>
    <row r="395" spans="1:15" x14ac:dyDescent="0.25">
      <c r="B395" s="3" t="s">
        <v>673</v>
      </c>
      <c r="C395" s="3" t="s">
        <v>145</v>
      </c>
      <c r="D395" s="3">
        <f>6.709+27.964+6.026+35.341+12.033+48.832</f>
        <v>136.905</v>
      </c>
      <c r="E395" s="20">
        <f>(0.92*6.709+0.81*27.964+0.96*6.026+0.84*35.341+0.74*12.033+0.68*48.832)/$D395</f>
        <v>0.77721558745115238</v>
      </c>
      <c r="F395" s="20">
        <f>(0.06*6.709+0.06*27.964+0.04*6.026+0.04*35.341+0.03*12.033+0.03*48.832)/$D395</f>
        <v>4.0619480661772761E-2</v>
      </c>
      <c r="H395" s="9">
        <f>1000*$D395*E395/100</f>
        <v>1064.047</v>
      </c>
      <c r="I395" s="9">
        <f>1000*$D395*F395/100</f>
        <v>55.610100000000003</v>
      </c>
      <c r="J395" s="3" t="s">
        <v>671</v>
      </c>
      <c r="K395" s="3" t="s">
        <v>672</v>
      </c>
      <c r="L395" s="4" t="s">
        <v>516</v>
      </c>
      <c r="M395" s="4" t="s">
        <v>674</v>
      </c>
      <c r="N395" s="72" t="s">
        <v>1031</v>
      </c>
      <c r="O395" s="72" t="s">
        <v>1031</v>
      </c>
    </row>
    <row r="396" spans="1:15" x14ac:dyDescent="0.25">
      <c r="N396" s="46"/>
      <c r="O396" s="42"/>
    </row>
    <row r="397" spans="1:15" x14ac:dyDescent="0.25">
      <c r="A397" s="26" t="s">
        <v>474</v>
      </c>
      <c r="B397" s="26" t="s">
        <v>474</v>
      </c>
      <c r="C397" s="26" t="s">
        <v>474</v>
      </c>
      <c r="D397" s="26" t="s">
        <v>474</v>
      </c>
      <c r="E397" s="26" t="s">
        <v>474</v>
      </c>
      <c r="F397" s="26" t="s">
        <v>474</v>
      </c>
      <c r="G397" s="26" t="s">
        <v>474</v>
      </c>
      <c r="H397" s="26" t="s">
        <v>474</v>
      </c>
      <c r="I397" s="26" t="s">
        <v>474</v>
      </c>
      <c r="J397" s="26" t="s">
        <v>474</v>
      </c>
      <c r="K397" s="26" t="s">
        <v>474</v>
      </c>
      <c r="L397" s="26" t="s">
        <v>474</v>
      </c>
      <c r="M397" s="26" t="s">
        <v>474</v>
      </c>
      <c r="N397" s="47"/>
      <c r="O397" s="42"/>
    </row>
    <row r="398" spans="1:15" x14ac:dyDescent="0.25">
      <c r="A398" s="39">
        <f>COUNT(D400:D401)</f>
        <v>2</v>
      </c>
      <c r="B398" s="22" t="s">
        <v>46</v>
      </c>
      <c r="C398" s="22" t="s">
        <v>46</v>
      </c>
      <c r="D398" s="23">
        <f>SUM(D400:D401)</f>
        <v>20.5</v>
      </c>
      <c r="E398" s="14">
        <f>100*(H398/1000)/D398</f>
        <v>1.3851219512195121</v>
      </c>
      <c r="F398" s="30">
        <f>100*(I398/1000)/D398</f>
        <v>5.7170731707317068E-2</v>
      </c>
      <c r="H398" s="23">
        <f>SUM(H400:H401)</f>
        <v>283.95</v>
      </c>
      <c r="I398" s="23">
        <f>SUM(I400:I401)</f>
        <v>11.719999999999999</v>
      </c>
      <c r="N398" s="46"/>
      <c r="O398" s="42"/>
    </row>
    <row r="399" spans="1:15" x14ac:dyDescent="0.25">
      <c r="A399" s="1" t="s">
        <v>150</v>
      </c>
      <c r="B399" s="1" t="s">
        <v>134</v>
      </c>
      <c r="C399" s="1" t="s">
        <v>141</v>
      </c>
      <c r="D399" s="2" t="s">
        <v>0</v>
      </c>
      <c r="E399" s="2" t="s">
        <v>10</v>
      </c>
      <c r="F399" s="2" t="s">
        <v>9</v>
      </c>
      <c r="G399" s="2" t="s">
        <v>6</v>
      </c>
      <c r="H399" s="2" t="s">
        <v>11</v>
      </c>
      <c r="I399" s="2" t="s">
        <v>12</v>
      </c>
      <c r="J399" s="2" t="s">
        <v>641</v>
      </c>
      <c r="K399" s="2" t="s">
        <v>639</v>
      </c>
      <c r="L399" s="8" t="s">
        <v>5</v>
      </c>
      <c r="M399" s="15" t="s">
        <v>64</v>
      </c>
      <c r="N399" s="45"/>
      <c r="O399" s="42"/>
    </row>
    <row r="400" spans="1:15" x14ac:dyDescent="0.25">
      <c r="B400" s="3" t="s">
        <v>475</v>
      </c>
      <c r="C400" s="3" t="s">
        <v>144</v>
      </c>
      <c r="D400" s="34">
        <v>13</v>
      </c>
      <c r="E400" s="34">
        <v>1.29</v>
      </c>
      <c r="F400" s="34" t="s">
        <v>468</v>
      </c>
      <c r="H400" s="36">
        <f>1000*D400*E400/100</f>
        <v>167.7</v>
      </c>
      <c r="I400" s="36">
        <f>1000*D400*F400/100</f>
        <v>7.67</v>
      </c>
      <c r="J400" s="3" t="s">
        <v>46</v>
      </c>
      <c r="K400" s="34" t="s">
        <v>908</v>
      </c>
      <c r="L400" s="4" t="s">
        <v>477</v>
      </c>
      <c r="M400" s="35" t="s">
        <v>380</v>
      </c>
      <c r="N400" s="72" t="s">
        <v>1053</v>
      </c>
      <c r="O400" s="72" t="s">
        <v>1053</v>
      </c>
    </row>
    <row r="401" spans="1:15" x14ac:dyDescent="0.25">
      <c r="B401" s="3" t="s">
        <v>476</v>
      </c>
      <c r="C401" s="3" t="s">
        <v>144</v>
      </c>
      <c r="D401" s="34">
        <v>7.5</v>
      </c>
      <c r="E401" s="34">
        <v>1.55</v>
      </c>
      <c r="F401" s="34" t="s">
        <v>469</v>
      </c>
      <c r="H401" s="36">
        <f>1000*D401*E401/100</f>
        <v>116.25</v>
      </c>
      <c r="I401" s="36">
        <f>1000*D401*F401/100</f>
        <v>4.05</v>
      </c>
      <c r="J401" s="3" t="s">
        <v>46</v>
      </c>
      <c r="K401" s="34" t="s">
        <v>908</v>
      </c>
      <c r="L401" s="4" t="s">
        <v>477</v>
      </c>
      <c r="M401" s="35" t="s">
        <v>380</v>
      </c>
      <c r="N401" s="72" t="s">
        <v>1030</v>
      </c>
      <c r="O401" s="72" t="s">
        <v>1030</v>
      </c>
    </row>
    <row r="402" spans="1:15" x14ac:dyDescent="0.25">
      <c r="N402" s="46"/>
      <c r="O402" s="42"/>
    </row>
    <row r="403" spans="1:15" x14ac:dyDescent="0.25">
      <c r="A403" s="26" t="s">
        <v>478</v>
      </c>
      <c r="B403" s="26" t="s">
        <v>479</v>
      </c>
      <c r="C403" s="26" t="s">
        <v>478</v>
      </c>
      <c r="D403" s="26" t="s">
        <v>479</v>
      </c>
      <c r="E403" s="26" t="s">
        <v>478</v>
      </c>
      <c r="F403" s="26" t="s">
        <v>479</v>
      </c>
      <c r="G403" s="26" t="s">
        <v>478</v>
      </c>
      <c r="H403" s="26" t="s">
        <v>479</v>
      </c>
      <c r="I403" s="26" t="s">
        <v>478</v>
      </c>
      <c r="J403" s="26" t="s">
        <v>479</v>
      </c>
      <c r="K403" s="26" t="s">
        <v>478</v>
      </c>
      <c r="L403" s="26" t="s">
        <v>479</v>
      </c>
      <c r="M403" s="26" t="s">
        <v>478</v>
      </c>
      <c r="N403" s="47"/>
      <c r="O403" s="42"/>
    </row>
    <row r="404" spans="1:15" x14ac:dyDescent="0.25">
      <c r="A404" s="39">
        <f>COUNT(D406:D410)</f>
        <v>5</v>
      </c>
      <c r="B404" s="22" t="s">
        <v>46</v>
      </c>
      <c r="C404" s="22" t="s">
        <v>46</v>
      </c>
      <c r="D404" s="23">
        <f>SUM(D406:D410)</f>
        <v>83.973920000000007</v>
      </c>
      <c r="E404" s="14">
        <f>100*(H404/1000)/D404</f>
        <v>0.88369339433004923</v>
      </c>
      <c r="F404" s="30">
        <f>100*(I404/1000)/D404</f>
        <v>9.2725074642222238E-2</v>
      </c>
      <c r="H404" s="23">
        <f>SUM(H406:H410)</f>
        <v>742.07198400000004</v>
      </c>
      <c r="I404" s="23">
        <f>SUM(I406:I410)</f>
        <v>77.864879999999999</v>
      </c>
      <c r="N404" s="46"/>
      <c r="O404" s="42"/>
    </row>
    <row r="405" spans="1:15" x14ac:dyDescent="0.25">
      <c r="A405" s="1" t="s">
        <v>150</v>
      </c>
      <c r="B405" s="1" t="s">
        <v>134</v>
      </c>
      <c r="C405" s="1" t="s">
        <v>141</v>
      </c>
      <c r="D405" s="2" t="s">
        <v>0</v>
      </c>
      <c r="E405" s="2" t="s">
        <v>10</v>
      </c>
      <c r="F405" s="2" t="s">
        <v>9</v>
      </c>
      <c r="G405" s="2" t="s">
        <v>6</v>
      </c>
      <c r="H405" s="2" t="s">
        <v>11</v>
      </c>
      <c r="I405" s="2" t="s">
        <v>12</v>
      </c>
      <c r="J405" s="2" t="s">
        <v>641</v>
      </c>
      <c r="K405" s="2" t="s">
        <v>639</v>
      </c>
      <c r="L405" s="8" t="s">
        <v>5</v>
      </c>
      <c r="M405" s="15" t="s">
        <v>64</v>
      </c>
      <c r="N405" s="45"/>
      <c r="O405" s="42"/>
    </row>
    <row r="406" spans="1:15" x14ac:dyDescent="0.25">
      <c r="B406" s="3" t="s">
        <v>480</v>
      </c>
      <c r="C406" s="3" t="s">
        <v>145</v>
      </c>
      <c r="D406" s="34">
        <v>44.4</v>
      </c>
      <c r="E406" s="34" t="s">
        <v>482</v>
      </c>
      <c r="F406" s="34">
        <v>0.08</v>
      </c>
      <c r="H406" s="36">
        <f>1000*D406*E406/100</f>
        <v>395.16</v>
      </c>
      <c r="I406" s="36">
        <f>1000*D406*F406/100</f>
        <v>35.520000000000003</v>
      </c>
      <c r="J406" s="3" t="s">
        <v>46</v>
      </c>
      <c r="K406" s="34" t="s">
        <v>908</v>
      </c>
      <c r="L406" s="25" t="s">
        <v>102</v>
      </c>
      <c r="M406" s="35" t="s">
        <v>380</v>
      </c>
      <c r="N406" s="72" t="s">
        <v>1031</v>
      </c>
      <c r="O406" s="72" t="s">
        <v>1031</v>
      </c>
    </row>
    <row r="407" spans="1:15" x14ac:dyDescent="0.25">
      <c r="B407" s="3" t="s">
        <v>1117</v>
      </c>
      <c r="C407" s="3" t="s">
        <v>145</v>
      </c>
      <c r="D407" s="10">
        <f>2.1*0.9072</f>
        <v>1.9051200000000001</v>
      </c>
      <c r="E407" s="3">
        <v>1.03</v>
      </c>
      <c r="F407" s="3">
        <v>7.0000000000000007E-2</v>
      </c>
      <c r="G407" s="3" t="s">
        <v>1118</v>
      </c>
      <c r="H407" s="9">
        <f t="shared" ref="H407:H409" si="53">1000*$D407*E407/100</f>
        <v>19.622736000000003</v>
      </c>
      <c r="I407" s="9">
        <f t="shared" ref="I407:I409" si="54">1000*$D407*F407/100</f>
        <v>1.3335840000000001</v>
      </c>
      <c r="J407" s="3" t="s">
        <v>46</v>
      </c>
      <c r="K407" s="3" t="s">
        <v>1119</v>
      </c>
      <c r="L407" s="25" t="s">
        <v>102</v>
      </c>
      <c r="M407" s="3" t="s">
        <v>1120</v>
      </c>
      <c r="N407" s="72" t="s">
        <v>1031</v>
      </c>
      <c r="O407" s="72" t="s">
        <v>1031</v>
      </c>
    </row>
    <row r="408" spans="1:15" x14ac:dyDescent="0.25">
      <c r="B408" s="3" t="s">
        <v>1121</v>
      </c>
      <c r="C408" s="3" t="s">
        <v>145</v>
      </c>
      <c r="D408" s="10">
        <f>(4.8+1.1)*0.9072</f>
        <v>5.3524800000000008</v>
      </c>
      <c r="E408" s="5">
        <f>(0.85*4.8+0.71*1.1)/(4.8+1.1)</f>
        <v>0.82389830508474571</v>
      </c>
      <c r="F408" s="5">
        <f>(0.07*4.8+0.06*1.1)/(4.8+1.1)</f>
        <v>6.8135593220338977E-2</v>
      </c>
      <c r="G408" s="3" t="s">
        <v>1118</v>
      </c>
      <c r="H408" s="9">
        <f t="shared" si="53"/>
        <v>44.098991999999996</v>
      </c>
      <c r="I408" s="9">
        <f t="shared" si="54"/>
        <v>3.6469440000000004</v>
      </c>
      <c r="J408" s="3" t="s">
        <v>46</v>
      </c>
      <c r="K408" s="3" t="s">
        <v>1119</v>
      </c>
      <c r="L408" s="25" t="s">
        <v>102</v>
      </c>
      <c r="M408" s="3" t="s">
        <v>1120</v>
      </c>
      <c r="N408" s="72" t="s">
        <v>1031</v>
      </c>
      <c r="O408" s="72" t="s">
        <v>1031</v>
      </c>
    </row>
    <row r="409" spans="1:15" x14ac:dyDescent="0.25">
      <c r="B409" s="3" t="s">
        <v>1122</v>
      </c>
      <c r="C409" s="3" t="s">
        <v>145</v>
      </c>
      <c r="D409" s="10">
        <f>(5+5.6)*0.9072</f>
        <v>9.61632</v>
      </c>
      <c r="E409" s="5">
        <f>(0.98*5+1.08*5.6)/(5+5.6)</f>
        <v>1.0328301886792453</v>
      </c>
      <c r="F409" s="5">
        <f>(0.1*5+0.11*5.6)/(5+5.6)</f>
        <v>0.10528301886792454</v>
      </c>
      <c r="G409" s="3" t="s">
        <v>1118</v>
      </c>
      <c r="H409" s="9">
        <f t="shared" si="53"/>
        <v>99.320255999999986</v>
      </c>
      <c r="I409" s="9">
        <f t="shared" si="54"/>
        <v>10.124352000000002</v>
      </c>
      <c r="J409" s="3" t="s">
        <v>46</v>
      </c>
      <c r="K409" s="3" t="s">
        <v>1119</v>
      </c>
      <c r="L409" s="25" t="s">
        <v>102</v>
      </c>
      <c r="M409" s="3" t="s">
        <v>1120</v>
      </c>
      <c r="N409" s="72" t="s">
        <v>1031</v>
      </c>
      <c r="O409" s="72" t="s">
        <v>1031</v>
      </c>
    </row>
    <row r="410" spans="1:15" x14ac:dyDescent="0.25">
      <c r="B410" s="3" t="s">
        <v>481</v>
      </c>
      <c r="C410" s="3" t="s">
        <v>145</v>
      </c>
      <c r="D410" s="34">
        <v>22.7</v>
      </c>
      <c r="E410" s="34" t="s">
        <v>483</v>
      </c>
      <c r="F410" s="34">
        <v>0.12</v>
      </c>
      <c r="H410" s="36">
        <f t="shared" ref="H410" si="55">1000*D410*E410/100</f>
        <v>183.87</v>
      </c>
      <c r="I410" s="36">
        <f t="shared" ref="I410" si="56">1000*D410*F410/100</f>
        <v>27.24</v>
      </c>
      <c r="J410" s="3" t="s">
        <v>46</v>
      </c>
      <c r="K410" s="34" t="s">
        <v>908</v>
      </c>
      <c r="L410" s="25" t="s">
        <v>102</v>
      </c>
      <c r="M410" s="35" t="s">
        <v>380</v>
      </c>
      <c r="N410" s="72" t="s">
        <v>1031</v>
      </c>
      <c r="O410" s="72" t="s">
        <v>1031</v>
      </c>
    </row>
    <row r="411" spans="1:15" x14ac:dyDescent="0.25">
      <c r="N411" s="72"/>
      <c r="O411" s="42"/>
    </row>
    <row r="412" spans="1:15" x14ac:dyDescent="0.25">
      <c r="A412" s="26" t="s">
        <v>484</v>
      </c>
      <c r="B412" s="26" t="s">
        <v>484</v>
      </c>
      <c r="C412" s="26" t="s">
        <v>484</v>
      </c>
      <c r="D412" s="26" t="s">
        <v>484</v>
      </c>
      <c r="E412" s="26" t="s">
        <v>484</v>
      </c>
      <c r="F412" s="26" t="s">
        <v>484</v>
      </c>
      <c r="G412" s="26" t="s">
        <v>484</v>
      </c>
      <c r="H412" s="26" t="s">
        <v>484</v>
      </c>
      <c r="I412" s="26" t="s">
        <v>484</v>
      </c>
      <c r="J412" s="26" t="s">
        <v>484</v>
      </c>
      <c r="K412" s="26" t="s">
        <v>484</v>
      </c>
      <c r="L412" s="26" t="s">
        <v>484</v>
      </c>
      <c r="M412" s="26" t="s">
        <v>484</v>
      </c>
      <c r="N412" s="72"/>
      <c r="O412" s="42"/>
    </row>
    <row r="413" spans="1:15" x14ac:dyDescent="0.25">
      <c r="A413" s="39">
        <f>COUNT(D415:D417)</f>
        <v>3</v>
      </c>
      <c r="B413" s="22" t="s">
        <v>46</v>
      </c>
      <c r="C413" s="22" t="s">
        <v>46</v>
      </c>
      <c r="D413" s="23">
        <f>SUM(D415:D417)</f>
        <v>261.60000000000002</v>
      </c>
      <c r="E413" s="14">
        <f>100*(H413/1000)/D413</f>
        <v>0.73016055045871564</v>
      </c>
      <c r="F413" s="30">
        <f>100*(I413/1000)/D413</f>
        <v>3.5932721712538225E-3</v>
      </c>
      <c r="H413" s="23">
        <f>SUM(H415:H417)</f>
        <v>1910.1000000000001</v>
      </c>
      <c r="I413" s="23">
        <f>SUM(I415:I417)</f>
        <v>9.4</v>
      </c>
      <c r="N413" s="72"/>
      <c r="O413" s="42"/>
    </row>
    <row r="414" spans="1:15" x14ac:dyDescent="0.25">
      <c r="A414" s="1" t="s">
        <v>150</v>
      </c>
      <c r="B414" s="1" t="s">
        <v>134</v>
      </c>
      <c r="C414" s="1" t="s">
        <v>141</v>
      </c>
      <c r="D414" s="2" t="s">
        <v>0</v>
      </c>
      <c r="E414" s="2" t="s">
        <v>10</v>
      </c>
      <c r="F414" s="2" t="s">
        <v>9</v>
      </c>
      <c r="G414" s="2" t="s">
        <v>6</v>
      </c>
      <c r="H414" s="2" t="s">
        <v>11</v>
      </c>
      <c r="I414" s="2" t="s">
        <v>12</v>
      </c>
      <c r="J414" s="2" t="s">
        <v>641</v>
      </c>
      <c r="K414" s="2" t="s">
        <v>639</v>
      </c>
      <c r="L414" s="8" t="s">
        <v>5</v>
      </c>
      <c r="M414" s="15" t="s">
        <v>64</v>
      </c>
      <c r="N414" s="72"/>
      <c r="O414" s="42"/>
    </row>
    <row r="415" spans="1:15" x14ac:dyDescent="0.25">
      <c r="B415" s="3" t="s">
        <v>485</v>
      </c>
      <c r="C415" s="3" t="s">
        <v>145</v>
      </c>
      <c r="D415" s="34">
        <v>244.6</v>
      </c>
      <c r="E415" s="34" t="s">
        <v>490</v>
      </c>
      <c r="H415" s="36">
        <f>1000*D415*E415/100</f>
        <v>1712.2</v>
      </c>
      <c r="J415" s="3" t="s">
        <v>46</v>
      </c>
      <c r="K415" s="34" t="s">
        <v>908</v>
      </c>
      <c r="L415" s="25" t="s">
        <v>102</v>
      </c>
      <c r="M415" s="35" t="s">
        <v>380</v>
      </c>
      <c r="N415" s="72" t="s">
        <v>1031</v>
      </c>
      <c r="O415" s="72" t="s">
        <v>1031</v>
      </c>
    </row>
    <row r="416" spans="1:15" x14ac:dyDescent="0.25">
      <c r="B416" s="3" t="s">
        <v>486</v>
      </c>
      <c r="C416" s="3" t="s">
        <v>145</v>
      </c>
      <c r="D416" s="34">
        <v>14</v>
      </c>
      <c r="E416" s="34" t="s">
        <v>491</v>
      </c>
      <c r="F416" s="34" t="s">
        <v>488</v>
      </c>
      <c r="H416" s="36">
        <f>1000*D416*E416/100</f>
        <v>160.99999999999997</v>
      </c>
      <c r="I416" s="36">
        <f>1000*D416*F416/100</f>
        <v>7</v>
      </c>
      <c r="J416" s="3" t="s">
        <v>46</v>
      </c>
      <c r="K416" s="34" t="s">
        <v>908</v>
      </c>
      <c r="L416" s="25" t="s">
        <v>102</v>
      </c>
      <c r="M416" s="35" t="s">
        <v>380</v>
      </c>
      <c r="N416" s="72" t="s">
        <v>1029</v>
      </c>
      <c r="O416" s="72" t="s">
        <v>1029</v>
      </c>
    </row>
    <row r="417" spans="1:15" x14ac:dyDescent="0.25">
      <c r="B417" s="3" t="s">
        <v>487</v>
      </c>
      <c r="C417" s="3" t="s">
        <v>145</v>
      </c>
      <c r="D417" s="34">
        <v>3</v>
      </c>
      <c r="E417" s="34" t="s">
        <v>492</v>
      </c>
      <c r="F417" s="34" t="s">
        <v>489</v>
      </c>
      <c r="H417" s="36">
        <f>1000*D417*E417/100</f>
        <v>36.9</v>
      </c>
      <c r="I417" s="36">
        <f>1000*D417*F417/100</f>
        <v>2.4</v>
      </c>
      <c r="J417" s="3" t="s">
        <v>46</v>
      </c>
      <c r="K417" s="34" t="s">
        <v>908</v>
      </c>
      <c r="L417" s="25" t="s">
        <v>102</v>
      </c>
      <c r="M417" s="35" t="s">
        <v>380</v>
      </c>
      <c r="N417" s="72" t="s">
        <v>1053</v>
      </c>
      <c r="O417" s="72" t="s">
        <v>1053</v>
      </c>
    </row>
    <row r="418" spans="1:15" x14ac:dyDescent="0.25">
      <c r="N418" s="46"/>
      <c r="O418" s="42"/>
    </row>
    <row r="419" spans="1:15" x14ac:dyDescent="0.25">
      <c r="A419" s="26" t="s">
        <v>547</v>
      </c>
      <c r="B419" s="26" t="s">
        <v>547</v>
      </c>
      <c r="C419" s="26" t="s">
        <v>547</v>
      </c>
      <c r="D419" s="26" t="s">
        <v>547</v>
      </c>
      <c r="E419" s="26" t="s">
        <v>547</v>
      </c>
      <c r="F419" s="26" t="s">
        <v>547</v>
      </c>
      <c r="G419" s="26" t="s">
        <v>547</v>
      </c>
      <c r="H419" s="26" t="s">
        <v>547</v>
      </c>
      <c r="I419" s="26" t="s">
        <v>547</v>
      </c>
      <c r="J419" s="26" t="s">
        <v>547</v>
      </c>
      <c r="K419" s="26" t="s">
        <v>547</v>
      </c>
      <c r="L419" s="26" t="s">
        <v>547</v>
      </c>
      <c r="M419" s="26" t="s">
        <v>547</v>
      </c>
      <c r="N419" s="47"/>
      <c r="O419" s="42"/>
    </row>
    <row r="420" spans="1:15" x14ac:dyDescent="0.25">
      <c r="B420" s="22" t="s">
        <v>46</v>
      </c>
      <c r="C420" s="22" t="s">
        <v>46</v>
      </c>
      <c r="L420" s="3"/>
      <c r="M420" s="3"/>
      <c r="N420" s="46"/>
      <c r="O420" s="42"/>
    </row>
    <row r="421" spans="1:15" x14ac:dyDescent="0.25">
      <c r="A421" s="1" t="s">
        <v>150</v>
      </c>
      <c r="B421" s="1" t="s">
        <v>134</v>
      </c>
      <c r="C421" s="1" t="s">
        <v>141</v>
      </c>
      <c r="D421" s="2" t="s">
        <v>0</v>
      </c>
      <c r="E421" s="2" t="s">
        <v>10</v>
      </c>
      <c r="F421" s="2" t="s">
        <v>9</v>
      </c>
      <c r="G421" s="2" t="s">
        <v>6</v>
      </c>
      <c r="H421" s="2" t="s">
        <v>11</v>
      </c>
      <c r="I421" s="2" t="s">
        <v>12</v>
      </c>
      <c r="J421" s="2" t="s">
        <v>641</v>
      </c>
      <c r="K421" s="2" t="s">
        <v>639</v>
      </c>
      <c r="L421" s="8" t="s">
        <v>5</v>
      </c>
      <c r="M421" s="15" t="s">
        <v>64</v>
      </c>
      <c r="N421" s="45"/>
      <c r="O421" s="42"/>
    </row>
    <row r="422" spans="1:15" x14ac:dyDescent="0.25">
      <c r="L422" s="3"/>
      <c r="M422" s="3"/>
      <c r="N422" s="45"/>
      <c r="O422" s="45"/>
    </row>
    <row r="423" spans="1:15" x14ac:dyDescent="0.25">
      <c r="L423" s="3"/>
      <c r="M423" s="3"/>
      <c r="N423" s="45"/>
      <c r="O423" s="45"/>
    </row>
    <row r="424" spans="1:15" x14ac:dyDescent="0.25">
      <c r="N424" s="46"/>
      <c r="O424" s="42"/>
    </row>
    <row r="425" spans="1:15" x14ac:dyDescent="0.25">
      <c r="A425" s="26" t="s">
        <v>354</v>
      </c>
      <c r="B425" s="26" t="s">
        <v>354</v>
      </c>
      <c r="C425" s="26" t="s">
        <v>354</v>
      </c>
      <c r="D425" s="26" t="s">
        <v>354</v>
      </c>
      <c r="E425" s="26" t="s">
        <v>354</v>
      </c>
      <c r="F425" s="26" t="s">
        <v>354</v>
      </c>
      <c r="G425" s="26" t="s">
        <v>354</v>
      </c>
      <c r="H425" s="26" t="s">
        <v>354</v>
      </c>
      <c r="I425" s="26" t="s">
        <v>354</v>
      </c>
      <c r="J425" s="26" t="s">
        <v>354</v>
      </c>
      <c r="K425" s="26" t="s">
        <v>354</v>
      </c>
      <c r="L425" s="26" t="s">
        <v>354</v>
      </c>
      <c r="M425" s="26" t="s">
        <v>354</v>
      </c>
      <c r="N425" s="47"/>
      <c r="O425" s="42"/>
    </row>
    <row r="426" spans="1:15" x14ac:dyDescent="0.25">
      <c r="B426" s="22" t="s">
        <v>46</v>
      </c>
      <c r="C426" s="22" t="s">
        <v>46</v>
      </c>
      <c r="L426" s="3"/>
      <c r="M426" s="3"/>
      <c r="N426" s="46"/>
      <c r="O426" s="42"/>
    </row>
    <row r="427" spans="1:15" x14ac:dyDescent="0.25">
      <c r="A427" s="1" t="s">
        <v>150</v>
      </c>
      <c r="B427" s="1" t="s">
        <v>134</v>
      </c>
      <c r="C427" s="1" t="s">
        <v>141</v>
      </c>
      <c r="D427" s="2" t="s">
        <v>0</v>
      </c>
      <c r="E427" s="2" t="s">
        <v>10</v>
      </c>
      <c r="F427" s="2" t="s">
        <v>9</v>
      </c>
      <c r="G427" s="2" t="s">
        <v>6</v>
      </c>
      <c r="H427" s="2" t="s">
        <v>11</v>
      </c>
      <c r="I427" s="2" t="s">
        <v>12</v>
      </c>
      <c r="J427" s="2" t="s">
        <v>641</v>
      </c>
      <c r="K427" s="2" t="s">
        <v>639</v>
      </c>
      <c r="L427" s="8" t="s">
        <v>5</v>
      </c>
      <c r="M427" s="15" t="s">
        <v>64</v>
      </c>
      <c r="N427" s="45"/>
      <c r="O427" s="42"/>
    </row>
    <row r="428" spans="1:15" x14ac:dyDescent="0.25">
      <c r="L428" s="3"/>
      <c r="M428" s="3"/>
      <c r="N428" s="45"/>
      <c r="O428" s="45"/>
    </row>
    <row r="429" spans="1:15" x14ac:dyDescent="0.25">
      <c r="L429" s="3"/>
      <c r="M429" s="3"/>
      <c r="N429" s="45"/>
      <c r="O429" s="45"/>
    </row>
    <row r="430" spans="1:15" x14ac:dyDescent="0.25">
      <c r="N430" s="46"/>
      <c r="O430" s="42"/>
    </row>
    <row r="431" spans="1:15" x14ac:dyDescent="0.25">
      <c r="A431" s="26" t="s">
        <v>1069</v>
      </c>
      <c r="B431" s="26" t="s">
        <v>1069</v>
      </c>
      <c r="C431" s="26" t="s">
        <v>1069</v>
      </c>
      <c r="D431" s="26" t="s">
        <v>1069</v>
      </c>
      <c r="E431" s="26" t="s">
        <v>1069</v>
      </c>
      <c r="F431" s="26" t="s">
        <v>1069</v>
      </c>
      <c r="G431" s="26" t="s">
        <v>1069</v>
      </c>
      <c r="H431" s="26" t="s">
        <v>1069</v>
      </c>
      <c r="I431" s="26" t="s">
        <v>1069</v>
      </c>
      <c r="J431" s="26" t="s">
        <v>1069</v>
      </c>
      <c r="K431" s="26" t="s">
        <v>1069</v>
      </c>
      <c r="L431" s="26" t="s">
        <v>1069</v>
      </c>
      <c r="M431" s="26" t="s">
        <v>1069</v>
      </c>
      <c r="N431" s="47"/>
      <c r="O431" s="42"/>
    </row>
    <row r="432" spans="1:15" x14ac:dyDescent="0.25">
      <c r="A432" s="39">
        <f>COUNT(D434:D434)</f>
        <v>1</v>
      </c>
      <c r="B432" s="22" t="s">
        <v>46</v>
      </c>
      <c r="C432" s="22" t="s">
        <v>46</v>
      </c>
      <c r="D432" s="23">
        <f>SUM(D434:D434)</f>
        <v>16.8</v>
      </c>
      <c r="E432" s="14">
        <f>100*(H432/1000)/D432</f>
        <v>0.6</v>
      </c>
      <c r="F432" s="30">
        <f>100*(I432/1000)/D432</f>
        <v>0</v>
      </c>
      <c r="H432" s="23">
        <f>SUM(H434:H435)</f>
        <v>100.8</v>
      </c>
      <c r="I432" s="23">
        <f>SUM(I434:I435)</f>
        <v>0</v>
      </c>
      <c r="L432" s="3"/>
      <c r="M432" s="3"/>
      <c r="N432" s="46"/>
      <c r="O432" s="42"/>
    </row>
    <row r="433" spans="1:15" x14ac:dyDescent="0.25">
      <c r="A433" s="1" t="s">
        <v>150</v>
      </c>
      <c r="B433" s="1" t="s">
        <v>134</v>
      </c>
      <c r="C433" s="1" t="s">
        <v>141</v>
      </c>
      <c r="D433" s="2" t="s">
        <v>0</v>
      </c>
      <c r="E433" s="2" t="s">
        <v>10</v>
      </c>
      <c r="F433" s="2" t="s">
        <v>9</v>
      </c>
      <c r="G433" s="2" t="s">
        <v>6</v>
      </c>
      <c r="H433" s="2" t="s">
        <v>11</v>
      </c>
      <c r="I433" s="2" t="s">
        <v>12</v>
      </c>
      <c r="J433" s="2" t="s">
        <v>641</v>
      </c>
      <c r="K433" s="2" t="s">
        <v>639</v>
      </c>
      <c r="L433" s="8" t="s">
        <v>5</v>
      </c>
      <c r="M433" s="15" t="s">
        <v>64</v>
      </c>
      <c r="N433" s="45"/>
      <c r="O433" s="42"/>
    </row>
    <row r="434" spans="1:15" x14ac:dyDescent="0.25">
      <c r="A434" s="48"/>
      <c r="B434" s="48" t="s">
        <v>1070</v>
      </c>
      <c r="C434" s="48" t="s">
        <v>145</v>
      </c>
      <c r="D434" s="48">
        <v>16.8</v>
      </c>
      <c r="E434" s="48">
        <v>0.6</v>
      </c>
      <c r="F434" s="48"/>
      <c r="G434" s="48"/>
      <c r="H434" s="55">
        <f>1000*$D434*E434/100</f>
        <v>100.8</v>
      </c>
      <c r="I434" s="48"/>
      <c r="J434" s="48" t="s">
        <v>46</v>
      </c>
      <c r="K434" s="48" t="s">
        <v>649</v>
      </c>
      <c r="L434" s="48" t="s">
        <v>1071</v>
      </c>
      <c r="M434" s="48"/>
      <c r="N434" s="72" t="s">
        <v>1084</v>
      </c>
      <c r="O434" s="45"/>
    </row>
    <row r="435" spans="1:15" x14ac:dyDescent="0.25">
      <c r="N435" s="46"/>
      <c r="O435" s="42"/>
    </row>
    <row r="436" spans="1:15" x14ac:dyDescent="0.25">
      <c r="A436" s="26" t="s">
        <v>1112</v>
      </c>
      <c r="B436" s="26" t="s">
        <v>1112</v>
      </c>
      <c r="C436" s="26" t="s">
        <v>1112</v>
      </c>
      <c r="D436" s="26" t="s">
        <v>1112</v>
      </c>
      <c r="E436" s="26" t="s">
        <v>1112</v>
      </c>
      <c r="F436" s="26" t="s">
        <v>1112</v>
      </c>
      <c r="G436" s="26" t="s">
        <v>1112</v>
      </c>
      <c r="H436" s="26" t="s">
        <v>1112</v>
      </c>
      <c r="I436" s="26" t="s">
        <v>1112</v>
      </c>
      <c r="J436" s="26" t="s">
        <v>1112</v>
      </c>
      <c r="K436" s="26" t="s">
        <v>1112</v>
      </c>
      <c r="L436" s="26" t="s">
        <v>1112</v>
      </c>
      <c r="M436" s="26" t="s">
        <v>1112</v>
      </c>
      <c r="N436" s="47"/>
      <c r="O436" s="42"/>
    </row>
    <row r="437" spans="1:15" x14ac:dyDescent="0.25">
      <c r="A437" s="39">
        <f>COUNT(D439:D439)</f>
        <v>1</v>
      </c>
      <c r="B437" s="22" t="s">
        <v>46</v>
      </c>
      <c r="C437" s="22" t="s">
        <v>46</v>
      </c>
      <c r="D437" s="23">
        <f>SUM(D439:D439)</f>
        <v>150</v>
      </c>
      <c r="E437" s="14">
        <f>100*(H437/1000)/D437</f>
        <v>0.7</v>
      </c>
      <c r="F437" s="30">
        <f>100*(I437/1000)/D437</f>
        <v>0</v>
      </c>
      <c r="H437" s="23">
        <f>SUM(H439:H440)</f>
        <v>1050</v>
      </c>
      <c r="I437" s="23">
        <f>SUM(I439:I440)</f>
        <v>0</v>
      </c>
      <c r="L437" s="3"/>
      <c r="M437" s="3"/>
      <c r="N437" s="46"/>
      <c r="O437" s="46"/>
    </row>
    <row r="438" spans="1:15" x14ac:dyDescent="0.25">
      <c r="A438" s="1" t="s">
        <v>150</v>
      </c>
      <c r="B438" s="1" t="s">
        <v>134</v>
      </c>
      <c r="C438" s="1" t="s">
        <v>141</v>
      </c>
      <c r="D438" s="2" t="s">
        <v>0</v>
      </c>
      <c r="E438" s="2" t="s">
        <v>10</v>
      </c>
      <c r="F438" s="2" t="s">
        <v>9</v>
      </c>
      <c r="G438" s="2" t="s">
        <v>6</v>
      </c>
      <c r="H438" s="2" t="s">
        <v>11</v>
      </c>
      <c r="I438" s="2" t="s">
        <v>12</v>
      </c>
      <c r="J438" s="2" t="s">
        <v>641</v>
      </c>
      <c r="K438" s="2" t="s">
        <v>639</v>
      </c>
      <c r="L438" s="8" t="s">
        <v>5</v>
      </c>
      <c r="M438" s="15" t="s">
        <v>64</v>
      </c>
      <c r="N438" s="46"/>
      <c r="O438" s="46"/>
    </row>
    <row r="439" spans="1:15" x14ac:dyDescent="0.25">
      <c r="A439" s="48"/>
      <c r="B439" s="48" t="s">
        <v>1113</v>
      </c>
      <c r="C439" s="48" t="s">
        <v>145</v>
      </c>
      <c r="D439" s="48">
        <v>150</v>
      </c>
      <c r="E439" s="48">
        <v>0.7</v>
      </c>
      <c r="F439" s="48"/>
      <c r="G439" s="48"/>
      <c r="H439" s="55">
        <f>1000*$D439*E439/100</f>
        <v>1050</v>
      </c>
      <c r="I439" s="48"/>
      <c r="J439" s="48" t="s">
        <v>46</v>
      </c>
      <c r="K439" s="48" t="s">
        <v>1114</v>
      </c>
      <c r="L439" s="48" t="s">
        <v>1146</v>
      </c>
      <c r="M439" s="48"/>
      <c r="N439" s="46" t="s">
        <v>602</v>
      </c>
      <c r="O439" s="46" t="s">
        <v>602</v>
      </c>
    </row>
    <row r="440" spans="1:15" x14ac:dyDescent="0.25">
      <c r="N440" s="46"/>
      <c r="O440" s="46"/>
    </row>
    <row r="441" spans="1:15" x14ac:dyDescent="0.25">
      <c r="N441" s="46"/>
      <c r="O441" s="46"/>
    </row>
    <row r="442" spans="1:15" x14ac:dyDescent="0.25">
      <c r="A442" s="26" t="s">
        <v>1124</v>
      </c>
      <c r="B442" s="26" t="s">
        <v>1124</v>
      </c>
      <c r="C442" s="26" t="s">
        <v>1124</v>
      </c>
      <c r="D442" s="26" t="s">
        <v>1124</v>
      </c>
      <c r="E442" s="26" t="s">
        <v>1124</v>
      </c>
      <c r="F442" s="26" t="s">
        <v>1124</v>
      </c>
      <c r="G442" s="26" t="s">
        <v>1124</v>
      </c>
      <c r="H442" s="26" t="s">
        <v>1124</v>
      </c>
      <c r="I442" s="26" t="s">
        <v>1124</v>
      </c>
      <c r="J442" s="26" t="s">
        <v>1124</v>
      </c>
      <c r="K442" s="26" t="s">
        <v>1124</v>
      </c>
      <c r="L442" s="26" t="s">
        <v>1124</v>
      </c>
      <c r="M442" s="26" t="s">
        <v>1124</v>
      </c>
      <c r="N442" s="47"/>
      <c r="O442" s="42"/>
    </row>
    <row r="443" spans="1:15" x14ac:dyDescent="0.25">
      <c r="A443" s="39">
        <f>COUNT(D445:D445)</f>
        <v>1</v>
      </c>
      <c r="B443" s="22" t="s">
        <v>46</v>
      </c>
      <c r="C443" s="22" t="s">
        <v>46</v>
      </c>
      <c r="D443" s="23">
        <f>SUM(D445:D445)</f>
        <v>12.25</v>
      </c>
      <c r="E443" s="14">
        <f>100*(H443/1000)/D443</f>
        <v>0.83000000000000007</v>
      </c>
      <c r="F443" s="30">
        <f>100*(I443/1000)/D443</f>
        <v>4.4999999999999998E-2</v>
      </c>
      <c r="H443" s="23">
        <f>SUM(H445:H446)</f>
        <v>101.675</v>
      </c>
      <c r="I443" s="23">
        <f>SUM(I445:I446)</f>
        <v>5.5125000000000002</v>
      </c>
      <c r="L443" s="3"/>
      <c r="M443" s="3"/>
      <c r="N443" s="46"/>
      <c r="O443" s="42"/>
    </row>
    <row r="444" spans="1:15" x14ac:dyDescent="0.25">
      <c r="A444" s="1" t="s">
        <v>150</v>
      </c>
      <c r="B444" s="1" t="s">
        <v>134</v>
      </c>
      <c r="C444" s="1" t="s">
        <v>141</v>
      </c>
      <c r="D444" s="2" t="s">
        <v>0</v>
      </c>
      <c r="E444" s="2" t="s">
        <v>10</v>
      </c>
      <c r="F444" s="2" t="s">
        <v>9</v>
      </c>
      <c r="G444" s="2" t="s">
        <v>6</v>
      </c>
      <c r="H444" s="2" t="s">
        <v>11</v>
      </c>
      <c r="I444" s="2" t="s">
        <v>12</v>
      </c>
      <c r="J444" s="2" t="s">
        <v>641</v>
      </c>
      <c r="K444" s="2" t="s">
        <v>639</v>
      </c>
      <c r="L444" s="8" t="s">
        <v>5</v>
      </c>
      <c r="M444" s="15" t="s">
        <v>64</v>
      </c>
      <c r="N444" s="45"/>
      <c r="O444" s="42"/>
    </row>
    <row r="445" spans="1:15" x14ac:dyDescent="0.25">
      <c r="A445" s="48"/>
      <c r="B445" s="48" t="s">
        <v>1125</v>
      </c>
      <c r="C445" s="48" t="s">
        <v>145</v>
      </c>
      <c r="D445" s="3">
        <v>12.25</v>
      </c>
      <c r="E445" s="48">
        <v>0.83</v>
      </c>
      <c r="F445" s="48">
        <v>4.4999999999999998E-2</v>
      </c>
      <c r="G445" s="48"/>
      <c r="H445" s="55">
        <f>1000*$D445*E445/100</f>
        <v>101.675</v>
      </c>
      <c r="I445" s="9">
        <f t="shared" ref="I445" si="57">1000*$D445*F445/100</f>
        <v>5.5125000000000002</v>
      </c>
      <c r="J445" s="48" t="s">
        <v>46</v>
      </c>
      <c r="K445" s="48" t="s">
        <v>1126</v>
      </c>
      <c r="L445" s="48" t="s">
        <v>1146</v>
      </c>
      <c r="M445" s="48"/>
      <c r="N445" s="72" t="s">
        <v>1043</v>
      </c>
      <c r="O445" s="72" t="s">
        <v>1043</v>
      </c>
    </row>
  </sheetData>
  <pageMargins left="0.7" right="0.7" top="0.75" bottom="0.75" header="0.3" footer="0.3"/>
  <pageSetup orientation="portrait" r:id="rId1"/>
  <rowBreaks count="1" manualBreakCount="1">
    <brk id="166" max="16383" man="1"/>
  </rowBreaks>
  <colBreaks count="1" manualBreakCount="1">
    <brk id="1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 Country Summary</vt:lpstr>
      <vt:lpstr>2011 Sulfide</vt:lpstr>
      <vt:lpstr>2011 Laterite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Mudd</dc:creator>
  <cp:lastModifiedBy>Gavin Mudd</cp:lastModifiedBy>
  <dcterms:created xsi:type="dcterms:W3CDTF">2011-01-08T03:52:23Z</dcterms:created>
  <dcterms:modified xsi:type="dcterms:W3CDTF">2014-09-08T11:38:44Z</dcterms:modified>
</cp:coreProperties>
</file>