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7532" yWindow="840" windowWidth="9612" windowHeight="8592"/>
  </bookViews>
  <sheets>
    <sheet name="Master Data" sheetId="1" r:id="rId1"/>
    <sheet name="Country Totals" sheetId="2" r:id="rId2"/>
    <sheet name="Sources" sheetId="3" r:id="rId3"/>
  </sheets>
  <definedNames>
    <definedName name="_xlnm._FilterDatabase" localSheetId="0" hidden="1">'Master Data'!$C$1:$C$732</definedName>
  </definedNames>
  <calcPr calcId="145621"/>
</workbook>
</file>

<file path=xl/calcChain.xml><?xml version="1.0" encoding="utf-8"?>
<calcChain xmlns="http://schemas.openxmlformats.org/spreadsheetml/2006/main">
  <c r="E581" i="1" l="1"/>
  <c r="J581" i="1"/>
  <c r="S107" i="1" l="1"/>
  <c r="D545" i="1" l="1"/>
  <c r="L545" i="1" s="1"/>
  <c r="S387" i="1"/>
  <c r="I545" i="1" l="1"/>
  <c r="J545" i="1"/>
  <c r="K545" i="1"/>
  <c r="E545" i="1"/>
  <c r="S545" i="1" s="1"/>
  <c r="K580" i="1"/>
  <c r="D580" i="1"/>
  <c r="L580" i="1" s="1"/>
  <c r="D642" i="1"/>
  <c r="J642" i="1" s="1"/>
  <c r="D669" i="1"/>
  <c r="D675" i="1"/>
  <c r="E675" i="1" s="1"/>
  <c r="E642" i="1" l="1"/>
  <c r="J580" i="1"/>
  <c r="D689" i="1"/>
  <c r="G709" i="1"/>
  <c r="L258" i="1" l="1"/>
  <c r="U1" i="1" l="1"/>
  <c r="R380" i="1" l="1"/>
  <c r="R377" i="1"/>
  <c r="D295" i="1" l="1"/>
  <c r="E295" i="1" s="1"/>
  <c r="E577" i="1" l="1"/>
  <c r="D445" i="1" l="1"/>
  <c r="L445" i="1" s="1"/>
  <c r="D442" i="1"/>
  <c r="K442" i="1" s="1"/>
  <c r="J442" i="1" l="1"/>
  <c r="E442" i="1"/>
  <c r="S442" i="1" s="1"/>
  <c r="E445" i="1"/>
  <c r="I442" i="1"/>
  <c r="S537" i="1"/>
  <c r="S536" i="1"/>
  <c r="D59" i="2" l="1"/>
  <c r="I56" i="2" l="1"/>
  <c r="H56" i="2"/>
  <c r="I26" i="2"/>
  <c r="H26" i="2"/>
  <c r="S527" i="1"/>
  <c r="D529" i="1"/>
  <c r="K529" i="1" s="1"/>
  <c r="S179" i="1"/>
  <c r="S177" i="1"/>
  <c r="S181" i="1"/>
  <c r="S184" i="1"/>
  <c r="L529" i="1" l="1"/>
  <c r="E529" i="1"/>
  <c r="S529" i="1" s="1"/>
  <c r="N307" i="1"/>
  <c r="N667" i="1" l="1"/>
  <c r="K667" i="1"/>
  <c r="E667" i="1"/>
  <c r="D667" i="1"/>
  <c r="S667" i="1" s="1"/>
  <c r="I44" i="2" l="1"/>
  <c r="H44" i="2"/>
  <c r="S708" i="1" l="1"/>
  <c r="K44" i="2" s="1"/>
  <c r="J44" i="2" s="1"/>
  <c r="K577" i="1"/>
  <c r="S577" i="1"/>
  <c r="D540" i="1"/>
  <c r="E540" i="1" s="1"/>
  <c r="S540" i="1" s="1"/>
  <c r="S528" i="1"/>
  <c r="S515" i="1"/>
  <c r="E571" i="1"/>
  <c r="S571" i="1" s="1"/>
  <c r="J571" i="1"/>
  <c r="I571" i="1"/>
  <c r="K540" i="1" l="1"/>
  <c r="N540" i="1"/>
  <c r="S533" i="1"/>
  <c r="D204" i="1" l="1"/>
  <c r="M204" i="1" s="1"/>
  <c r="S196" i="1"/>
  <c r="I30" i="2"/>
  <c r="H30" i="2"/>
  <c r="S3" i="1"/>
  <c r="K30" i="2" l="1"/>
  <c r="J30" i="2" s="1"/>
  <c r="G204" i="1"/>
  <c r="E204" i="1"/>
  <c r="S204" i="1" s="1"/>
  <c r="F204" i="1"/>
  <c r="H204" i="1"/>
  <c r="D279" i="1"/>
  <c r="H279" i="1" s="1"/>
  <c r="D239" i="1"/>
  <c r="K239" i="1" s="1"/>
  <c r="S210" i="1"/>
  <c r="S229" i="1"/>
  <c r="S221" i="1"/>
  <c r="F279" i="1" l="1"/>
  <c r="E279" i="1"/>
  <c r="S279" i="1" s="1"/>
  <c r="E239" i="1"/>
  <c r="S239" i="1" s="1"/>
  <c r="I239" i="1"/>
  <c r="L239" i="1"/>
  <c r="G279" i="1"/>
  <c r="J239" i="1"/>
  <c r="D206" i="1"/>
  <c r="E206" i="1" l="1"/>
  <c r="S206" i="1" s="1"/>
  <c r="L206" i="1"/>
  <c r="M206" i="1"/>
  <c r="D197" i="1"/>
  <c r="K197" i="1" s="1"/>
  <c r="D195" i="1"/>
  <c r="K195" i="1" s="1"/>
  <c r="L197" i="1" l="1"/>
  <c r="E197" i="1"/>
  <c r="S197" i="1" s="1"/>
  <c r="E195" i="1"/>
  <c r="S195" i="1" s="1"/>
  <c r="L195" i="1"/>
  <c r="N197" i="1"/>
  <c r="S260" i="1"/>
  <c r="L288" i="1"/>
  <c r="E288" i="1"/>
  <c r="D288" i="1"/>
  <c r="D358" i="1"/>
  <c r="M358" i="1" s="1"/>
  <c r="D414" i="1"/>
  <c r="L414" i="1" s="1"/>
  <c r="D290" i="1"/>
  <c r="L290" i="1" s="1"/>
  <c r="D293" i="1"/>
  <c r="E293" i="1" s="1"/>
  <c r="D505" i="1"/>
  <c r="N505" i="1" s="1"/>
  <c r="D663" i="1"/>
  <c r="E663" i="1" s="1"/>
  <c r="D679" i="1"/>
  <c r="E679" i="1" s="1"/>
  <c r="D662" i="1"/>
  <c r="N662" i="1" s="1"/>
  <c r="D706" i="1"/>
  <c r="E706" i="1" s="1"/>
  <c r="D698" i="1"/>
  <c r="N698" i="1" s="1"/>
  <c r="D696" i="1"/>
  <c r="K696" i="1" s="1"/>
  <c r="D656" i="1"/>
  <c r="K656" i="1" s="1"/>
  <c r="D684" i="1"/>
  <c r="N684" i="1" s="1"/>
  <c r="D321" i="1"/>
  <c r="N696" i="1" l="1"/>
  <c r="K698" i="1"/>
  <c r="K290" i="1"/>
  <c r="K414" i="1"/>
  <c r="E358" i="1"/>
  <c r="E696" i="1"/>
  <c r="E698" i="1"/>
  <c r="K662" i="1"/>
  <c r="E290" i="1"/>
  <c r="E414" i="1"/>
  <c r="L696" i="1"/>
  <c r="E656" i="1"/>
  <c r="E321" i="1"/>
  <c r="S321" i="1" s="1"/>
  <c r="K321" i="1"/>
  <c r="E684" i="1"/>
  <c r="N656" i="1"/>
  <c r="E662" i="1"/>
  <c r="K505" i="1"/>
  <c r="L321" i="1"/>
  <c r="L662" i="1"/>
  <c r="E505" i="1"/>
  <c r="D522" i="1"/>
  <c r="E522" i="1" l="1"/>
  <c r="S522" i="1" s="1"/>
  <c r="F59" i="2"/>
  <c r="S67" i="1" l="1"/>
  <c r="S666" i="1" l="1"/>
  <c r="I34" i="2"/>
  <c r="I33" i="2"/>
  <c r="H34" i="2"/>
  <c r="H33" i="2"/>
  <c r="S565" i="1"/>
  <c r="K34" i="2" s="1"/>
  <c r="J34" i="2" l="1"/>
  <c r="B59" i="2"/>
  <c r="D464" i="1" l="1"/>
  <c r="L464" i="1" s="1"/>
  <c r="D143" i="1"/>
  <c r="L143" i="1" s="1"/>
  <c r="E464" i="1" l="1"/>
  <c r="S464" i="1" s="1"/>
  <c r="E143" i="1"/>
  <c r="S143" i="1" s="1"/>
  <c r="D431" i="1" l="1"/>
  <c r="K431" i="1" s="1"/>
  <c r="L431" i="1" l="1"/>
  <c r="E431" i="1"/>
  <c r="S433" i="1"/>
  <c r="J530" i="1"/>
  <c r="S661" i="1"/>
  <c r="S290" i="1"/>
  <c r="S293" i="1"/>
  <c r="E12" i="1"/>
  <c r="K12" i="1"/>
  <c r="I12" i="1"/>
  <c r="D12" i="1"/>
  <c r="E165" i="1"/>
  <c r="K165" i="1"/>
  <c r="J165" i="1"/>
  <c r="D165" i="1"/>
  <c r="E518" i="1"/>
  <c r="K518" i="1"/>
  <c r="J518" i="1"/>
  <c r="I518" i="1"/>
  <c r="D518" i="1"/>
  <c r="S518" i="1" s="1"/>
  <c r="E530" i="1"/>
  <c r="K530" i="1"/>
  <c r="I530" i="1"/>
  <c r="D530" i="1"/>
  <c r="E531" i="1"/>
  <c r="K531" i="1"/>
  <c r="J531" i="1"/>
  <c r="I531" i="1"/>
  <c r="D531" i="1"/>
  <c r="D291" i="1"/>
  <c r="E291" i="1" s="1"/>
  <c r="D297" i="1"/>
  <c r="E297" i="1" s="1"/>
  <c r="S530" i="1" l="1"/>
  <c r="S165" i="1"/>
  <c r="S12" i="1"/>
  <c r="S531" i="1"/>
  <c r="D665" i="1"/>
  <c r="E665" i="1" s="1"/>
  <c r="D491" i="1"/>
  <c r="E491" i="1" s="1"/>
  <c r="S491" i="1" s="1"/>
  <c r="S486" i="1"/>
  <c r="E672" i="1"/>
  <c r="D672" i="1"/>
  <c r="S669" i="1"/>
  <c r="D625" i="1"/>
  <c r="E625" i="1" s="1"/>
  <c r="S624" i="1"/>
  <c r="S500" i="1"/>
  <c r="S102" i="1"/>
  <c r="E564" i="1"/>
  <c r="K564" i="1"/>
  <c r="J564" i="1"/>
  <c r="I564" i="1"/>
  <c r="D564" i="1"/>
  <c r="S672" i="1" l="1"/>
  <c r="L491" i="1"/>
  <c r="S665" i="1"/>
  <c r="S10" i="1" l="1"/>
  <c r="D209" i="1"/>
  <c r="E209" i="1" s="1"/>
  <c r="S363" i="1"/>
  <c r="S472" i="1"/>
  <c r="S209" i="1" l="1"/>
  <c r="L209" i="1"/>
  <c r="S689" i="1"/>
  <c r="D510" i="1"/>
  <c r="J510" i="1" l="1"/>
  <c r="E510" i="1"/>
  <c r="S510" i="1" s="1"/>
  <c r="I510" i="1"/>
  <c r="K510" i="1"/>
  <c r="L510" i="1"/>
  <c r="S90" i="1"/>
  <c r="K670" i="1" l="1"/>
  <c r="E670" i="1"/>
  <c r="D670" i="1"/>
  <c r="S670" i="1" l="1"/>
  <c r="S8" i="1"/>
  <c r="D211" i="1" l="1"/>
  <c r="L211" i="1" s="1"/>
  <c r="I211" i="1" l="1"/>
  <c r="K211" i="1"/>
  <c r="J211" i="1"/>
  <c r="E211" i="1"/>
  <c r="S211" i="1" s="1"/>
  <c r="D282" i="1"/>
  <c r="E282" i="1" s="1"/>
  <c r="I282" i="1" l="1"/>
  <c r="L282" i="1"/>
  <c r="K282" i="1"/>
  <c r="J282" i="1"/>
  <c r="S282" i="1"/>
  <c r="D223" i="1" l="1"/>
  <c r="S223" i="1" s="1"/>
  <c r="D262" i="1"/>
  <c r="L262" i="1" s="1"/>
  <c r="S254" i="1"/>
  <c r="E262" i="1" l="1"/>
  <c r="S262" i="1" s="1"/>
  <c r="D499" i="1"/>
  <c r="K499" i="1" s="1"/>
  <c r="E499" i="1" l="1"/>
  <c r="S499" i="1" s="1"/>
  <c r="D455" i="1"/>
  <c r="J455" i="1" l="1"/>
  <c r="E455" i="1"/>
  <c r="S455" i="1" s="1"/>
  <c r="I455" i="1"/>
  <c r="K455" i="1"/>
  <c r="D523" i="1"/>
  <c r="E523" i="1" s="1"/>
  <c r="N523" i="1" l="1"/>
  <c r="D164" i="1"/>
  <c r="H50" i="2" s="1"/>
  <c r="S299" i="1"/>
  <c r="J164" i="1" l="1"/>
  <c r="I50" i="2"/>
  <c r="E164" i="1"/>
  <c r="S164" i="1" s="1"/>
  <c r="I164" i="1"/>
  <c r="K164" i="1"/>
  <c r="S418" i="1" l="1"/>
  <c r="K26" i="2" s="1"/>
  <c r="S706" i="1" l="1"/>
  <c r="D674" i="1" l="1"/>
  <c r="S674" i="1" s="1"/>
  <c r="K682" i="1"/>
  <c r="E682" i="1"/>
  <c r="D682" i="1"/>
  <c r="D461" i="1"/>
  <c r="J461" i="1" s="1"/>
  <c r="D459" i="1"/>
  <c r="E459" i="1" s="1"/>
  <c r="S459" i="1" s="1"/>
  <c r="S675" i="1"/>
  <c r="D242" i="1"/>
  <c r="E242" i="1" s="1"/>
  <c r="S446" i="1"/>
  <c r="D447" i="1"/>
  <c r="E447" i="1" s="1"/>
  <c r="K680" i="1"/>
  <c r="N680" i="1"/>
  <c r="E680" i="1"/>
  <c r="D680" i="1"/>
  <c r="N695" i="1"/>
  <c r="K695" i="1"/>
  <c r="E695" i="1"/>
  <c r="D695" i="1"/>
  <c r="S695" i="1" l="1"/>
  <c r="N242" i="1"/>
  <c r="E461" i="1"/>
  <c r="S461" i="1" s="1"/>
  <c r="S682" i="1"/>
  <c r="S242" i="1"/>
  <c r="I55" i="2"/>
  <c r="H55" i="2"/>
  <c r="D194" i="1"/>
  <c r="E194" i="1" s="1"/>
  <c r="S194" i="1" s="1"/>
  <c r="F194" i="1" l="1"/>
  <c r="H51" i="2"/>
  <c r="H45" i="2"/>
  <c r="H49" i="2"/>
  <c r="H24" i="2"/>
  <c r="H32" i="2"/>
  <c r="H48" i="2"/>
  <c r="H53" i="2"/>
  <c r="H21" i="2"/>
  <c r="H17" i="2"/>
  <c r="H41" i="2"/>
  <c r="H57" i="2"/>
  <c r="I51" i="2"/>
  <c r="I45" i="2"/>
  <c r="I49" i="2"/>
  <c r="I24" i="2"/>
  <c r="I32" i="2"/>
  <c r="I48" i="2"/>
  <c r="I53" i="2"/>
  <c r="I21" i="2"/>
  <c r="I17" i="2"/>
  <c r="I41" i="2"/>
  <c r="I57" i="2"/>
  <c r="D237" i="1" l="1"/>
  <c r="M237" i="1" s="1"/>
  <c r="F237" i="1" l="1"/>
  <c r="E237" i="1"/>
  <c r="S237" i="1" s="1"/>
  <c r="S710" i="1"/>
  <c r="D232" i="1" l="1"/>
  <c r="E232" i="1" s="1"/>
  <c r="S232" i="1" s="1"/>
  <c r="F232" i="1" l="1"/>
  <c r="S573" i="1"/>
  <c r="S579" i="1"/>
  <c r="K570" i="1" l="1"/>
  <c r="L570" i="1"/>
  <c r="E570" i="1"/>
  <c r="S567" i="1"/>
  <c r="D226" i="1" l="1"/>
  <c r="F226" i="1" s="1"/>
  <c r="E226" i="1" l="1"/>
  <c r="S226" i="1" s="1"/>
  <c r="M226" i="1"/>
  <c r="S631" i="1"/>
  <c r="S630" i="1"/>
  <c r="S627" i="1"/>
  <c r="S638" i="1"/>
  <c r="S628" i="1"/>
  <c r="S634" i="1"/>
  <c r="S633" i="1"/>
  <c r="S641" i="1"/>
  <c r="S479" i="1" l="1"/>
  <c r="S478" i="1"/>
  <c r="S477" i="1"/>
  <c r="D476" i="1"/>
  <c r="E476" i="1" s="1"/>
  <c r="S476" i="1" s="1"/>
  <c r="F476" i="1" l="1"/>
  <c r="M476" i="1"/>
  <c r="I54" i="2"/>
  <c r="H54" i="2"/>
  <c r="K683" i="1"/>
  <c r="L683" i="1"/>
  <c r="E683" i="1"/>
  <c r="D683" i="1"/>
  <c r="S683" i="1" l="1"/>
  <c r="D688" i="1"/>
  <c r="S688" i="1" s="1"/>
  <c r="D685" i="1"/>
  <c r="S685" i="1" s="1"/>
  <c r="L642" i="1" l="1"/>
  <c r="K642" i="1"/>
  <c r="S642" i="1"/>
  <c r="S372" i="1"/>
  <c r="D393" i="1"/>
  <c r="S393" i="1" s="1"/>
  <c r="D198" i="1" l="1"/>
  <c r="E198" i="1" l="1"/>
  <c r="S198" i="1" s="1"/>
  <c r="S398" i="1" l="1"/>
  <c r="D244" i="1" l="1"/>
  <c r="N244" i="1" s="1"/>
  <c r="J244" i="1" l="1"/>
  <c r="E244" i="1"/>
  <c r="S244" i="1" s="1"/>
  <c r="D671" i="1"/>
  <c r="S671" i="1" s="1"/>
  <c r="L671" i="1" l="1"/>
  <c r="S419" i="1"/>
  <c r="K56" i="2" s="1"/>
  <c r="S270" i="1" l="1"/>
  <c r="D212" i="1"/>
  <c r="J212" i="1" s="1"/>
  <c r="D264" i="1"/>
  <c r="E264" i="1" s="1"/>
  <c r="S264" i="1" s="1"/>
  <c r="E212" i="1" l="1"/>
  <c r="S212" i="1" s="1"/>
  <c r="J264" i="1"/>
  <c r="K212" i="1"/>
  <c r="I212" i="1"/>
  <c r="S582" i="1"/>
  <c r="S525" i="1" l="1"/>
  <c r="D359" i="1" l="1"/>
  <c r="D328" i="1"/>
  <c r="D230" i="1"/>
  <c r="L230" i="1" s="1"/>
  <c r="D241" i="1"/>
  <c r="K241" i="1" s="1"/>
  <c r="D443" i="1"/>
  <c r="L443" i="1" s="1"/>
  <c r="K230" i="1" l="1"/>
  <c r="E230" i="1"/>
  <c r="E241" i="1"/>
  <c r="L241" i="1"/>
  <c r="K443" i="1"/>
  <c r="J230" i="1"/>
  <c r="K359" i="1"/>
  <c r="H52" i="2"/>
  <c r="I52" i="2"/>
  <c r="E359" i="1"/>
  <c r="S359" i="1" s="1"/>
  <c r="E443" i="1"/>
  <c r="E328" i="1"/>
  <c r="J359" i="1"/>
  <c r="L359" i="1"/>
  <c r="I443" i="1"/>
  <c r="L328" i="1"/>
  <c r="J443" i="1"/>
  <c r="I359" i="1"/>
  <c r="D441" i="1"/>
  <c r="E441" i="1" s="1"/>
  <c r="K441" i="1" l="1"/>
  <c r="L441" i="1"/>
  <c r="I441" i="1"/>
  <c r="J441" i="1"/>
  <c r="S441" i="1"/>
  <c r="D435" i="1" l="1"/>
  <c r="K435" i="1" l="1"/>
  <c r="E435" i="1"/>
  <c r="S435" i="1" s="1"/>
  <c r="L435" i="1"/>
  <c r="J435" i="1"/>
  <c r="N435" i="1"/>
  <c r="D444" i="1"/>
  <c r="K444" i="1" s="1"/>
  <c r="D438" i="1"/>
  <c r="E438" i="1" l="1"/>
  <c r="S438" i="1" s="1"/>
  <c r="E444" i="1"/>
  <c r="S444" i="1" s="1"/>
  <c r="I438" i="1"/>
  <c r="L438" i="1"/>
  <c r="I444" i="1"/>
  <c r="L444" i="1"/>
  <c r="J438" i="1"/>
  <c r="J444" i="1"/>
  <c r="K438" i="1"/>
  <c r="L659" i="1"/>
  <c r="E659" i="1"/>
  <c r="K659" i="1"/>
  <c r="J659" i="1"/>
  <c r="I659" i="1"/>
  <c r="D659" i="1"/>
  <c r="S283" i="1"/>
  <c r="L283" i="1"/>
  <c r="K283" i="1"/>
  <c r="D436" i="1"/>
  <c r="D175" i="1"/>
  <c r="K175" i="1" s="1"/>
  <c r="S332" i="1"/>
  <c r="K436" i="1" l="1"/>
  <c r="J175" i="1"/>
  <c r="E580" i="1"/>
  <c r="S580" i="1" s="1"/>
  <c r="L175" i="1"/>
  <c r="J436" i="1"/>
  <c r="E175" i="1"/>
  <c r="S175" i="1" s="1"/>
  <c r="E436" i="1"/>
  <c r="S436" i="1" s="1"/>
  <c r="I175" i="1"/>
  <c r="I436" i="1"/>
  <c r="S659" i="1"/>
  <c r="D686" i="1" l="1"/>
  <c r="M686" i="1" s="1"/>
  <c r="S678" i="1"/>
  <c r="L686" i="1" l="1"/>
  <c r="G686" i="1"/>
  <c r="E686" i="1"/>
  <c r="S686" i="1" s="1"/>
  <c r="H686" i="1"/>
  <c r="F686" i="1"/>
  <c r="D424" i="1"/>
  <c r="K424" i="1" s="1"/>
  <c r="D420" i="1"/>
  <c r="D422" i="1"/>
  <c r="L422" i="1" s="1"/>
  <c r="L420" i="1" l="1"/>
  <c r="J422" i="1"/>
  <c r="K422" i="1"/>
  <c r="E420" i="1"/>
  <c r="E424" i="1"/>
  <c r="S424" i="1" s="1"/>
  <c r="K52" i="2" s="1"/>
  <c r="J52" i="2" s="1"/>
  <c r="E422" i="1"/>
  <c r="K420" i="1"/>
  <c r="L424" i="1"/>
  <c r="S709" i="1"/>
  <c r="L235" i="1" l="1"/>
  <c r="E235" i="1"/>
  <c r="K235" i="1"/>
  <c r="J235" i="1"/>
  <c r="I235" i="1"/>
  <c r="D235" i="1"/>
  <c r="D219" i="1" l="1"/>
  <c r="L219" i="1" s="1"/>
  <c r="D218" i="1"/>
  <c r="J218" i="1" s="1"/>
  <c r="D220" i="1"/>
  <c r="J220" i="1" s="1"/>
  <c r="K218" i="1" l="1"/>
  <c r="L220" i="1"/>
  <c r="E220" i="1"/>
  <c r="S220" i="1" s="1"/>
  <c r="E218" i="1"/>
  <c r="S218" i="1" s="1"/>
  <c r="K219" i="1"/>
  <c r="K220" i="1"/>
  <c r="J219" i="1"/>
  <c r="E219" i="1"/>
  <c r="S219" i="1" s="1"/>
  <c r="L218" i="1"/>
  <c r="D650" i="1"/>
  <c r="J650" i="1" s="1"/>
  <c r="E650" i="1" l="1"/>
  <c r="S650" i="1" s="1"/>
  <c r="I650" i="1"/>
  <c r="L650" i="1"/>
  <c r="K650" i="1"/>
  <c r="D546" i="1"/>
  <c r="E546" i="1" s="1"/>
  <c r="D544" i="1"/>
  <c r="D496" i="1"/>
  <c r="E496" i="1" s="1"/>
  <c r="D216" i="1"/>
  <c r="E216" i="1" s="1"/>
  <c r="D326" i="1"/>
  <c r="E326" i="1" s="1"/>
  <c r="D460" i="1"/>
  <c r="E460" i="1" s="1"/>
  <c r="S460" i="1" s="1"/>
  <c r="D202" i="1"/>
  <c r="J202" i="1" s="1"/>
  <c r="D207" i="1"/>
  <c r="E207" i="1" s="1"/>
  <c r="D284" i="1"/>
  <c r="D324" i="1"/>
  <c r="E324" i="1" s="1"/>
  <c r="J496" i="1" l="1"/>
  <c r="L546" i="1"/>
  <c r="E284" i="1"/>
  <c r="E202" i="1"/>
  <c r="J460" i="1"/>
  <c r="E544" i="1"/>
  <c r="S544" i="1" s="1"/>
  <c r="I544" i="1"/>
  <c r="J544" i="1"/>
  <c r="K544" i="1"/>
  <c r="S374" i="1"/>
  <c r="S391" i="1"/>
  <c r="S390" i="1"/>
  <c r="S368" i="1"/>
  <c r="S383" i="1"/>
  <c r="S382" i="1"/>
  <c r="S379" i="1"/>
  <c r="S396" i="1"/>
  <c r="S395" i="1"/>
  <c r="S389" i="1"/>
  <c r="S386" i="1"/>
  <c r="S394" i="1"/>
  <c r="S392" i="1"/>
  <c r="S385" i="1" l="1"/>
  <c r="S375" i="1"/>
  <c r="S373" i="1"/>
  <c r="K55" i="2" s="1"/>
  <c r="J55" i="2" s="1"/>
  <c r="S371" i="1"/>
  <c r="S369" i="1"/>
  <c r="S625" i="1" l="1"/>
  <c r="S635" i="1" l="1"/>
  <c r="S654" i="1" l="1"/>
  <c r="S190" i="1" l="1"/>
  <c r="S651" i="1" l="1"/>
  <c r="S412" i="1" l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493" i="1" l="1"/>
  <c r="D492" i="1"/>
  <c r="L492" i="1" s="1"/>
  <c r="K492" i="1" l="1"/>
  <c r="J492" i="1"/>
  <c r="E492" i="1"/>
  <c r="S360" i="1"/>
  <c r="D364" i="1"/>
  <c r="J364" i="1" s="1"/>
  <c r="D361" i="1"/>
  <c r="S399" i="1"/>
  <c r="L361" i="1" l="1"/>
  <c r="H38" i="2"/>
  <c r="I38" i="2"/>
  <c r="E364" i="1"/>
  <c r="S364" i="1" s="1"/>
  <c r="L364" i="1"/>
  <c r="K361" i="1"/>
  <c r="E361" i="1"/>
  <c r="K364" i="1"/>
  <c r="J361" i="1"/>
  <c r="D458" i="1"/>
  <c r="K458" i="1" l="1"/>
  <c r="E458" i="1"/>
  <c r="S458" i="1" s="1"/>
  <c r="I458" i="1"/>
  <c r="L458" i="1"/>
  <c r="J458" i="1"/>
  <c r="S341" i="1"/>
  <c r="S354" i="1"/>
  <c r="D342" i="1"/>
  <c r="E342" i="1" s="1"/>
  <c r="S721" i="1" l="1"/>
  <c r="S726" i="1"/>
  <c r="D255" i="1" l="1"/>
  <c r="K255" i="1" s="1"/>
  <c r="I255" i="1" l="1"/>
  <c r="E255" i="1"/>
  <c r="S255" i="1" s="1"/>
  <c r="J255" i="1"/>
  <c r="D534" i="1"/>
  <c r="I534" i="1" s="1"/>
  <c r="D542" i="1"/>
  <c r="I542" i="1" s="1"/>
  <c r="D495" i="1"/>
  <c r="D508" i="1"/>
  <c r="K508" i="1" s="1"/>
  <c r="D503" i="1"/>
  <c r="E503" i="1" s="1"/>
  <c r="J495" i="1" l="1"/>
  <c r="E534" i="1"/>
  <c r="S534" i="1" s="1"/>
  <c r="I503" i="1"/>
  <c r="K503" i="1"/>
  <c r="J534" i="1"/>
  <c r="K542" i="1"/>
  <c r="J503" i="1"/>
  <c r="K495" i="1"/>
  <c r="J542" i="1"/>
  <c r="E508" i="1"/>
  <c r="S508" i="1" s="1"/>
  <c r="I508" i="1"/>
  <c r="E495" i="1"/>
  <c r="S495" i="1" s="1"/>
  <c r="S546" i="1"/>
  <c r="J508" i="1"/>
  <c r="I495" i="1"/>
  <c r="E542" i="1"/>
  <c r="S542" i="1" s="1"/>
  <c r="K534" i="1"/>
  <c r="S503" i="1"/>
  <c r="D581" i="1" l="1"/>
  <c r="D715" i="1"/>
  <c r="E715" i="1" s="1"/>
  <c r="S715" i="1" s="1"/>
  <c r="D357" i="1"/>
  <c r="M357" i="1" s="1"/>
  <c r="S356" i="1"/>
  <c r="D346" i="1"/>
  <c r="E346" i="1" s="1"/>
  <c r="S346" i="1" s="1"/>
  <c r="D725" i="1"/>
  <c r="F725" i="1" s="1"/>
  <c r="M342" i="1"/>
  <c r="D180" i="1"/>
  <c r="F180" i="1" s="1"/>
  <c r="S470" i="1"/>
  <c r="S188" i="1"/>
  <c r="S552" i="1"/>
  <c r="S548" i="1"/>
  <c r="S176" i="1"/>
  <c r="D423" i="1"/>
  <c r="S426" i="1"/>
  <c r="S425" i="1"/>
  <c r="D596" i="1"/>
  <c r="E596" i="1" s="1"/>
  <c r="S432" i="1"/>
  <c r="D173" i="1"/>
  <c r="F173" i="1" s="1"/>
  <c r="D569" i="1"/>
  <c r="D700" i="1"/>
  <c r="F700" i="1" s="1"/>
  <c r="S677" i="1"/>
  <c r="S658" i="1"/>
  <c r="S326" i="1"/>
  <c r="D305" i="1"/>
  <c r="N305" i="1" s="1"/>
  <c r="D13" i="1"/>
  <c r="E13" i="1" s="1"/>
  <c r="S267" i="1"/>
  <c r="S603" i="1"/>
  <c r="S248" i="1"/>
  <c r="S618" i="1"/>
  <c r="D543" i="1"/>
  <c r="S543" i="1" s="1"/>
  <c r="L526" i="1"/>
  <c r="K526" i="1"/>
  <c r="D526" i="1"/>
  <c r="S526" i="1" s="1"/>
  <c r="K520" i="1"/>
  <c r="L520" i="1"/>
  <c r="D520" i="1"/>
  <c r="S520" i="1" s="1"/>
  <c r="D497" i="1"/>
  <c r="D511" i="1"/>
  <c r="K511" i="1" s="1"/>
  <c r="S289" i="1"/>
  <c r="D449" i="1"/>
  <c r="E449" i="1" s="1"/>
  <c r="S701" i="1"/>
  <c r="S691" i="1"/>
  <c r="S496" i="1"/>
  <c r="S330" i="1"/>
  <c r="S300" i="1"/>
  <c r="S687" i="1"/>
  <c r="S615" i="1"/>
  <c r="D280" i="1"/>
  <c r="L280" i="1" s="1"/>
  <c r="M673" i="1"/>
  <c r="L673" i="1"/>
  <c r="E673" i="1"/>
  <c r="D673" i="1"/>
  <c r="L703" i="1"/>
  <c r="L702" i="1"/>
  <c r="D703" i="1"/>
  <c r="S703" i="1" s="1"/>
  <c r="D702" i="1"/>
  <c r="D367" i="1"/>
  <c r="F367" i="1" s="1"/>
  <c r="D366" i="1"/>
  <c r="G366" i="1" s="1"/>
  <c r="D397" i="1"/>
  <c r="S711" i="1"/>
  <c r="S713" i="1"/>
  <c r="S471" i="1"/>
  <c r="S468" i="1"/>
  <c r="S474" i="1"/>
  <c r="D469" i="1"/>
  <c r="D473" i="1"/>
  <c r="L473" i="1" s="1"/>
  <c r="S467" i="1"/>
  <c r="S466" i="1"/>
  <c r="S465" i="1"/>
  <c r="K53" i="2" s="1"/>
  <c r="J53" i="2" s="1"/>
  <c r="S362" i="1"/>
  <c r="S361" i="1"/>
  <c r="S355" i="1"/>
  <c r="S475" i="1"/>
  <c r="S352" i="1"/>
  <c r="D350" i="1"/>
  <c r="E350" i="1" s="1"/>
  <c r="S350" i="1" s="1"/>
  <c r="D338" i="1"/>
  <c r="S348" i="1"/>
  <c r="S347" i="1"/>
  <c r="S344" i="1"/>
  <c r="S343" i="1"/>
  <c r="S340" i="1"/>
  <c r="S339" i="1"/>
  <c r="S201" i="1"/>
  <c r="S598" i="1"/>
  <c r="S612" i="1"/>
  <c r="S589" i="1"/>
  <c r="S609" i="1"/>
  <c r="S608" i="1"/>
  <c r="S583" i="1"/>
  <c r="S600" i="1"/>
  <c r="S597" i="1"/>
  <c r="S729" i="1"/>
  <c r="S730" i="1"/>
  <c r="S732" i="1"/>
  <c r="D480" i="1"/>
  <c r="S187" i="1"/>
  <c r="S172" i="1"/>
  <c r="D171" i="1"/>
  <c r="S170" i="1"/>
  <c r="S559" i="1"/>
  <c r="S558" i="1"/>
  <c r="S556" i="1"/>
  <c r="S563" i="1"/>
  <c r="S562" i="1"/>
  <c r="S561" i="1"/>
  <c r="S560" i="1"/>
  <c r="S553" i="1"/>
  <c r="S547" i="1"/>
  <c r="S554" i="1"/>
  <c r="S551" i="1"/>
  <c r="S550" i="1"/>
  <c r="S541" i="1"/>
  <c r="D549" i="1"/>
  <c r="D555" i="1"/>
  <c r="D9" i="1"/>
  <c r="D557" i="1"/>
  <c r="L557" i="1" s="1"/>
  <c r="S162" i="1"/>
  <c r="S53" i="1"/>
  <c r="S148" i="1"/>
  <c r="S85" i="1"/>
  <c r="S147" i="1"/>
  <c r="S87" i="1"/>
  <c r="S62" i="1"/>
  <c r="S71" i="1"/>
  <c r="S109" i="1"/>
  <c r="S40" i="1"/>
  <c r="S34" i="1"/>
  <c r="S31" i="1"/>
  <c r="S18" i="1"/>
  <c r="S117" i="1"/>
  <c r="S161" i="1"/>
  <c r="S30" i="1"/>
  <c r="S135" i="1"/>
  <c r="S84" i="1"/>
  <c r="S156" i="1"/>
  <c r="S76" i="1"/>
  <c r="S58" i="1"/>
  <c r="D365" i="1"/>
  <c r="S599" i="1"/>
  <c r="S606" i="1"/>
  <c r="S727" i="1"/>
  <c r="S4" i="1"/>
  <c r="S5" i="1"/>
  <c r="K168" i="1"/>
  <c r="E168" i="1"/>
  <c r="S168" i="1" s="1"/>
  <c r="S453" i="1"/>
  <c r="S457" i="1"/>
  <c r="S437" i="1"/>
  <c r="S462" i="1"/>
  <c r="S448" i="1"/>
  <c r="S452" i="1"/>
  <c r="D384" i="1"/>
  <c r="M384" i="1" s="1"/>
  <c r="D378" i="1"/>
  <c r="E378" i="1" s="1"/>
  <c r="D370" i="1"/>
  <c r="P731" i="1"/>
  <c r="L731" i="1"/>
  <c r="H731" i="1"/>
  <c r="G731" i="1"/>
  <c r="S380" i="1"/>
  <c r="S377" i="1"/>
  <c r="E622" i="1"/>
  <c r="F622" i="1"/>
  <c r="D622" i="1"/>
  <c r="E182" i="1"/>
  <c r="F182" i="1"/>
  <c r="D182" i="1"/>
  <c r="S723" i="1"/>
  <c r="S275" i="1"/>
  <c r="S203" i="1"/>
  <c r="S238" i="1"/>
  <c r="S251" i="1"/>
  <c r="S249" i="1"/>
  <c r="S336" i="1"/>
  <c r="L335" i="1"/>
  <c r="E335" i="1"/>
  <c r="D335" i="1"/>
  <c r="E345" i="1"/>
  <c r="D345" i="1"/>
  <c r="E724" i="1"/>
  <c r="D724" i="1"/>
  <c r="S716" i="1"/>
  <c r="L655" i="1"/>
  <c r="E655" i="1"/>
  <c r="K655" i="1"/>
  <c r="J655" i="1"/>
  <c r="D655" i="1"/>
  <c r="M646" i="1"/>
  <c r="E646" i="1"/>
  <c r="H646" i="1"/>
  <c r="G646" i="1"/>
  <c r="F646" i="1"/>
  <c r="D646" i="1"/>
  <c r="S456" i="1"/>
  <c r="S192" i="1"/>
  <c r="S252" i="1"/>
  <c r="S193" i="1"/>
  <c r="L191" i="1"/>
  <c r="E191" i="1"/>
  <c r="K191" i="1"/>
  <c r="J191" i="1"/>
  <c r="D191" i="1"/>
  <c r="S278" i="1"/>
  <c r="S274" i="1"/>
  <c r="S272" i="1"/>
  <c r="S271" i="1"/>
  <c r="M250" i="1"/>
  <c r="M205" i="1"/>
  <c r="M257" i="1"/>
  <c r="M273" i="1"/>
  <c r="H250" i="1"/>
  <c r="H205" i="1"/>
  <c r="G250" i="1"/>
  <c r="G205" i="1"/>
  <c r="E250" i="1"/>
  <c r="E205" i="1"/>
  <c r="E257" i="1"/>
  <c r="E273" i="1"/>
  <c r="F250" i="1"/>
  <c r="D250" i="1"/>
  <c r="F205" i="1"/>
  <c r="D205" i="1"/>
  <c r="F257" i="1"/>
  <c r="D257" i="1"/>
  <c r="F273" i="1"/>
  <c r="D273" i="1"/>
  <c r="S167" i="1"/>
  <c r="S166" i="1"/>
  <c r="S427" i="1"/>
  <c r="J56" i="2" s="1"/>
  <c r="S323" i="1"/>
  <c r="S263" i="1"/>
  <c r="D428" i="1"/>
  <c r="S507" i="1"/>
  <c r="E616" i="1"/>
  <c r="I616" i="1"/>
  <c r="J616" i="1"/>
  <c r="I586" i="1"/>
  <c r="E586" i="1"/>
  <c r="J586" i="1"/>
  <c r="D616" i="1"/>
  <c r="D586" i="1"/>
  <c r="S489" i="1"/>
  <c r="S481" i="1"/>
  <c r="S484" i="1"/>
  <c r="D483" i="1"/>
  <c r="D485" i="1"/>
  <c r="L485" i="1" s="1"/>
  <c r="S482" i="1"/>
  <c r="O604" i="1"/>
  <c r="O593" i="1"/>
  <c r="O610" i="1"/>
  <c r="D494" i="1"/>
  <c r="D717" i="1"/>
  <c r="M717" i="1" s="1"/>
  <c r="D718" i="1"/>
  <c r="E718" i="1" s="1"/>
  <c r="S222" i="1"/>
  <c r="S215" i="1"/>
  <c r="S431" i="1"/>
  <c r="S429" i="1"/>
  <c r="S415" i="1"/>
  <c r="S416" i="1"/>
  <c r="S417" i="1"/>
  <c r="E604" i="1"/>
  <c r="F604" i="1"/>
  <c r="D604" i="1"/>
  <c r="E593" i="1"/>
  <c r="F593" i="1"/>
  <c r="D593" i="1"/>
  <c r="S610" i="1"/>
  <c r="O585" i="1"/>
  <c r="O602" i="1"/>
  <c r="S317" i="1"/>
  <c r="S314" i="1"/>
  <c r="S318" i="1"/>
  <c r="S313" i="1"/>
  <c r="S315" i="1"/>
  <c r="S316" i="1"/>
  <c r="S325" i="1"/>
  <c r="S324" i="1"/>
  <c r="S585" i="1"/>
  <c r="S731" i="1"/>
  <c r="O592" i="1"/>
  <c r="O590" i="1"/>
  <c r="O588" i="1"/>
  <c r="O601" i="1"/>
  <c r="O620" i="1"/>
  <c r="O584" i="1"/>
  <c r="O621" i="1"/>
  <c r="O591" i="1"/>
  <c r="O619" i="1"/>
  <c r="O611" i="1"/>
  <c r="O614" i="1"/>
  <c r="O595" i="1"/>
  <c r="O617" i="1"/>
  <c r="O594" i="1"/>
  <c r="E592" i="1"/>
  <c r="F592" i="1"/>
  <c r="E590" i="1"/>
  <c r="F590" i="1"/>
  <c r="F588" i="1"/>
  <c r="E588" i="1"/>
  <c r="E584" i="1"/>
  <c r="F584" i="1"/>
  <c r="F601" i="1"/>
  <c r="E601" i="1"/>
  <c r="E620" i="1"/>
  <c r="F620" i="1"/>
  <c r="E621" i="1"/>
  <c r="F621" i="1"/>
  <c r="F591" i="1"/>
  <c r="E591" i="1"/>
  <c r="F619" i="1"/>
  <c r="E619" i="1"/>
  <c r="F614" i="1"/>
  <c r="E611" i="1"/>
  <c r="F611" i="1"/>
  <c r="E614" i="1"/>
  <c r="E595" i="1"/>
  <c r="F595" i="1"/>
  <c r="F617" i="1"/>
  <c r="E617" i="1"/>
  <c r="F594" i="1"/>
  <c r="E594" i="1"/>
  <c r="D592" i="1"/>
  <c r="S592" i="1" s="1"/>
  <c r="D590" i="1"/>
  <c r="D588" i="1"/>
  <c r="D584" i="1"/>
  <c r="D601" i="1"/>
  <c r="D620" i="1"/>
  <c r="D602" i="1"/>
  <c r="S602" i="1" s="1"/>
  <c r="D621" i="1"/>
  <c r="D591" i="1"/>
  <c r="D619" i="1"/>
  <c r="D594" i="1"/>
  <c r="D611" i="1"/>
  <c r="D614" i="1"/>
  <c r="D595" i="1"/>
  <c r="D617" i="1"/>
  <c r="D261" i="1"/>
  <c r="S261" i="1" s="1"/>
  <c r="D183" i="1"/>
  <c r="S183" i="1" s="1"/>
  <c r="S613" i="1"/>
  <c r="D587" i="1"/>
  <c r="S587" i="1" s="1"/>
  <c r="F668" i="1"/>
  <c r="N657" i="1"/>
  <c r="L657" i="1"/>
  <c r="L111" i="1"/>
  <c r="D247" i="1"/>
  <c r="K247" i="1" s="1"/>
  <c r="D294" i="1"/>
  <c r="L294" i="1" s="1"/>
  <c r="S720" i="1"/>
  <c r="S719" i="1"/>
  <c r="S712" i="1"/>
  <c r="S722" i="1"/>
  <c r="S680" i="1"/>
  <c r="S679" i="1"/>
  <c r="S663" i="1"/>
  <c r="S699" i="1"/>
  <c r="S707" i="1"/>
  <c r="S697" i="1"/>
  <c r="S656" i="1"/>
  <c r="S662" i="1"/>
  <c r="S664" i="1"/>
  <c r="S681" i="1"/>
  <c r="S698" i="1"/>
  <c r="S705" i="1"/>
  <c r="S652" i="1"/>
  <c r="S676" i="1"/>
  <c r="S704" i="1"/>
  <c r="S696" i="1"/>
  <c r="S684" i="1"/>
  <c r="S693" i="1"/>
  <c r="S648" i="1"/>
  <c r="S647" i="1"/>
  <c r="S605" i="1"/>
  <c r="S570" i="1"/>
  <c r="S575" i="1"/>
  <c r="S578" i="1"/>
  <c r="S574" i="1"/>
  <c r="S501" i="1"/>
  <c r="S502" i="1"/>
  <c r="S513" i="1"/>
  <c r="S514" i="1"/>
  <c r="S538" i="1"/>
  <c r="S509" i="1"/>
  <c r="S535" i="1"/>
  <c r="S523" i="1"/>
  <c r="S524" i="1"/>
  <c r="S521" i="1"/>
  <c r="S488" i="1"/>
  <c r="S490" i="1"/>
  <c r="S487" i="1"/>
  <c r="S463" i="1"/>
  <c r="S451" i="1"/>
  <c r="S440" i="1"/>
  <c r="S434" i="1"/>
  <c r="S454" i="1"/>
  <c r="S443" i="1"/>
  <c r="S445" i="1"/>
  <c r="S430" i="1"/>
  <c r="S421" i="1"/>
  <c r="S422" i="1"/>
  <c r="S420" i="1"/>
  <c r="S381" i="1"/>
  <c r="S349" i="1"/>
  <c r="S353" i="1"/>
  <c r="S351" i="1"/>
  <c r="S312" i="1"/>
  <c r="S284" i="1"/>
  <c r="S298" i="1"/>
  <c r="S328" i="1"/>
  <c r="S302" i="1"/>
  <c r="S333" i="1"/>
  <c r="S286" i="1"/>
  <c r="S304" i="1"/>
  <c r="S287" i="1"/>
  <c r="S327" i="1"/>
  <c r="S301" i="1"/>
  <c r="S331" i="1"/>
  <c r="S295" i="1"/>
  <c r="S319" i="1"/>
  <c r="S309" i="1"/>
  <c r="S308" i="1"/>
  <c r="S291" i="1"/>
  <c r="S297" i="1"/>
  <c r="S285" i="1"/>
  <c r="S199" i="1"/>
  <c r="S224" i="1"/>
  <c r="S217" i="1"/>
  <c r="S202" i="1"/>
  <c r="S230" i="1"/>
  <c r="S241" i="1"/>
  <c r="S245" i="1"/>
  <c r="S216" i="1"/>
  <c r="S256" i="1"/>
  <c r="S208" i="1"/>
  <c r="S186" i="1"/>
  <c r="S185" i="1"/>
  <c r="S169" i="1"/>
  <c r="S142" i="1"/>
  <c r="S54" i="1"/>
  <c r="S160" i="1"/>
  <c r="S154" i="1"/>
  <c r="S15" i="1"/>
  <c r="S68" i="1"/>
  <c r="S124" i="1"/>
  <c r="S37" i="1"/>
  <c r="S75" i="1"/>
  <c r="S16" i="1"/>
  <c r="S141" i="1"/>
  <c r="S33" i="1"/>
  <c r="S38" i="1"/>
  <c r="S121" i="1"/>
  <c r="S94" i="1"/>
  <c r="S51" i="1"/>
  <c r="S19" i="1"/>
  <c r="S116" i="1"/>
  <c r="S77" i="1"/>
  <c r="S145" i="1"/>
  <c r="S120" i="1"/>
  <c r="S125" i="1"/>
  <c r="S126" i="1"/>
  <c r="S20" i="1"/>
  <c r="S48" i="1"/>
  <c r="S80" i="1"/>
  <c r="S123" i="1"/>
  <c r="S159" i="1"/>
  <c r="S86" i="1"/>
  <c r="S57" i="1"/>
  <c r="S64" i="1"/>
  <c r="S60" i="1"/>
  <c r="S25" i="1"/>
  <c r="S155" i="1"/>
  <c r="S163" i="1"/>
  <c r="S45" i="1"/>
  <c r="S82" i="1"/>
  <c r="S146" i="1"/>
  <c r="S41" i="1"/>
  <c r="S52" i="1"/>
  <c r="S118" i="1"/>
  <c r="S56" i="1"/>
  <c r="S73" i="1"/>
  <c r="S63" i="1"/>
  <c r="S105" i="1"/>
  <c r="S91" i="1"/>
  <c r="S153" i="1"/>
  <c r="S150" i="1"/>
  <c r="S137" i="1"/>
  <c r="S17" i="1"/>
  <c r="S29" i="1"/>
  <c r="S72" i="1"/>
  <c r="S49" i="1"/>
  <c r="S35" i="1"/>
  <c r="S149" i="1"/>
  <c r="S61" i="1"/>
  <c r="S83" i="1"/>
  <c r="S134" i="1"/>
  <c r="S70" i="1"/>
  <c r="S132" i="1"/>
  <c r="S21" i="1"/>
  <c r="S151" i="1"/>
  <c r="S81" i="1"/>
  <c r="S114" i="1"/>
  <c r="S158" i="1"/>
  <c r="S88" i="1"/>
  <c r="S89" i="1"/>
  <c r="S127" i="1"/>
  <c r="S43" i="1"/>
  <c r="S104" i="1"/>
  <c r="S136" i="1"/>
  <c r="S129" i="1"/>
  <c r="S110" i="1"/>
  <c r="S47" i="1"/>
  <c r="S119" i="1"/>
  <c r="S128" i="1"/>
  <c r="S46" i="1"/>
  <c r="S22" i="1"/>
  <c r="S26" i="1"/>
  <c r="S106" i="1"/>
  <c r="S66" i="1"/>
  <c r="S103" i="1"/>
  <c r="S95" i="1"/>
  <c r="S112" i="1"/>
  <c r="S115" i="1"/>
  <c r="J26" i="2" s="1"/>
  <c r="S101" i="1"/>
  <c r="S140" i="1"/>
  <c r="S139" i="1"/>
  <c r="S69" i="1"/>
  <c r="S78" i="1"/>
  <c r="S157" i="1"/>
  <c r="S65" i="1"/>
  <c r="S44" i="1"/>
  <c r="S74" i="1"/>
  <c r="S100" i="1"/>
  <c r="S144" i="1"/>
  <c r="S152" i="1"/>
  <c r="S28" i="1"/>
  <c r="S131" i="1"/>
  <c r="S39" i="1"/>
  <c r="S97" i="1"/>
  <c r="S96" i="1"/>
  <c r="S130" i="1"/>
  <c r="S24" i="1"/>
  <c r="S42" i="1"/>
  <c r="K21" i="2" s="1"/>
  <c r="J21" i="2" s="1"/>
  <c r="S36" i="1"/>
  <c r="S138" i="1"/>
  <c r="S79" i="1"/>
  <c r="S92" i="1"/>
  <c r="S55" i="1"/>
  <c r="S133" i="1"/>
  <c r="S108" i="1"/>
  <c r="S59" i="1"/>
  <c r="S50" i="1"/>
  <c r="S23" i="1"/>
  <c r="S93" i="1"/>
  <c r="S122" i="1"/>
  <c r="S32" i="1"/>
  <c r="S99" i="1"/>
  <c r="S98" i="1"/>
  <c r="S27" i="1"/>
  <c r="S113" i="1"/>
  <c r="S7" i="1"/>
  <c r="S14" i="1"/>
  <c r="D320" i="1"/>
  <c r="E320" i="1" s="1"/>
  <c r="L413" i="1"/>
  <c r="E413" i="1"/>
  <c r="D413" i="1"/>
  <c r="L7" i="2"/>
  <c r="D178" i="1"/>
  <c r="D6" i="1"/>
  <c r="S311" i="1"/>
  <c r="K265" i="1"/>
  <c r="L265" i="1"/>
  <c r="N265" i="1"/>
  <c r="E265" i="1"/>
  <c r="D265" i="1"/>
  <c r="K213" i="1"/>
  <c r="L213" i="1"/>
  <c r="E213" i="1"/>
  <c r="D213" i="1"/>
  <c r="E645" i="1"/>
  <c r="D645" i="1"/>
  <c r="E644" i="1"/>
  <c r="D644" i="1"/>
  <c r="E322" i="1"/>
  <c r="D322" i="1"/>
  <c r="E337" i="1"/>
  <c r="D337" i="1"/>
  <c r="E334" i="1"/>
  <c r="D334" i="1"/>
  <c r="E498" i="1"/>
  <c r="K498" i="1"/>
  <c r="J498" i="1"/>
  <c r="I498" i="1"/>
  <c r="D498" i="1"/>
  <c r="S498" i="1" s="1"/>
  <c r="E504" i="1"/>
  <c r="K504" i="1"/>
  <c r="J504" i="1"/>
  <c r="I504" i="1"/>
  <c r="D504" i="1"/>
  <c r="S504" i="1" s="1"/>
  <c r="I516" i="1"/>
  <c r="J516" i="1"/>
  <c r="K516" i="1"/>
  <c r="E516" i="1"/>
  <c r="D516" i="1"/>
  <c r="J637" i="1"/>
  <c r="K637" i="1"/>
  <c r="E637" i="1"/>
  <c r="L637" i="1"/>
  <c r="D637" i="1"/>
  <c r="I636" i="1"/>
  <c r="J636" i="1"/>
  <c r="K636" i="1"/>
  <c r="E636" i="1"/>
  <c r="L636" i="1"/>
  <c r="D636" i="1"/>
  <c r="I640" i="1"/>
  <c r="J640" i="1"/>
  <c r="K640" i="1"/>
  <c r="E640" i="1"/>
  <c r="L640" i="1"/>
  <c r="D640" i="1"/>
  <c r="I632" i="1"/>
  <c r="J632" i="1"/>
  <c r="K632" i="1"/>
  <c r="E632" i="1"/>
  <c r="L632" i="1"/>
  <c r="D632" i="1"/>
  <c r="S519" i="1"/>
  <c r="S506" i="1"/>
  <c r="D228" i="1"/>
  <c r="E228" i="1" s="1"/>
  <c r="D200" i="1"/>
  <c r="E200" i="1" s="1"/>
  <c r="D629" i="1"/>
  <c r="K629" i="1" s="1"/>
  <c r="D626" i="1"/>
  <c r="L639" i="1"/>
  <c r="E639" i="1"/>
  <c r="K639" i="1"/>
  <c r="J639" i="1"/>
  <c r="I639" i="1"/>
  <c r="D639" i="1"/>
  <c r="S639" i="1" s="1"/>
  <c r="E668" i="1"/>
  <c r="D668" i="1"/>
  <c r="E607" i="1"/>
  <c r="D607" i="1"/>
  <c r="E111" i="1"/>
  <c r="D111" i="1"/>
  <c r="E657" i="1"/>
  <c r="D657" i="1"/>
  <c r="E532" i="1"/>
  <c r="D532" i="1"/>
  <c r="E310" i="1"/>
  <c r="D310" i="1"/>
  <c r="E296" i="1"/>
  <c r="D296" i="1"/>
  <c r="E307" i="1"/>
  <c r="D307" i="1"/>
  <c r="E517" i="1"/>
  <c r="D517" i="1"/>
  <c r="L376" i="1"/>
  <c r="E376" i="1"/>
  <c r="H376" i="1"/>
  <c r="G376" i="1"/>
  <c r="F376" i="1"/>
  <c r="D376" i="1"/>
  <c r="L714" i="1"/>
  <c r="E714" i="1"/>
  <c r="D714" i="1"/>
  <c r="D227" i="1"/>
  <c r="D450" i="1"/>
  <c r="D439" i="1"/>
  <c r="D512" i="1"/>
  <c r="D539" i="1"/>
  <c r="D692" i="1"/>
  <c r="D649" i="1"/>
  <c r="D623" i="1"/>
  <c r="D388" i="1"/>
  <c r="D276" i="1"/>
  <c r="D269" i="1"/>
  <c r="S269" i="1" s="1"/>
  <c r="D189" i="1"/>
  <c r="D277" i="1"/>
  <c r="D233" i="1"/>
  <c r="D258" i="1"/>
  <c r="D643" i="1"/>
  <c r="D11" i="1"/>
  <c r="D690" i="1"/>
  <c r="D653" i="1"/>
  <c r="D174" i="1"/>
  <c r="D240" i="1"/>
  <c r="D329" i="1"/>
  <c r="D303" i="1"/>
  <c r="D243" i="1"/>
  <c r="D253" i="1"/>
  <c r="D694" i="1"/>
  <c r="D660" i="1"/>
  <c r="D225" i="1"/>
  <c r="D246" i="1"/>
  <c r="D234" i="1"/>
  <c r="D281" i="1"/>
  <c r="D236" i="1"/>
  <c r="D268" i="1"/>
  <c r="S268" i="1" s="1"/>
  <c r="D259" i="1"/>
  <c r="D214" i="1"/>
  <c r="E214" i="1"/>
  <c r="F214" i="1"/>
  <c r="F259" i="1"/>
  <c r="E259" i="1"/>
  <c r="S231" i="1"/>
  <c r="F268" i="1"/>
  <c r="M268" i="1"/>
  <c r="S266" i="1"/>
  <c r="M236" i="1"/>
  <c r="F236" i="1"/>
  <c r="E236" i="1"/>
  <c r="H281" i="1"/>
  <c r="G281" i="1"/>
  <c r="F281" i="1"/>
  <c r="M281" i="1"/>
  <c r="L281" i="1"/>
  <c r="E281" i="1"/>
  <c r="K281" i="1"/>
  <c r="J234" i="1"/>
  <c r="K234" i="1"/>
  <c r="E234" i="1"/>
  <c r="L246" i="1"/>
  <c r="I246" i="1"/>
  <c r="J246" i="1"/>
  <c r="K246" i="1"/>
  <c r="E246" i="1"/>
  <c r="L225" i="1"/>
  <c r="E225" i="1"/>
  <c r="E660" i="1"/>
  <c r="L694" i="1"/>
  <c r="E694" i="1"/>
  <c r="F253" i="1"/>
  <c r="E253" i="1"/>
  <c r="F240" i="1"/>
  <c r="E240" i="1"/>
  <c r="F243" i="1"/>
  <c r="E243" i="1"/>
  <c r="E303" i="1"/>
  <c r="N329" i="1"/>
  <c r="L329" i="1"/>
  <c r="E329" i="1"/>
  <c r="Q174" i="1"/>
  <c r="E174" i="1"/>
  <c r="F174" i="1"/>
  <c r="S576" i="1"/>
  <c r="E568" i="1"/>
  <c r="S568" i="1" s="1"/>
  <c r="E572" i="1"/>
  <c r="S572" i="1" s="1"/>
  <c r="E566" i="1"/>
  <c r="S566" i="1" s="1"/>
  <c r="I227" i="1"/>
  <c r="E692" i="1"/>
  <c r="E539" i="1"/>
  <c r="E512" i="1"/>
  <c r="E439" i="1"/>
  <c r="E450" i="1"/>
  <c r="E653" i="1"/>
  <c r="L690" i="1"/>
  <c r="E690" i="1"/>
  <c r="E11" i="1"/>
  <c r="S447" i="1"/>
  <c r="E643" i="1"/>
  <c r="E258" i="1"/>
  <c r="E233" i="1"/>
  <c r="E277" i="1"/>
  <c r="S492" i="1"/>
  <c r="E189" i="1"/>
  <c r="S728" i="1"/>
  <c r="K227" i="1"/>
  <c r="J227" i="1"/>
  <c r="E227" i="1"/>
  <c r="S306" i="1"/>
  <c r="S292" i="1"/>
  <c r="J388" i="1"/>
  <c r="J649" i="1"/>
  <c r="E276" i="1"/>
  <c r="E388" i="1"/>
  <c r="E623" i="1"/>
  <c r="E649" i="1"/>
  <c r="S376" i="1" l="1"/>
  <c r="S646" i="1"/>
  <c r="D1" i="1"/>
  <c r="H10" i="2"/>
  <c r="S273" i="1"/>
  <c r="K45" i="2"/>
  <c r="J45" i="2" s="1"/>
  <c r="K48" i="2"/>
  <c r="J48" i="2" s="1"/>
  <c r="I10" i="2"/>
  <c r="S617" i="1"/>
  <c r="S225" i="1"/>
  <c r="S643" i="1"/>
  <c r="L549" i="1"/>
  <c r="H20" i="2"/>
  <c r="I20" i="2"/>
  <c r="I36" i="2"/>
  <c r="H36" i="2"/>
  <c r="H13" i="2"/>
  <c r="I13" i="2"/>
  <c r="H14" i="2"/>
  <c r="I14" i="2"/>
  <c r="E626" i="1"/>
  <c r="S626" i="1" s="1"/>
  <c r="I29" i="2"/>
  <c r="H29" i="2"/>
  <c r="E6" i="1"/>
  <c r="S6" i="1" s="1"/>
  <c r="I18" i="2"/>
  <c r="H18" i="2"/>
  <c r="L483" i="1"/>
  <c r="I19" i="2"/>
  <c r="H19" i="2"/>
  <c r="I35" i="2"/>
  <c r="H35" i="2"/>
  <c r="I27" i="2"/>
  <c r="H27" i="2"/>
  <c r="E171" i="1"/>
  <c r="S171" i="1" s="1"/>
  <c r="H28" i="2"/>
  <c r="I28" i="2"/>
  <c r="E480" i="1"/>
  <c r="S480" i="1" s="1"/>
  <c r="K22" i="2" s="1"/>
  <c r="H22" i="2"/>
  <c r="I22" i="2"/>
  <c r="E469" i="1"/>
  <c r="S469" i="1" s="1"/>
  <c r="I37" i="2"/>
  <c r="H37" i="2"/>
  <c r="E397" i="1"/>
  <c r="S397" i="1" s="1"/>
  <c r="K40" i="2" s="1"/>
  <c r="H40" i="2"/>
  <c r="I40" i="2"/>
  <c r="N497" i="1"/>
  <c r="I6" i="2"/>
  <c r="H6" i="2"/>
  <c r="I46" i="2"/>
  <c r="H46" i="2"/>
  <c r="H5" i="2"/>
  <c r="I5" i="2"/>
  <c r="I12" i="2"/>
  <c r="H12" i="2"/>
  <c r="S611" i="1"/>
  <c r="H23" i="2"/>
  <c r="I23" i="2"/>
  <c r="H4" i="2"/>
  <c r="I4" i="2"/>
  <c r="H47" i="2"/>
  <c r="I47" i="2"/>
  <c r="E178" i="1"/>
  <c r="S178" i="1" s="1"/>
  <c r="H25" i="2"/>
  <c r="I25" i="2"/>
  <c r="E428" i="1"/>
  <c r="S428" i="1" s="1"/>
  <c r="K42" i="2" s="1"/>
  <c r="H42" i="2"/>
  <c r="I42" i="2"/>
  <c r="E338" i="1"/>
  <c r="S338" i="1" s="1"/>
  <c r="I9" i="2"/>
  <c r="H9" i="2"/>
  <c r="S569" i="1"/>
  <c r="K15" i="2" s="1"/>
  <c r="I15" i="2"/>
  <c r="H15" i="2"/>
  <c r="E423" i="1"/>
  <c r="S423" i="1" s="1"/>
  <c r="K16" i="2" s="1"/>
  <c r="I16" i="2"/>
  <c r="H16" i="2"/>
  <c r="S649" i="1"/>
  <c r="K46" i="2" s="1"/>
  <c r="S258" i="1"/>
  <c r="S517" i="1"/>
  <c r="S296" i="1"/>
  <c r="S532" i="1"/>
  <c r="I7" i="2"/>
  <c r="H7" i="2"/>
  <c r="H11" i="2"/>
  <c r="I11" i="2"/>
  <c r="K6" i="1"/>
  <c r="E247" i="1"/>
  <c r="S247" i="1" s="1"/>
  <c r="S601" i="1"/>
  <c r="I43" i="2"/>
  <c r="H43" i="2"/>
  <c r="L366" i="1"/>
  <c r="I31" i="2"/>
  <c r="H31" i="2"/>
  <c r="S581" i="1"/>
  <c r="K39" i="2" s="1"/>
  <c r="H39" i="2"/>
  <c r="I39" i="2"/>
  <c r="S653" i="1"/>
  <c r="F366" i="1"/>
  <c r="E357" i="1"/>
  <c r="S357" i="1" s="1"/>
  <c r="S235" i="1"/>
  <c r="S692" i="1"/>
  <c r="S604" i="1"/>
  <c r="S690" i="1"/>
  <c r="S539" i="1"/>
  <c r="S620" i="1"/>
  <c r="S590" i="1"/>
  <c r="L717" i="1"/>
  <c r="H367" i="1"/>
  <c r="S450" i="1"/>
  <c r="S694" i="1"/>
  <c r="S668" i="1"/>
  <c r="L497" i="1"/>
  <c r="S594" i="1"/>
  <c r="S586" i="1"/>
  <c r="N428" i="1"/>
  <c r="S205" i="1"/>
  <c r="L367" i="1"/>
  <c r="S673" i="1"/>
  <c r="K497" i="1"/>
  <c r="L178" i="1"/>
  <c r="S277" i="1"/>
  <c r="S439" i="1"/>
  <c r="S640" i="1"/>
  <c r="S636" i="1"/>
  <c r="S637" i="1"/>
  <c r="K41" i="2" s="1"/>
  <c r="J41" i="2" s="1"/>
  <c r="S213" i="1"/>
  <c r="S265" i="1"/>
  <c r="S616" i="1"/>
  <c r="S621" i="1"/>
  <c r="S234" i="1"/>
  <c r="S657" i="1"/>
  <c r="S365" i="1"/>
  <c r="K27" i="2" s="1"/>
  <c r="J629" i="1"/>
  <c r="S345" i="1"/>
  <c r="S246" i="1"/>
  <c r="L629" i="1"/>
  <c r="E384" i="1"/>
  <c r="S384" i="1" s="1"/>
  <c r="S276" i="1"/>
  <c r="S281" i="1"/>
  <c r="K54" i="2" s="1"/>
  <c r="J54" i="2" s="1"/>
  <c r="S660" i="1"/>
  <c r="S189" i="1"/>
  <c r="S623" i="1"/>
  <c r="S512" i="1"/>
  <c r="S714" i="1"/>
  <c r="S307" i="1"/>
  <c r="S310" i="1"/>
  <c r="E629" i="1"/>
  <c r="S629" i="1" s="1"/>
  <c r="K228" i="1"/>
  <c r="S591" i="1"/>
  <c r="S584" i="1"/>
  <c r="M378" i="1"/>
  <c r="M280" i="1"/>
  <c r="S303" i="1"/>
  <c r="S329" i="1"/>
  <c r="I629" i="1"/>
  <c r="S288" i="1"/>
  <c r="N6" i="1"/>
  <c r="L247" i="1"/>
  <c r="S414" i="1"/>
  <c r="S595" i="1"/>
  <c r="S257" i="1"/>
  <c r="S622" i="1"/>
  <c r="E549" i="1"/>
  <c r="S549" i="1" s="1"/>
  <c r="E280" i="1"/>
  <c r="S280" i="1" s="1"/>
  <c r="K57" i="2" s="1"/>
  <c r="J57" i="2" s="1"/>
  <c r="S13" i="1"/>
  <c r="K49" i="2" s="1"/>
  <c r="J49" i="2" s="1"/>
  <c r="S564" i="1"/>
  <c r="K36" i="2" s="1"/>
  <c r="S233" i="1"/>
  <c r="S632" i="1"/>
  <c r="S358" i="1"/>
  <c r="S236" i="1"/>
  <c r="S243" i="1"/>
  <c r="S174" i="1"/>
  <c r="S337" i="1"/>
  <c r="S322" i="1"/>
  <c r="E294" i="1"/>
  <c r="S294" i="1" s="1"/>
  <c r="S449" i="1"/>
  <c r="S614" i="1"/>
  <c r="S191" i="1"/>
  <c r="S335" i="1"/>
  <c r="E497" i="1"/>
  <c r="S497" i="1" s="1"/>
  <c r="S596" i="1"/>
  <c r="L626" i="1"/>
  <c r="H378" i="1"/>
  <c r="E557" i="1"/>
  <c r="S557" i="1" s="1"/>
  <c r="K480" i="1"/>
  <c r="S253" i="1"/>
  <c r="S240" i="1"/>
  <c r="S207" i="1"/>
  <c r="S607" i="1"/>
  <c r="K626" i="1"/>
  <c r="S516" i="1"/>
  <c r="S645" i="1"/>
  <c r="S619" i="1"/>
  <c r="S593" i="1"/>
  <c r="E717" i="1"/>
  <c r="S717" i="1" s="1"/>
  <c r="E485" i="1"/>
  <c r="S485" i="1" s="1"/>
  <c r="E370" i="1"/>
  <c r="S370" i="1" s="1"/>
  <c r="K51" i="2"/>
  <c r="N557" i="1"/>
  <c r="L480" i="1"/>
  <c r="K473" i="1"/>
  <c r="E366" i="1"/>
  <c r="S366" i="1" s="1"/>
  <c r="H366" i="1"/>
  <c r="L13" i="1"/>
  <c r="S11" i="1"/>
  <c r="S259" i="1"/>
  <c r="S388" i="1"/>
  <c r="S227" i="1"/>
  <c r="S334" i="1"/>
  <c r="S644" i="1"/>
  <c r="K24" i="2" s="1"/>
  <c r="J24" i="2" s="1"/>
  <c r="L6" i="1"/>
  <c r="S413" i="1"/>
  <c r="S588" i="1"/>
  <c r="N494" i="1"/>
  <c r="S250" i="1"/>
  <c r="S182" i="1"/>
  <c r="F384" i="1"/>
  <c r="F370" i="1"/>
  <c r="S505" i="1"/>
  <c r="E173" i="1"/>
  <c r="S173" i="1" s="1"/>
  <c r="K50" i="2" s="1"/>
  <c r="J50" i="2" s="1"/>
  <c r="E180" i="1"/>
  <c r="S180" i="1" s="1"/>
  <c r="K581" i="1"/>
  <c r="S718" i="1"/>
  <c r="K38" i="2"/>
  <c r="J38" i="2" s="1"/>
  <c r="L228" i="1"/>
  <c r="N228" i="1"/>
  <c r="K32" i="2"/>
  <c r="J32" i="2" s="1"/>
  <c r="E9" i="1"/>
  <c r="S9" i="1" s="1"/>
  <c r="K9" i="1"/>
  <c r="K17" i="2"/>
  <c r="J17" i="2" s="1"/>
  <c r="K33" i="2"/>
  <c r="J33" i="2" s="1"/>
  <c r="L511" i="1"/>
  <c r="E725" i="1"/>
  <c r="S725" i="1" s="1"/>
  <c r="S228" i="1"/>
  <c r="E483" i="1"/>
  <c r="S483" i="1" s="1"/>
  <c r="K483" i="1"/>
  <c r="S378" i="1"/>
  <c r="F378" i="1"/>
  <c r="G378" i="1"/>
  <c r="N9" i="1"/>
  <c r="E473" i="1"/>
  <c r="S473" i="1" s="1"/>
  <c r="G367" i="1"/>
  <c r="E367" i="1"/>
  <c r="S367" i="1" s="1"/>
  <c r="S702" i="1"/>
  <c r="E511" i="1"/>
  <c r="S511" i="1" s="1"/>
  <c r="L305" i="1"/>
  <c r="E700" i="1"/>
  <c r="S700" i="1" s="1"/>
  <c r="F596" i="1"/>
  <c r="S342" i="1"/>
  <c r="M725" i="1"/>
  <c r="L581" i="1"/>
  <c r="S320" i="1"/>
  <c r="N511" i="1"/>
  <c r="S111" i="1"/>
  <c r="S214" i="1"/>
  <c r="S200" i="1"/>
  <c r="M718" i="1"/>
  <c r="L718" i="1"/>
  <c r="E494" i="1"/>
  <c r="S494" i="1" s="1"/>
  <c r="L428" i="1"/>
  <c r="S655" i="1"/>
  <c r="S724" i="1"/>
  <c r="E555" i="1"/>
  <c r="S555" i="1" s="1"/>
  <c r="L555" i="1"/>
  <c r="K397" i="1"/>
  <c r="L397" i="1"/>
  <c r="E305" i="1"/>
  <c r="S305" i="1" s="1"/>
  <c r="M346" i="1"/>
  <c r="R1" i="1" l="1"/>
  <c r="S1" i="1"/>
  <c r="I59" i="2"/>
  <c r="K7" i="2"/>
  <c r="J7" i="2" s="1"/>
  <c r="K10" i="2"/>
  <c r="J10" i="2" s="1"/>
  <c r="K12" i="2"/>
  <c r="J12" i="2" s="1"/>
  <c r="K37" i="2"/>
  <c r="J37" i="2" s="1"/>
  <c r="J27" i="2"/>
  <c r="J42" i="2"/>
  <c r="J40" i="2"/>
  <c r="J15" i="2"/>
  <c r="J16" i="2"/>
  <c r="J39" i="2"/>
  <c r="J22" i="2"/>
  <c r="H2" i="2"/>
  <c r="J36" i="2"/>
  <c r="J46" i="2"/>
  <c r="I2" i="2"/>
  <c r="K47" i="2"/>
  <c r="J47" i="2" s="1"/>
  <c r="K35" i="2"/>
  <c r="J35" i="2" s="1"/>
  <c r="J51" i="2"/>
  <c r="K28" i="2"/>
  <c r="J28" i="2" s="1"/>
  <c r="K43" i="2"/>
  <c r="J43" i="2" s="1"/>
  <c r="K23" i="2"/>
  <c r="J23" i="2" s="1"/>
  <c r="K29" i="2"/>
  <c r="J29" i="2" s="1"/>
  <c r="K11" i="2"/>
  <c r="J11" i="2" s="1"/>
  <c r="K6" i="2"/>
  <c r="J6" i="2" s="1"/>
  <c r="K9" i="2"/>
  <c r="J9" i="2" s="1"/>
  <c r="K20" i="2"/>
  <c r="J20" i="2" s="1"/>
  <c r="K19" i="2"/>
  <c r="J19" i="2" s="1"/>
  <c r="K25" i="2"/>
  <c r="J25" i="2" s="1"/>
  <c r="K18" i="2"/>
  <c r="J18" i="2" s="1"/>
  <c r="K14" i="2"/>
  <c r="J14" i="2" s="1"/>
  <c r="K13" i="2"/>
  <c r="J13" i="2" s="1"/>
  <c r="K4" i="2"/>
  <c r="K5" i="2"/>
  <c r="J5" i="2" s="1"/>
  <c r="K31" i="2"/>
  <c r="J31" i="2" s="1"/>
  <c r="J4" i="2" l="1"/>
  <c r="J59" i="2" s="1"/>
  <c r="K59" i="2"/>
  <c r="K2" i="2"/>
  <c r="J2" i="2" s="1"/>
</calcChain>
</file>

<file path=xl/sharedStrings.xml><?xml version="1.0" encoding="utf-8"?>
<sst xmlns="http://schemas.openxmlformats.org/spreadsheetml/2006/main" count="3838" uniqueCount="1361">
  <si>
    <t>%Pb</t>
  </si>
  <si>
    <t>%Zn</t>
  </si>
  <si>
    <t>g/t Ag</t>
  </si>
  <si>
    <t>%Cu</t>
  </si>
  <si>
    <t>g/t Au</t>
  </si>
  <si>
    <t>Company</t>
  </si>
  <si>
    <t>Country</t>
  </si>
  <si>
    <t>Mine Name</t>
  </si>
  <si>
    <t>Australia</t>
  </si>
  <si>
    <t>Aditya Birla Minerals</t>
  </si>
  <si>
    <t>Mowana</t>
  </si>
  <si>
    <t>Nifty</t>
  </si>
  <si>
    <t>Mt Gordon</t>
  </si>
  <si>
    <t>Botswana</t>
  </si>
  <si>
    <t xml:space="preserve">African Copper PLC     </t>
  </si>
  <si>
    <t>Mkushi</t>
  </si>
  <si>
    <t>Zambia</t>
  </si>
  <si>
    <t>African Eagle</t>
  </si>
  <si>
    <t>Mokambo</t>
  </si>
  <si>
    <t>First Quantum</t>
  </si>
  <si>
    <t>Mauritania</t>
  </si>
  <si>
    <t>Los Bronces</t>
  </si>
  <si>
    <t>Chile</t>
  </si>
  <si>
    <t>AngloAmerican</t>
  </si>
  <si>
    <t>El Soldado</t>
  </si>
  <si>
    <t>Mantos Blancos</t>
  </si>
  <si>
    <t>Ernest Henry</t>
  </si>
  <si>
    <t>Xstrata</t>
  </si>
  <si>
    <t>Canada</t>
  </si>
  <si>
    <t>Bajo de la Alumbrera</t>
  </si>
  <si>
    <t>Argentina</t>
  </si>
  <si>
    <t>%Mo</t>
  </si>
  <si>
    <t>Peru</t>
  </si>
  <si>
    <t>Tintaya</t>
  </si>
  <si>
    <t>Antapaccay</t>
  </si>
  <si>
    <t>Kylylahti</t>
  </si>
  <si>
    <t>Finland</t>
  </si>
  <si>
    <t>Altona Mining Limited</t>
  </si>
  <si>
    <t>Bingham Canyon</t>
  </si>
  <si>
    <t>Rio Tinto</t>
  </si>
  <si>
    <t>Palabora</t>
  </si>
  <si>
    <t>South Africa</t>
  </si>
  <si>
    <t>Eagle</t>
  </si>
  <si>
    <t>Mongolia</t>
  </si>
  <si>
    <t>BHP Billiton</t>
  </si>
  <si>
    <t>Porphyry</t>
  </si>
  <si>
    <t>USA</t>
  </si>
  <si>
    <t xml:space="preserve">Los Pelambres </t>
  </si>
  <si>
    <t>Esperanza (Sulphides)</t>
  </si>
  <si>
    <t>El Tesoro</t>
  </si>
  <si>
    <t>Michilla</t>
  </si>
  <si>
    <t>Antucoya</t>
  </si>
  <si>
    <t>Telegrafo</t>
  </si>
  <si>
    <t>Caracoles</t>
  </si>
  <si>
    <t>Antofagasta PLC</t>
  </si>
  <si>
    <t>Pakistan</t>
  </si>
  <si>
    <t>Radomiro Tomic</t>
  </si>
  <si>
    <t>Chuquicamata</t>
  </si>
  <si>
    <t>Ministro Hales</t>
  </si>
  <si>
    <t>Andina</t>
  </si>
  <si>
    <t>Gabriela Mistral</t>
  </si>
  <si>
    <t>Exploraciones/Negociosy Filiales</t>
  </si>
  <si>
    <t>CODELCO</t>
  </si>
  <si>
    <t>La Caridad</t>
  </si>
  <si>
    <t>Buenavista del Cobre</t>
  </si>
  <si>
    <t>Mexico</t>
  </si>
  <si>
    <t>ASARCO</t>
  </si>
  <si>
    <t>Cuajone</t>
  </si>
  <si>
    <t>Toquepala</t>
  </si>
  <si>
    <t>Mission</t>
  </si>
  <si>
    <t>Ray</t>
  </si>
  <si>
    <t>Silver Bell</t>
  </si>
  <si>
    <t>La Balsa</t>
  </si>
  <si>
    <t xml:space="preserve">Bell Copper Corporation </t>
  </si>
  <si>
    <t>Cozamin</t>
  </si>
  <si>
    <t>Capstone Mining Corp.</t>
  </si>
  <si>
    <t>Minto</t>
  </si>
  <si>
    <t>Kutcho</t>
  </si>
  <si>
    <t>Santo Domingo</t>
  </si>
  <si>
    <t>Zaldivar</t>
  </si>
  <si>
    <t xml:space="preserve">Barrick Gold Corp. </t>
  </si>
  <si>
    <t>Pueblo Viejo</t>
  </si>
  <si>
    <t>Cerro Casale</t>
  </si>
  <si>
    <t>Pascua - Lama</t>
  </si>
  <si>
    <t>Bulyanhulu</t>
  </si>
  <si>
    <t>Buzwagi</t>
  </si>
  <si>
    <t>Dominican Republic</t>
  </si>
  <si>
    <t>Tanzania</t>
  </si>
  <si>
    <t>Çayeli</t>
  </si>
  <si>
    <t>Las Cruces</t>
  </si>
  <si>
    <t>Pyhäsalmi</t>
  </si>
  <si>
    <t>Troilus</t>
  </si>
  <si>
    <t>Ok Tedi</t>
  </si>
  <si>
    <t>Cobre Panama</t>
  </si>
  <si>
    <t>Inmet Mining Corp.</t>
  </si>
  <si>
    <t>Turkey</t>
  </si>
  <si>
    <t>Spain</t>
  </si>
  <si>
    <t>Panama</t>
  </si>
  <si>
    <t>Papua New Guinea</t>
  </si>
  <si>
    <t xml:space="preserve">Highland Valley </t>
  </si>
  <si>
    <t>Quebrada Blanca</t>
  </si>
  <si>
    <t>Duck Pond</t>
  </si>
  <si>
    <t>Zhezkazgan Complex</t>
  </si>
  <si>
    <t>Balkhash Complex</t>
  </si>
  <si>
    <t>East Region</t>
  </si>
  <si>
    <t>Kazakhmys PLC</t>
  </si>
  <si>
    <t>Karaganda Region</t>
  </si>
  <si>
    <t>Kazakhstan</t>
  </si>
  <si>
    <t>Teck</t>
  </si>
  <si>
    <t xml:space="preserve">Aitik </t>
  </si>
  <si>
    <t>Garpenberg</t>
  </si>
  <si>
    <t>Kristineberg</t>
  </si>
  <si>
    <t>Maurliden</t>
  </si>
  <si>
    <t>Renström</t>
  </si>
  <si>
    <t>Maurliden Östra</t>
  </si>
  <si>
    <t>Sweden</t>
  </si>
  <si>
    <t>Boliden</t>
  </si>
  <si>
    <t>El Porvenir</t>
  </si>
  <si>
    <t>MILPO</t>
  </si>
  <si>
    <t>Cerro Lindo</t>
  </si>
  <si>
    <t>Atacocha</t>
  </si>
  <si>
    <t>Kinsevere</t>
  </si>
  <si>
    <t>Anvil</t>
  </si>
  <si>
    <t>Antofagasta PLC, Barrick Gold, Balochistan state guv'mint</t>
  </si>
  <si>
    <t>Mt Cu</t>
  </si>
  <si>
    <t>Thompson</t>
  </si>
  <si>
    <t>Sossego</t>
  </si>
  <si>
    <t>Salobo</t>
  </si>
  <si>
    <t>Vale</t>
  </si>
  <si>
    <t>Brazil</t>
  </si>
  <si>
    <t>Mumbwa</t>
  </si>
  <si>
    <t>IOCG</t>
  </si>
  <si>
    <t>Blackthorn</t>
  </si>
  <si>
    <t>Julcani</t>
  </si>
  <si>
    <t>Trapiche</t>
  </si>
  <si>
    <t>Canteras del Hallazgo</t>
  </si>
  <si>
    <t>Buenaventura</t>
  </si>
  <si>
    <t>Silver King</t>
  </si>
  <si>
    <t>Excalibur</t>
  </si>
  <si>
    <t>Haquira</t>
  </si>
  <si>
    <t>Trident</t>
  </si>
  <si>
    <t>Kevitsa</t>
  </si>
  <si>
    <t>%Ni</t>
  </si>
  <si>
    <t>Cerro Corona</t>
  </si>
  <si>
    <t>Gold Fields</t>
  </si>
  <si>
    <t>Trout Lake</t>
  </si>
  <si>
    <t>Lalor</t>
  </si>
  <si>
    <t>Constancia</t>
  </si>
  <si>
    <t>Mount Polley</t>
  </si>
  <si>
    <t>Imperial Metals</t>
  </si>
  <si>
    <t>Huckleberry</t>
  </si>
  <si>
    <t>Red Chris</t>
  </si>
  <si>
    <t>Lubin</t>
  </si>
  <si>
    <t>Polkowice-Sieroszowice</t>
  </si>
  <si>
    <t>Rudna</t>
  </si>
  <si>
    <t>Głogów Głęboki-Przemysłowy</t>
  </si>
  <si>
    <t>Poland</t>
  </si>
  <si>
    <t>KGHM POLSKA MIEDZ S.A.</t>
  </si>
  <si>
    <t>Taca Taca</t>
  </si>
  <si>
    <t>Lumina Copper</t>
  </si>
  <si>
    <t>Neves Corvo</t>
  </si>
  <si>
    <t>Zinkgruvan</t>
  </si>
  <si>
    <t>Tenke Fungurume</t>
  </si>
  <si>
    <t>El Pilar</t>
  </si>
  <si>
    <t>Mineral Park</t>
  </si>
  <si>
    <t>Mercator Minerals Ltd.</t>
  </si>
  <si>
    <t>Metorex Group</t>
  </si>
  <si>
    <t>%Co</t>
  </si>
  <si>
    <t>Chibuluma South</t>
  </si>
  <si>
    <t>Miniere de Musoshi et Kinsenda SARL</t>
  </si>
  <si>
    <t>Los Azules</t>
  </si>
  <si>
    <t>Minera Andes</t>
  </si>
  <si>
    <t>Solwara 1</t>
  </si>
  <si>
    <t>Nautilus Minerals Inc.</t>
  </si>
  <si>
    <t>Newcrest</t>
  </si>
  <si>
    <t>MMJV-Nambonga</t>
  </si>
  <si>
    <t>MMJV-Golpu</t>
  </si>
  <si>
    <t>Fiji</t>
  </si>
  <si>
    <t>Pebble</t>
  </si>
  <si>
    <t>Northern Dynasty</t>
  </si>
  <si>
    <t>Galore Creek</t>
  </si>
  <si>
    <t>Copper Canyon</t>
  </si>
  <si>
    <t>Ambler</t>
  </si>
  <si>
    <t>NovaGold</t>
  </si>
  <si>
    <t>Phu Kham</t>
  </si>
  <si>
    <t>KTL</t>
  </si>
  <si>
    <t>PUT 1</t>
  </si>
  <si>
    <t>PUT 2</t>
  </si>
  <si>
    <t>Inca de Oro</t>
  </si>
  <si>
    <t>Laos</t>
  </si>
  <si>
    <t>Thailand</t>
  </si>
  <si>
    <t>PanAust</t>
  </si>
  <si>
    <t>Quellaveco</t>
  </si>
  <si>
    <t>Los Sulfatos</t>
  </si>
  <si>
    <t>San Enrique Monolito</t>
  </si>
  <si>
    <t>West Wall</t>
  </si>
  <si>
    <t>Resolution</t>
  </si>
  <si>
    <t>El Salvador</t>
  </si>
  <si>
    <t>Pd g/t</t>
  </si>
  <si>
    <t>Pt g/t</t>
  </si>
  <si>
    <t>Bystrinskoye</t>
  </si>
  <si>
    <t>Kultuminskaya</t>
  </si>
  <si>
    <t>Lugokanskaya</t>
  </si>
  <si>
    <t>Kingashskoye and Verkhnekingashskoye</t>
  </si>
  <si>
    <t>Taimyr Peninsula</t>
  </si>
  <si>
    <t>Kola Peninsula</t>
  </si>
  <si>
    <t>PGM g/t</t>
  </si>
  <si>
    <t>Russia</t>
  </si>
  <si>
    <t>Nkomati</t>
  </si>
  <si>
    <t>Norilsk Nickel</t>
  </si>
  <si>
    <t>Morenci</t>
  </si>
  <si>
    <t>Bagdad</t>
  </si>
  <si>
    <t>Safford</t>
  </si>
  <si>
    <t>Sierrita</t>
  </si>
  <si>
    <t>Tyrone</t>
  </si>
  <si>
    <t>Chino</t>
  </si>
  <si>
    <t>Miami</t>
  </si>
  <si>
    <t xml:space="preserve">Cobre </t>
  </si>
  <si>
    <t>Ajo</t>
  </si>
  <si>
    <t>Cochise/Bisbee</t>
  </si>
  <si>
    <t>Lone Star</t>
  </si>
  <si>
    <t>Sanchez</t>
  </si>
  <si>
    <t>Tohono</t>
  </si>
  <si>
    <t>Twin Buttes</t>
  </si>
  <si>
    <t>Cerro Verde</t>
  </si>
  <si>
    <t>El Abra</t>
  </si>
  <si>
    <t>Candelaria</t>
  </si>
  <si>
    <t>Kisanfu</t>
  </si>
  <si>
    <t>Freeport-McMoRan</t>
  </si>
  <si>
    <t>Varvara</t>
  </si>
  <si>
    <t>Perevalny</t>
  </si>
  <si>
    <t>Polymetal RU</t>
  </si>
  <si>
    <t>McCreedy West</t>
  </si>
  <si>
    <t>Sierra Gorda</t>
  </si>
  <si>
    <t>Quadra FNX mining</t>
  </si>
  <si>
    <t xml:space="preserve">Franke </t>
  </si>
  <si>
    <t>Morrison Deposit</t>
  </si>
  <si>
    <t>Podolsky</t>
  </si>
  <si>
    <t>Robinson</t>
  </si>
  <si>
    <t>Porphyry/Skarn</t>
  </si>
  <si>
    <t>Carlota</t>
  </si>
  <si>
    <t>Cadia East</t>
  </si>
  <si>
    <t>Mt Isa</t>
  </si>
  <si>
    <t>Mt Isa (Open Cut)</t>
  </si>
  <si>
    <t>Carrapateena</t>
  </si>
  <si>
    <t>Prominent Hill</t>
  </si>
  <si>
    <t>Mt Elliott</t>
  </si>
  <si>
    <t>Boddington</t>
  </si>
  <si>
    <t>Hillside</t>
  </si>
  <si>
    <t>Roseby Group</t>
  </si>
  <si>
    <t>Golden Grove</t>
  </si>
  <si>
    <t>Mt Dore</t>
  </si>
  <si>
    <t>Marsden</t>
  </si>
  <si>
    <t>Spinifex Ridge</t>
  </si>
  <si>
    <t>Cobar-CSA</t>
  </si>
  <si>
    <t>Doolgunna-DeGrussa</t>
  </si>
  <si>
    <t>Ridgeway</t>
  </si>
  <si>
    <t>Mt Gunson Group</t>
  </si>
  <si>
    <t>Copper Hill</t>
  </si>
  <si>
    <t>Rocklands</t>
  </si>
  <si>
    <t>Cadia Hill</t>
  </si>
  <si>
    <t>Tritton</t>
  </si>
  <si>
    <t>Temora</t>
  </si>
  <si>
    <t>Mt Lyell</t>
  </si>
  <si>
    <t>Lady Annie</t>
  </si>
  <si>
    <t>E1 Camp</t>
  </si>
  <si>
    <t>Kalkaroo</t>
  </si>
  <si>
    <t>White Range Group</t>
  </si>
  <si>
    <t>Maroochydore</t>
  </si>
  <si>
    <t>Kanmantoo</t>
  </si>
  <si>
    <t>Starra Line</t>
  </si>
  <si>
    <t>Stockman</t>
  </si>
  <si>
    <t>Mt Oxide</t>
  </si>
  <si>
    <t>Panorama-Sulphur Springs</t>
  </si>
  <si>
    <t>O'Callaghans</t>
  </si>
  <si>
    <t>Mt Garnet Field</t>
  </si>
  <si>
    <t>Mulgul-Jillawarra</t>
  </si>
  <si>
    <t>Kalman</t>
  </si>
  <si>
    <t>Muturoo</t>
  </si>
  <si>
    <t>Bushranger</t>
  </si>
  <si>
    <t>Big Cadia</t>
  </si>
  <si>
    <t>Einasleigh Group (Cu, PbZnCu)</t>
  </si>
  <si>
    <t>Red Dome</t>
  </si>
  <si>
    <t>Peak</t>
  </si>
  <si>
    <t>Eloise</t>
  </si>
  <si>
    <t>North Portia</t>
  </si>
  <si>
    <t>Redbank</t>
  </si>
  <si>
    <t>Sandiego-Onedin</t>
  </si>
  <si>
    <t>Mungana</t>
  </si>
  <si>
    <t>Dugald River</t>
  </si>
  <si>
    <t>Radio Hill</t>
  </si>
  <si>
    <t>Mt Carlton</t>
  </si>
  <si>
    <t>Mt Cannindah</t>
  </si>
  <si>
    <t>Whitewash</t>
  </si>
  <si>
    <t>Osborne</t>
  </si>
  <si>
    <t>McPhillamys</t>
  </si>
  <si>
    <t>Trilogy</t>
  </si>
  <si>
    <t>Bentley</t>
  </si>
  <si>
    <t>Rosebery-South Hercules</t>
  </si>
  <si>
    <t>Koonenberry-Grasmere</t>
  </si>
  <si>
    <t>Rover 1</t>
  </si>
  <si>
    <t>Monakoff</t>
  </si>
  <si>
    <t>Yeoval</t>
  </si>
  <si>
    <t>Horseshoe Lights</t>
  </si>
  <si>
    <t>Thursdays Gossan</t>
  </si>
  <si>
    <t>Clonclurry Miscellaneous</t>
  </si>
  <si>
    <t>Endeavour</t>
  </si>
  <si>
    <t>Kulthor</t>
  </si>
  <si>
    <t>Cairn Hill</t>
  </si>
  <si>
    <t>Baal Gammon</t>
  </si>
  <si>
    <t>Savannah-Sally Malay</t>
  </si>
  <si>
    <t>Tottenham</t>
  </si>
  <si>
    <t>Walford Creek</t>
  </si>
  <si>
    <t>Mt Colin</t>
  </si>
  <si>
    <t>Munni Munni</t>
  </si>
  <si>
    <t>Jaguar</t>
  </si>
  <si>
    <t>Kundip</t>
  </si>
  <si>
    <t>Great Australia</t>
  </si>
  <si>
    <t>Parkers Hill</t>
  </si>
  <si>
    <t>Foresthome-Develin Creek</t>
  </si>
  <si>
    <t>Deflector</t>
  </si>
  <si>
    <t>Teutonic Bore</t>
  </si>
  <si>
    <t>Merlin</t>
  </si>
  <si>
    <t>Eastman</t>
  </si>
  <si>
    <t>Young Australian</t>
  </si>
  <si>
    <t>Wellington</t>
  </si>
  <si>
    <t>Browns Reef</t>
  </si>
  <si>
    <t>Home of Bullion</t>
  </si>
  <si>
    <t>Just Desserts (Yuinmery)</t>
  </si>
  <si>
    <t>Hellyer Tailings</t>
  </si>
  <si>
    <t>Mt Ararat</t>
  </si>
  <si>
    <t>Whundo Cu-Zn</t>
  </si>
  <si>
    <t>Prospect D</t>
  </si>
  <si>
    <t>Mayfield</t>
  </si>
  <si>
    <t>Emull-Lamboo</t>
  </si>
  <si>
    <t>Belara</t>
  </si>
  <si>
    <t>Quinns-Austin</t>
  </si>
  <si>
    <t>Que River-Fossey-Hellyer</t>
  </si>
  <si>
    <t>Peak Hill</t>
  </si>
  <si>
    <t>Tennant Creek Group</t>
  </si>
  <si>
    <t>Liberty-Indee (Evelyn)</t>
  </si>
  <si>
    <t>Panton</t>
  </si>
  <si>
    <t>Barbara North</t>
  </si>
  <si>
    <t>Explorer 108</t>
  </si>
  <si>
    <t>Peelwood North/South</t>
  </si>
  <si>
    <t>Copernicus</t>
  </si>
  <si>
    <t>Chakola-Harnett Central</t>
  </si>
  <si>
    <t>Sunny Corner</t>
  </si>
  <si>
    <t>Lennons Find</t>
  </si>
  <si>
    <t>Conrad-Kind Conrad</t>
  </si>
  <si>
    <t>Quartz Circle-Igloo</t>
  </si>
  <si>
    <t>Kangiara</t>
  </si>
  <si>
    <t>Angas</t>
  </si>
  <si>
    <t>Webbs</t>
  </si>
  <si>
    <t>Whundo Zn</t>
  </si>
  <si>
    <t xml:space="preserve"> Napier Range-Wagon Pass</t>
  </si>
  <si>
    <t>Gem</t>
  </si>
  <si>
    <t>Tally Ho</t>
  </si>
  <si>
    <t>Mt Fitch</t>
  </si>
  <si>
    <t>Brown's / Brown's East</t>
  </si>
  <si>
    <t>Area 55</t>
  </si>
  <si>
    <t>OZ Minerals</t>
  </si>
  <si>
    <t>Ivanhoe Australia</t>
  </si>
  <si>
    <t>Newmont</t>
  </si>
  <si>
    <t>Rex Minerals</t>
  </si>
  <si>
    <t>Altona Mining</t>
  </si>
  <si>
    <t>MMG</t>
  </si>
  <si>
    <t>Moly Mines</t>
  </si>
  <si>
    <t>Glencore</t>
  </si>
  <si>
    <t>Sandfire Resources</t>
  </si>
  <si>
    <t>Gunson Resources</t>
  </si>
  <si>
    <t>Golden Cross Resources</t>
  </si>
  <si>
    <t>CuDeCo</t>
  </si>
  <si>
    <t>Straits Resources</t>
  </si>
  <si>
    <t>Goldminco (Straits Res.)</t>
  </si>
  <si>
    <t>Copper Mines of Tasmania</t>
  </si>
  <si>
    <t>Exco Resources</t>
  </si>
  <si>
    <t>Havilah Resources</t>
  </si>
  <si>
    <t>Queensland Mining Corp.</t>
  </si>
  <si>
    <t>Hillgrove Resources</t>
  </si>
  <si>
    <t>Jabiru Metals</t>
  </si>
  <si>
    <t>Perilya Mines</t>
  </si>
  <si>
    <t>Venturex Resources</t>
  </si>
  <si>
    <t>Kagara Zinc</t>
  </si>
  <si>
    <t>Abra Mining</t>
  </si>
  <si>
    <t>Cerro Resources</t>
  </si>
  <si>
    <t>Lachlan Star</t>
  </si>
  <si>
    <t>Copper Strike</t>
  </si>
  <si>
    <t>Mungana Goldmines (Kagara Zinc)</t>
  </si>
  <si>
    <t>New Gold</t>
  </si>
  <si>
    <t>Redbank Copper</t>
  </si>
  <si>
    <t>Anglo Australian Resources</t>
  </si>
  <si>
    <t>Fox Resources</t>
  </si>
  <si>
    <t>Conquest Mining</t>
  </si>
  <si>
    <t>Metallica Minerals</t>
  </si>
  <si>
    <t>Aussie Q Resources</t>
  </si>
  <si>
    <t>Alkane Resources</t>
  </si>
  <si>
    <t>Tectonic Resources</t>
  </si>
  <si>
    <t>Ausmon Resources</t>
  </si>
  <si>
    <t>Westgold Resources</t>
  </si>
  <si>
    <t>Augur Resources</t>
  </si>
  <si>
    <t>Horseshoe Metals</t>
  </si>
  <si>
    <t>Beaconsfield Gold</t>
  </si>
  <si>
    <t>Toho Zinc</t>
  </si>
  <si>
    <t>IMX Resources</t>
  </si>
  <si>
    <t>Monto Minerals</t>
  </si>
  <si>
    <t>Panoramic Resources</t>
  </si>
  <si>
    <t>Mincor Resources</t>
  </si>
  <si>
    <t>Platina Resources</t>
  </si>
  <si>
    <t>Kimberley Metals</t>
  </si>
  <si>
    <t>Icon Resources</t>
  </si>
  <si>
    <t>Mutiny Gold</t>
  </si>
  <si>
    <t>Comet Resources</t>
  </si>
  <si>
    <t>Goldstake Explorations</t>
  </si>
  <si>
    <t>Empire Resources</t>
  </si>
  <si>
    <t>Bass Metals</t>
  </si>
  <si>
    <t>Capital Mining</t>
  </si>
  <si>
    <t>Northern Star Resources</t>
  </si>
  <si>
    <t>Ironbark Zinc</t>
  </si>
  <si>
    <t>Silver Swan Group</t>
  </si>
  <si>
    <t>Excalibur Mining Corp.</t>
  </si>
  <si>
    <t>Platinum Australia</t>
  </si>
  <si>
    <t>Mt Isa Metals</t>
  </si>
  <si>
    <t>Sultan Corp.</t>
  </si>
  <si>
    <t>Panoramic60%, Thundelarra40%</t>
  </si>
  <si>
    <t>Argent Minerals</t>
  </si>
  <si>
    <t>Malachite Resources</t>
  </si>
  <si>
    <t>Xanadu Res (now Corazon Res)80%, Cazaly Resources20%</t>
  </si>
  <si>
    <t>Paradigm Metals</t>
  </si>
  <si>
    <t>Terramin Australia</t>
  </si>
  <si>
    <t>Silver Standard</t>
  </si>
  <si>
    <t>Meridian Minerals</t>
  </si>
  <si>
    <t>China Yunnan Copper Australia</t>
  </si>
  <si>
    <t>Alcyone Resources</t>
  </si>
  <si>
    <t>Compass Resources</t>
  </si>
  <si>
    <t>PNG Government</t>
  </si>
  <si>
    <t>Lundin Mining Corp.</t>
  </si>
  <si>
    <t>Taseko Mines</t>
  </si>
  <si>
    <t>Northgate Minerals</t>
  </si>
  <si>
    <t>North American Palladium</t>
  </si>
  <si>
    <t>First Nickel</t>
  </si>
  <si>
    <t>Liberty Mines</t>
  </si>
  <si>
    <t>Agnico Eagle</t>
  </si>
  <si>
    <t>Gibraltar</t>
  </si>
  <si>
    <t>Prosperity</t>
  </si>
  <si>
    <t>Kemess South</t>
  </si>
  <si>
    <t>Kemess Underground</t>
  </si>
  <si>
    <t>Myra Falls</t>
  </si>
  <si>
    <t>Langlois</t>
  </si>
  <si>
    <t>Breakwater Resource</t>
  </si>
  <si>
    <t>West Graham</t>
  </si>
  <si>
    <t>Lockerby Mine</t>
  </si>
  <si>
    <t xml:space="preserve">Shakespeare </t>
  </si>
  <si>
    <t>Shining Tree</t>
  </si>
  <si>
    <t>LaRonde</t>
  </si>
  <si>
    <t>Lac Des iles</t>
  </si>
  <si>
    <t>Hart Mine</t>
  </si>
  <si>
    <t>Kansanshi</t>
  </si>
  <si>
    <t>Petiknas</t>
  </si>
  <si>
    <t>Corner Bay</t>
  </si>
  <si>
    <t>KSM Project</t>
  </si>
  <si>
    <t>Seabridge Gold</t>
  </si>
  <si>
    <t>Schaft Creek</t>
  </si>
  <si>
    <t>Harper Creek</t>
  </si>
  <si>
    <t>YellowHead Mining Inc.</t>
  </si>
  <si>
    <t>Copper Fox Metals Inc.</t>
  </si>
  <si>
    <t>Agua Rica</t>
  </si>
  <si>
    <t>Chapada</t>
  </si>
  <si>
    <t>Yamana Gold</t>
  </si>
  <si>
    <t>National</t>
  </si>
  <si>
    <t>Nat. Source</t>
  </si>
  <si>
    <t>Geoscience Australia</t>
  </si>
  <si>
    <t>Natural Resources Canada</t>
  </si>
  <si>
    <t>Indonesia</t>
  </si>
  <si>
    <t>DRC</t>
  </si>
  <si>
    <t>Batu Hijau</t>
  </si>
  <si>
    <t>Portugal</t>
  </si>
  <si>
    <t>China</t>
  </si>
  <si>
    <t>Other</t>
  </si>
  <si>
    <t>World/Sum</t>
  </si>
  <si>
    <t>La Granja</t>
  </si>
  <si>
    <t>Australia's Identified Mineral Resources 2011</t>
  </si>
  <si>
    <t>Mineral Yearbook 2009 (Proven and Probable Mineable Ore in Operating Mines + Deposits in Development)</t>
  </si>
  <si>
    <t>Anglo American Platinum</t>
  </si>
  <si>
    <t>Akanani</t>
  </si>
  <si>
    <t>Boikgantsho</t>
  </si>
  <si>
    <t>Lonmin / Incwala Resources</t>
  </si>
  <si>
    <t>Anooraq Res / Anglo Am Pt</t>
  </si>
  <si>
    <t>Platmin</t>
  </si>
  <si>
    <t>Southern Copper Corp.</t>
  </si>
  <si>
    <t>Los Chancas</t>
  </si>
  <si>
    <t>Pilares</t>
  </si>
  <si>
    <t>Los Chalchihuites</t>
  </si>
  <si>
    <t>Angangueo</t>
  </si>
  <si>
    <t>Buenavista Zinc</t>
  </si>
  <si>
    <t>El Arco</t>
  </si>
  <si>
    <t>Los Calatos</t>
  </si>
  <si>
    <t>Metminco</t>
  </si>
  <si>
    <t>Mollacas</t>
  </si>
  <si>
    <t>New Afton</t>
  </si>
  <si>
    <t>NewGold</t>
  </si>
  <si>
    <t>El Morro</t>
  </si>
  <si>
    <t>Goldcorp 70%, NewGold 30%</t>
  </si>
  <si>
    <t>Bokoni</t>
  </si>
  <si>
    <t>Eagle's Nest</t>
  </si>
  <si>
    <t>Parkin</t>
  </si>
  <si>
    <t xml:space="preserve">Nunavik </t>
  </si>
  <si>
    <t xml:space="preserve">Marathon </t>
  </si>
  <si>
    <t xml:space="preserve">Northparkes </t>
  </si>
  <si>
    <t>Sheba's Ridge</t>
  </si>
  <si>
    <t>Pedra Branca</t>
  </si>
  <si>
    <t>River Valley</t>
  </si>
  <si>
    <t>Rustenburg</t>
  </si>
  <si>
    <t>Mogalakwena</t>
  </si>
  <si>
    <t xml:space="preserve">Bafokeng-Rasimone </t>
  </si>
  <si>
    <t xml:space="preserve">Dishaba </t>
  </si>
  <si>
    <t xml:space="preserve">Union </t>
  </si>
  <si>
    <t xml:space="preserve">Tumela </t>
  </si>
  <si>
    <t xml:space="preserve">Siphumelele </t>
  </si>
  <si>
    <t xml:space="preserve">Khuseleka </t>
  </si>
  <si>
    <t xml:space="preserve">Thembelani </t>
  </si>
  <si>
    <t>Khomanani</t>
  </si>
  <si>
    <t>Twickhenham</t>
  </si>
  <si>
    <t>Modikwa</t>
  </si>
  <si>
    <t>Bathopele</t>
  </si>
  <si>
    <t>Der Brochen</t>
  </si>
  <si>
    <t>Ga Phasha PGM</t>
  </si>
  <si>
    <t>Unki Mine</t>
  </si>
  <si>
    <t>Zimbabwe</t>
  </si>
  <si>
    <t>Mina San Jose Profundo</t>
  </si>
  <si>
    <t>Mina Angela</t>
  </si>
  <si>
    <t>Mina San Antonio Antiguo</t>
  </si>
  <si>
    <t>Mina Zona Barbara</t>
  </si>
  <si>
    <t>Mina Claudia</t>
  </si>
  <si>
    <t>Mina San Jose Superior</t>
  </si>
  <si>
    <t>San Esteban Primera</t>
  </si>
  <si>
    <t>El Teniente</t>
  </si>
  <si>
    <t>g/t Rh</t>
  </si>
  <si>
    <t>Rooderand</t>
  </si>
  <si>
    <t>Grootboom</t>
  </si>
  <si>
    <t>Mphahlele</t>
  </si>
  <si>
    <t>Loskop</t>
  </si>
  <si>
    <t>Finders Resources</t>
  </si>
  <si>
    <t>Freeport McMoRan / Rio Tinto</t>
  </si>
  <si>
    <t>Wetar-Kali Kuning</t>
  </si>
  <si>
    <t>Wetar-Lerokis</t>
  </si>
  <si>
    <t>Tujuh Bukit</t>
  </si>
  <si>
    <t>Intrepid Mines</t>
  </si>
  <si>
    <t>High Lake</t>
  </si>
  <si>
    <t>Izok Lake</t>
  </si>
  <si>
    <t>Konkola</t>
  </si>
  <si>
    <t>Vedanta</t>
  </si>
  <si>
    <t>India</t>
  </si>
  <si>
    <t>Lumwana-Malundwe</t>
  </si>
  <si>
    <t>Lumwana-Chimiwungo</t>
  </si>
  <si>
    <t>Yandera</t>
  </si>
  <si>
    <t>Marengo Mining</t>
  </si>
  <si>
    <t>g/t Re</t>
  </si>
  <si>
    <t>Bougainville</t>
  </si>
  <si>
    <t>Rio Tinto-53.58%, PNG Gov.-19.06%, Public-27.36%</t>
  </si>
  <si>
    <t>Frieda River-Nena</t>
  </si>
  <si>
    <t>Frieda River-HIT</t>
  </si>
  <si>
    <t>Frieda River-Koki</t>
  </si>
  <si>
    <t>Highlands Pacific-100%</t>
  </si>
  <si>
    <t>Xstrata-81.82%, Highlands Pacific-18.18%</t>
  </si>
  <si>
    <t>Xstrata JV</t>
  </si>
  <si>
    <t>Triple Plate Junction JV</t>
  </si>
  <si>
    <t>Raglan</t>
  </si>
  <si>
    <t>Fraser Morgan</t>
  </si>
  <si>
    <t>Onaping Depth</t>
  </si>
  <si>
    <t>Kabanga</t>
  </si>
  <si>
    <t>Cerro de Maimon</t>
  </si>
  <si>
    <t>Black Mountain</t>
  </si>
  <si>
    <t>Swartberg</t>
  </si>
  <si>
    <t>Chucapaca</t>
  </si>
  <si>
    <t>Talas</t>
  </si>
  <si>
    <t>Kyrgyzstan</t>
  </si>
  <si>
    <t>Roughrider</t>
  </si>
  <si>
    <t>Hathor Exploration</t>
  </si>
  <si>
    <t>Productora</t>
  </si>
  <si>
    <t>Hot Chili</t>
  </si>
  <si>
    <t>Andash</t>
  </si>
  <si>
    <t>Boseto</t>
  </si>
  <si>
    <t>Kentor Gold</t>
  </si>
  <si>
    <t>Discovery Metals</t>
  </si>
  <si>
    <t>Munali</t>
  </si>
  <si>
    <t>Mirabela-Santa Rita</t>
  </si>
  <si>
    <t>Aguablanca</t>
  </si>
  <si>
    <t>Talvivaara</t>
  </si>
  <si>
    <t>Pora-Vammala</t>
  </si>
  <si>
    <t>Sturgeon Lake</t>
  </si>
  <si>
    <t xml:space="preserve">Brunswick </t>
  </si>
  <si>
    <t>Perseverance</t>
  </si>
  <si>
    <t>Bracemac - McLeod</t>
  </si>
  <si>
    <t>Promontorio</t>
  </si>
  <si>
    <t>Azure Mins Ltd.</t>
  </si>
  <si>
    <t>Back Forty</t>
  </si>
  <si>
    <t>Konkola North</t>
  </si>
  <si>
    <t>African Rainbow</t>
  </si>
  <si>
    <t>Mwambashi</t>
  </si>
  <si>
    <t>Kalumines Group</t>
  </si>
  <si>
    <t>Bayaguana Group</t>
  </si>
  <si>
    <t>Mirabela Nickel</t>
  </si>
  <si>
    <t>Kuusilampi</t>
  </si>
  <si>
    <t>Kolmisoppi</t>
  </si>
  <si>
    <t>Dragon Mining</t>
  </si>
  <si>
    <t>Hitura</t>
  </si>
  <si>
    <t>Belvedere</t>
  </si>
  <si>
    <t>Kuhmo Group</t>
  </si>
  <si>
    <t>Outokumpu</t>
  </si>
  <si>
    <t>Tati-Phoenix</t>
  </si>
  <si>
    <t>Tati-Selkirk</t>
  </si>
  <si>
    <t>Naica</t>
  </si>
  <si>
    <t>Sabinas</t>
  </si>
  <si>
    <t>Bismark</t>
  </si>
  <si>
    <t>Tizapa</t>
  </si>
  <si>
    <t>Francisco</t>
  </si>
  <si>
    <t>Milpillas</t>
  </si>
  <si>
    <t>Penoles</t>
  </si>
  <si>
    <t>Ghanzi</t>
  </si>
  <si>
    <t>Oued El Kebir</t>
  </si>
  <si>
    <t>Algeria</t>
  </si>
  <si>
    <t>Tan Chaffao East</t>
  </si>
  <si>
    <t>Sasare Eagle Eye</t>
  </si>
  <si>
    <t>Namosi JV (Waisoi-Wainaulo)</t>
  </si>
  <si>
    <t>Hera</t>
  </si>
  <si>
    <t>Lewis Ponds</t>
  </si>
  <si>
    <t>Whim Creek</t>
  </si>
  <si>
    <t>Mons Cupri</t>
  </si>
  <si>
    <t>Salt Creek</t>
  </si>
  <si>
    <t>Camp Dome-17 Mile</t>
  </si>
  <si>
    <t>Wildara-Horn</t>
  </si>
  <si>
    <t>Pardoo-Highway</t>
  </si>
  <si>
    <t>Barbara</t>
  </si>
  <si>
    <t>Canbelego</t>
  </si>
  <si>
    <t>Cleveland-Luina</t>
  </si>
  <si>
    <t>Corkwood</t>
  </si>
  <si>
    <t>Nightflower-Digger Lode</t>
  </si>
  <si>
    <t>Kroombit</t>
  </si>
  <si>
    <t>Iron Blow</t>
  </si>
  <si>
    <t>Mt Bonnie</t>
  </si>
  <si>
    <t>Texas-Silver Spur</t>
  </si>
  <si>
    <t>Mountain of Light-Lyndhurst</t>
  </si>
  <si>
    <t>Thomson River</t>
  </si>
  <si>
    <t>Gabanintha</t>
  </si>
  <si>
    <t>YTC Resources</t>
  </si>
  <si>
    <t>TriAusMin</t>
  </si>
  <si>
    <t>unknown</t>
  </si>
  <si>
    <t>Breakaway Resources</t>
  </si>
  <si>
    <t>Segue Resources</t>
  </si>
  <si>
    <t>Syndicated Metals</t>
  </si>
  <si>
    <t>Helix Resources</t>
  </si>
  <si>
    <t>Lynch Mining Pty Ltd</t>
  </si>
  <si>
    <t>Axiom Mining</t>
  </si>
  <si>
    <t>Argonaut Resources</t>
  </si>
  <si>
    <t>Crocodile Gold</t>
  </si>
  <si>
    <t>Phoenix Copper</t>
  </si>
  <si>
    <t>Celamin</t>
  </si>
  <si>
    <t>Sudbury (Xstrata)</t>
  </si>
  <si>
    <t>Sudbury (Vale Inco)</t>
  </si>
  <si>
    <t>Albidon</t>
  </si>
  <si>
    <t>Caledonia Mining Corp</t>
  </si>
  <si>
    <t>Philippines</t>
  </si>
  <si>
    <t>Hinoba-An</t>
  </si>
  <si>
    <t>Tampakan</t>
  </si>
  <si>
    <t xml:space="preserve">Xstrata-65%, </t>
  </si>
  <si>
    <t>El Pachon</t>
  </si>
  <si>
    <t>Padcal</t>
  </si>
  <si>
    <t>Philex</t>
  </si>
  <si>
    <t>Canatuan</t>
  </si>
  <si>
    <t>TVI Pacific Corp</t>
  </si>
  <si>
    <t>Didipio</t>
  </si>
  <si>
    <t>OceanaGold</t>
  </si>
  <si>
    <t>Kingking</t>
  </si>
  <si>
    <t>Benguet Corp</t>
  </si>
  <si>
    <t>Mankayan</t>
  </si>
  <si>
    <t>Bezant Resources-40%, Crescent Mining Corp-60%</t>
  </si>
  <si>
    <t>Silangan</t>
  </si>
  <si>
    <t>St Anthony</t>
  </si>
  <si>
    <t>Solfotara Mining Corp</t>
  </si>
  <si>
    <t>Toledo</t>
  </si>
  <si>
    <t>Atlas Cons. Mining-65.5%, Crescent Point Group-34.5%</t>
  </si>
  <si>
    <t>Victoria</t>
  </si>
  <si>
    <t>Lepanto Cons. Mining Comp.</t>
  </si>
  <si>
    <t>Matsitama-Thakadu</t>
  </si>
  <si>
    <t>Makala</t>
  </si>
  <si>
    <t>Selebi-Phikwe</t>
  </si>
  <si>
    <t>Bamangwato Concessions</t>
  </si>
  <si>
    <t>Burkina Faso</t>
  </si>
  <si>
    <t>Gaoua</t>
  </si>
  <si>
    <t>Volta Resources</t>
  </si>
  <si>
    <t>Zimplats</t>
  </si>
  <si>
    <t>Impala</t>
  </si>
  <si>
    <t>Mimosa - South Hill</t>
  </si>
  <si>
    <t>Mimosa - North Hill</t>
  </si>
  <si>
    <t>Pandora JV</t>
  </si>
  <si>
    <t>Anglo Pt-Lonmin</t>
  </si>
  <si>
    <t>Denison</t>
  </si>
  <si>
    <t>Vale Inco-Lonmin</t>
  </si>
  <si>
    <t>Pilanesburg (Tuschenkomst-Ruighoek)</t>
  </si>
  <si>
    <t>Oorlogsfontein-War Springs</t>
  </si>
  <si>
    <t>Northam Platinum</t>
  </si>
  <si>
    <t>Etoile</t>
  </si>
  <si>
    <t>Frontier</t>
  </si>
  <si>
    <t>Shalina Resources</t>
  </si>
  <si>
    <t>Kalukundi</t>
  </si>
  <si>
    <t>Africo Resources-75%, LGdCedMines-25%</t>
  </si>
  <si>
    <t>Katanga Mining-75%, LGdCedMines-25%</t>
  </si>
  <si>
    <t>Mawson West-90%, Anvil-10%</t>
  </si>
  <si>
    <t>Kapulo-Safari North</t>
  </si>
  <si>
    <t>Kapulo-Shaba</t>
  </si>
  <si>
    <t>Dikilushi</t>
  </si>
  <si>
    <t>Mawson West</t>
  </si>
  <si>
    <t>Kipoi Group</t>
  </si>
  <si>
    <t>Tiger Resources-60%, LGdCedMines-40%</t>
  </si>
  <si>
    <t>Kamoto Group</t>
  </si>
  <si>
    <t>Luisha South</t>
  </si>
  <si>
    <t>Metorex Group-80%, LGdCedMines-20%</t>
  </si>
  <si>
    <t>Musonoi-Dilala East</t>
  </si>
  <si>
    <t>Eritrea</t>
  </si>
  <si>
    <t>Freeport-McMoRan-57.75%, Lundin Mining-24%</t>
  </si>
  <si>
    <t>Sunridge Gold Corp</t>
  </si>
  <si>
    <t>Bisha</t>
  </si>
  <si>
    <t>Mozambique</t>
  </si>
  <si>
    <t>Mundonguara</t>
  </si>
  <si>
    <t>Baobab Resources</t>
  </si>
  <si>
    <t>Namibia</t>
  </si>
  <si>
    <t>Dordabis</t>
  </si>
  <si>
    <t>North River Resources</t>
  </si>
  <si>
    <t>Weatherly International</t>
  </si>
  <si>
    <t>Matchless</t>
  </si>
  <si>
    <t>Otjihase</t>
  </si>
  <si>
    <t>Tsumeb West</t>
  </si>
  <si>
    <t>Tschudi</t>
  </si>
  <si>
    <t>Kombat Asis West</t>
  </si>
  <si>
    <t>Kuiseb</t>
  </si>
  <si>
    <t>Takoradi-70%, Private-30%</t>
  </si>
  <si>
    <t>Omitimire</t>
  </si>
  <si>
    <t>International Base Metals</t>
  </si>
  <si>
    <t>Salt River</t>
  </si>
  <si>
    <t>Thabex</t>
  </si>
  <si>
    <t>Kangaluwi</t>
  </si>
  <si>
    <t>Zambezi Resources</t>
  </si>
  <si>
    <t>Cheowa</t>
  </si>
  <si>
    <t>Glencore-51%, Zambezi Resources-49%</t>
  </si>
  <si>
    <t>Greece</t>
  </si>
  <si>
    <t>Sapes</t>
  </si>
  <si>
    <t>Glory Resources</t>
  </si>
  <si>
    <t>Arctic-Ahmavaara</t>
  </si>
  <si>
    <t>Arctic-Konttijärvi</t>
  </si>
  <si>
    <t>Note: sourced from 2007 Nth Amer Pd NI-43-101 report …</t>
  </si>
  <si>
    <t>Idaho Cobalt</t>
  </si>
  <si>
    <t>Formation Metals</t>
  </si>
  <si>
    <t>Sunshine</t>
  </si>
  <si>
    <t>Sunshine East</t>
  </si>
  <si>
    <t>Werner Lake</t>
  </si>
  <si>
    <t>Voisey's Bay</t>
  </si>
  <si>
    <t>Puget Ventures</t>
  </si>
  <si>
    <t>Spitzkop-Kennedy's Vale</t>
  </si>
  <si>
    <t>Marikana</t>
  </si>
  <si>
    <t>Limpopo-Dwaalkop</t>
  </si>
  <si>
    <t>Limpopo</t>
  </si>
  <si>
    <t>Booysendal</t>
  </si>
  <si>
    <t>NorthMet</t>
  </si>
  <si>
    <t>PolyMet Mining</t>
  </si>
  <si>
    <t>Stillwater</t>
  </si>
  <si>
    <t>Stillwater Mining Comp (Norilsk Nickel)</t>
  </si>
  <si>
    <t>Cerro Colorado</t>
  </si>
  <si>
    <t>Collahuasi</t>
  </si>
  <si>
    <t>Magma Metals, Navigator Res.</t>
  </si>
  <si>
    <t>FMR Investments</t>
  </si>
  <si>
    <t>China Sci-Tech</t>
  </si>
  <si>
    <t>Mungana Goldmines</t>
  </si>
  <si>
    <t>Escondida</t>
  </si>
  <si>
    <t>Lomas Bayas</t>
  </si>
  <si>
    <t>BHP Billiton, Rio Tinto</t>
  </si>
  <si>
    <t>Mantoverde</t>
  </si>
  <si>
    <t>Spence</t>
  </si>
  <si>
    <t>Mt Kren-Puan</t>
  </si>
  <si>
    <t>Antamina</t>
  </si>
  <si>
    <t>Coroccohuayca</t>
  </si>
  <si>
    <t>Marcapunta</t>
  </si>
  <si>
    <t>Chapi</t>
  </si>
  <si>
    <t>Ivan</t>
  </si>
  <si>
    <t>Broken Hammer</t>
  </si>
  <si>
    <t>Wallbridge Mining</t>
  </si>
  <si>
    <t>Yanacocha-Conga</t>
  </si>
  <si>
    <t>Anglo American Platinum, Aquarius Platinum</t>
  </si>
  <si>
    <t>Tjate</t>
  </si>
  <si>
    <t>Jubilee Platinum</t>
  </si>
  <si>
    <t>Noront Resources</t>
  </si>
  <si>
    <t>Thunder Bay North-Current Lake</t>
  </si>
  <si>
    <t>Magma Metals</t>
  </si>
  <si>
    <t>Norpax</t>
  </si>
  <si>
    <t>Wallbridge Mining, Impala</t>
  </si>
  <si>
    <t>Goldbrook Ventures-Jilin Jien Ni</t>
  </si>
  <si>
    <t>Marathon PGM</t>
  </si>
  <si>
    <t>Mokopane</t>
  </si>
  <si>
    <t>Shebandowan</t>
  </si>
  <si>
    <t>San Jorge</t>
  </si>
  <si>
    <t>Coro Mining Corp</t>
  </si>
  <si>
    <t>Relincho</t>
  </si>
  <si>
    <t>Birch Lake</t>
  </si>
  <si>
    <t>Franconia Minerals</t>
  </si>
  <si>
    <t>Maturi</t>
  </si>
  <si>
    <t>Spruce Road</t>
  </si>
  <si>
    <t>Maslovskoy</t>
  </si>
  <si>
    <t>Chu Chua</t>
  </si>
  <si>
    <t>VMS</t>
  </si>
  <si>
    <t>Reva Resources</t>
  </si>
  <si>
    <t>Guelb Moghrein</t>
  </si>
  <si>
    <t>Rio Tinto, BHP Billiton</t>
  </si>
  <si>
    <t>Lesego</t>
  </si>
  <si>
    <t>Village Main Reef</t>
  </si>
  <si>
    <t>Karchiga</t>
  </si>
  <si>
    <t>Orsu Metals</t>
  </si>
  <si>
    <t>Bon Jardim</t>
  </si>
  <si>
    <t>CPRM</t>
  </si>
  <si>
    <t>Carmen</t>
  </si>
  <si>
    <t>Lutopan</t>
  </si>
  <si>
    <t>Burundi</t>
  </si>
  <si>
    <t>Musongati</t>
  </si>
  <si>
    <t>1.31</t>
  </si>
  <si>
    <t>Ni laterite</t>
  </si>
  <si>
    <t>Okohongo</t>
  </si>
  <si>
    <t>INV Metals</t>
  </si>
  <si>
    <r>
      <t xml:space="preserve">Fortaleza </t>
    </r>
    <r>
      <rPr>
        <b/>
        <sz val="11"/>
        <color rgb="FFFF0000"/>
        <rFont val="Calibri"/>
        <family val="2"/>
        <scheme val="minor"/>
      </rPr>
      <t>(2003 res.)</t>
    </r>
  </si>
  <si>
    <t>Votorantim Group</t>
  </si>
  <si>
    <t>Kakanda Tailings</t>
  </si>
  <si>
    <t>Kakanda North/South</t>
  </si>
  <si>
    <t>Nama (A-C-D)</t>
  </si>
  <si>
    <t>Ruashi</t>
  </si>
  <si>
    <t>Mutanda</t>
  </si>
  <si>
    <t>Mutanda Mining, Glencore</t>
  </si>
  <si>
    <t>Jabal Sayid-Citadel</t>
  </si>
  <si>
    <t>Saudi Arabia</t>
  </si>
  <si>
    <t>Yauli</t>
  </si>
  <si>
    <t>Volcan Compania Minera</t>
  </si>
  <si>
    <t>Cerro de Pasco</t>
  </si>
  <si>
    <t>Chungar</t>
  </si>
  <si>
    <t>Alpamarca</t>
  </si>
  <si>
    <t>Vinchos</t>
  </si>
  <si>
    <t>Rondoni</t>
  </si>
  <si>
    <t>Prairie Creek</t>
  </si>
  <si>
    <t>Canadian Zinc Corp</t>
  </si>
  <si>
    <t>Nkana</t>
  </si>
  <si>
    <t>Glencore-73.1%, First Quantum-16.9%, ZCCM-10%</t>
  </si>
  <si>
    <t>Mufulira</t>
  </si>
  <si>
    <t>Mukondo Mountain</t>
  </si>
  <si>
    <t>Eurasian Nat. Res.</t>
  </si>
  <si>
    <t>Kabolela</t>
  </si>
  <si>
    <t>San Felipe</t>
  </si>
  <si>
    <t>Hochschild Mining</t>
  </si>
  <si>
    <t>Asmara-Emba Derho</t>
  </si>
  <si>
    <t>Debarwa</t>
  </si>
  <si>
    <t>Adi Nefas</t>
  </si>
  <si>
    <t>Nevsun Resources</t>
  </si>
  <si>
    <t>Solwara 12</t>
  </si>
  <si>
    <t>Andhra Pradesh</t>
  </si>
  <si>
    <t>Gujarat</t>
  </si>
  <si>
    <t>Haryana</t>
  </si>
  <si>
    <t>Jharkhand</t>
  </si>
  <si>
    <t>Karnataka</t>
  </si>
  <si>
    <t>Madhya Pradesh</t>
  </si>
  <si>
    <t>Maharashtra</t>
  </si>
  <si>
    <t>Meghalaya</t>
  </si>
  <si>
    <t>Orissa</t>
  </si>
  <si>
    <t>Rajasthan</t>
  </si>
  <si>
    <t>Sikkim</t>
  </si>
  <si>
    <t>Tamil Nadu</t>
  </si>
  <si>
    <t>Uttarakhand</t>
  </si>
  <si>
    <t>West Bengal</t>
  </si>
  <si>
    <t>UK</t>
  </si>
  <si>
    <t>Celeste Copper</t>
  </si>
  <si>
    <t>South Crofty</t>
  </si>
  <si>
    <t>Angilak-Lac Cinquante</t>
  </si>
  <si>
    <t>Kivalliq Energy Corp</t>
  </si>
  <si>
    <t>Ann Mason</t>
  </si>
  <si>
    <t>PacMag Metals</t>
  </si>
  <si>
    <t>Lulepotten</t>
  </si>
  <si>
    <t>Energy Ventures-50%, Beowulf Mining-50%</t>
  </si>
  <si>
    <t>Lomero-Poyatos</t>
  </si>
  <si>
    <t>Cambridge Mineral Resources</t>
  </si>
  <si>
    <t>Haarakump</t>
  </si>
  <si>
    <t>Geol Survey Finland</t>
  </si>
  <si>
    <t>Hoikka</t>
  </si>
  <si>
    <t>Karankalahti</t>
  </si>
  <si>
    <t>Kettukumpu</t>
  </si>
  <si>
    <t>Perttilahti</t>
  </si>
  <si>
    <t>Petrovaara</t>
  </si>
  <si>
    <t>Riihilahti</t>
  </si>
  <si>
    <t>Saramäki</t>
  </si>
  <si>
    <t>Note: http://en.gtk.fi/ExplorationFinland/Commodities/Copper/Deposits_prospects.html</t>
  </si>
  <si>
    <t>Sykäräinen</t>
  </si>
  <si>
    <t>Tepsa</t>
  </si>
  <si>
    <t>Ylläs</t>
  </si>
  <si>
    <t>Kuusijärvi</t>
  </si>
  <si>
    <t>Note: http://en.gtk.fi/ExplorationFinland/Commodities/Nickel/ni_mines_table.html</t>
  </si>
  <si>
    <t>Niittylampi</t>
  </si>
  <si>
    <t>Oravainen</t>
  </si>
  <si>
    <t>Ekojoki</t>
  </si>
  <si>
    <t>Rytky</t>
  </si>
  <si>
    <t>Sahakoski</t>
  </si>
  <si>
    <t>Keretti</t>
  </si>
  <si>
    <t>Andacollo</t>
  </si>
  <si>
    <t>San Nicolas</t>
  </si>
  <si>
    <t>Zafranal</t>
  </si>
  <si>
    <t>AQM Resources</t>
  </si>
  <si>
    <t>Yenipazar</t>
  </si>
  <si>
    <t>Aldridge Minerals</t>
  </si>
  <si>
    <t>Hudson Bay-Reed</t>
  </si>
  <si>
    <t>Hudson Bay (Flin Flon/777/Trout)</t>
  </si>
  <si>
    <t>Hudson Bay (Snow Lake/Chisel/Lalor)</t>
  </si>
  <si>
    <t>Vietnam</t>
  </si>
  <si>
    <t>Ban Phuc</t>
  </si>
  <si>
    <t>Asian Mineral Resources</t>
  </si>
  <si>
    <t>Kazakhmys Gold Group</t>
  </si>
  <si>
    <t>Mesaba</t>
  </si>
  <si>
    <t>Nokomis-Duluth</t>
  </si>
  <si>
    <t>Wallbridge / Antofagasta</t>
  </si>
  <si>
    <t>Al Masane-Al Kobra (AMAK)</t>
  </si>
  <si>
    <t>Arabian American Dev't Comp.</t>
  </si>
  <si>
    <t>Count</t>
  </si>
  <si>
    <t>Aripuanã (Ambrex-Arex)</t>
  </si>
  <si>
    <t>Anglo American-70%, Karmin Expl-30%</t>
  </si>
  <si>
    <t>HudBay Minerals</t>
  </si>
  <si>
    <t>Bilbao</t>
  </si>
  <si>
    <t>Xtierra</t>
  </si>
  <si>
    <t>Yava</t>
  </si>
  <si>
    <t>Savant Explorations</t>
  </si>
  <si>
    <t>Blue Moon</t>
  </si>
  <si>
    <t>Yauricocha</t>
  </si>
  <si>
    <t>Dia Bras Exploration</t>
  </si>
  <si>
    <t>Bolivar</t>
  </si>
  <si>
    <t>Cusi</t>
  </si>
  <si>
    <t>Bahuerachi</t>
  </si>
  <si>
    <t>Tyler Resources (now Jinchuan)</t>
  </si>
  <si>
    <t>Campo Morado / G-9</t>
  </si>
  <si>
    <t>Ecuador</t>
  </si>
  <si>
    <t>El Domo</t>
  </si>
  <si>
    <t>Salazar Resources</t>
  </si>
  <si>
    <t>Los Pinos</t>
  </si>
  <si>
    <t>Tamerlane Ventures</t>
  </si>
  <si>
    <t>Khnaiguiyah</t>
  </si>
  <si>
    <t>Alara - 50%, United Arabian Mining Company (Manajem) – 50%</t>
  </si>
  <si>
    <t>Ruttan</t>
  </si>
  <si>
    <t>Trevali Mining Corp.</t>
  </si>
  <si>
    <t>Halfmile Lake</t>
  </si>
  <si>
    <t>Stratmat</t>
  </si>
  <si>
    <t>Ireland</t>
  </si>
  <si>
    <t>Tullacondra</t>
  </si>
  <si>
    <t>Rathdowney Resources</t>
  </si>
  <si>
    <t>Golden Dream-Elkhorn</t>
  </si>
  <si>
    <t>Elkhorn Goldfields</t>
  </si>
  <si>
    <t>Mount Pleasant</t>
  </si>
  <si>
    <t>Adex Mining</t>
  </si>
  <si>
    <t>Skouries</t>
  </si>
  <si>
    <t>Catface</t>
  </si>
  <si>
    <t>Säviä</t>
  </si>
  <si>
    <t>Magnus Minerals</t>
  </si>
  <si>
    <t>Kainuu</t>
  </si>
  <si>
    <t>Viscaria</t>
  </si>
  <si>
    <t>Avalon Resources</t>
  </si>
  <si>
    <t>Dikoloti</t>
  </si>
  <si>
    <t>Discovery Metals, Xstrata</t>
  </si>
  <si>
    <t>Mouat</t>
  </si>
  <si>
    <t>Nye Basin</t>
  </si>
  <si>
    <t>Nevoro</t>
  </si>
  <si>
    <t>Moonlight</t>
  </si>
  <si>
    <t>Norway</t>
  </si>
  <si>
    <t>Ertelien</t>
  </si>
  <si>
    <t>Stormyra</t>
  </si>
  <si>
    <t>Dalen</t>
  </si>
  <si>
    <t>Blackstone Ventures</t>
  </si>
  <si>
    <t>Ror</t>
  </si>
  <si>
    <t>Lainejaur</t>
  </si>
  <si>
    <t>Lappvattnet</t>
  </si>
  <si>
    <t>Brannorna</t>
  </si>
  <si>
    <t>Mojo</t>
  </si>
  <si>
    <t>Backviken</t>
  </si>
  <si>
    <t>Grakalen</t>
  </si>
  <si>
    <t>Juggs</t>
  </si>
  <si>
    <t>Kenbridge</t>
  </si>
  <si>
    <t>Canadian Arrow Mines</t>
  </si>
  <si>
    <t>Amur Minerals Corp</t>
  </si>
  <si>
    <t>Ikenskoe</t>
  </si>
  <si>
    <t>Vodorazdelny-Falcon</t>
  </si>
  <si>
    <t>Maly Krumkon</t>
  </si>
  <si>
    <t>Lac Rocher</t>
  </si>
  <si>
    <t>Victory Nickel</t>
  </si>
  <si>
    <t>Chambishi Cu-Co Tailings</t>
  </si>
  <si>
    <t>Metals Finance</t>
  </si>
  <si>
    <t>Makwa (Maskwa)</t>
  </si>
  <si>
    <t>Mustang Minerals Corp</t>
  </si>
  <si>
    <t>Mt ore</t>
  </si>
  <si>
    <t>Bucko Lake</t>
  </si>
  <si>
    <t>CaNickel (formerly Crowflight Minerals)</t>
  </si>
  <si>
    <t>Number</t>
  </si>
  <si>
    <t>Rosemont</t>
  </si>
  <si>
    <t>Augusta Resource Corp</t>
  </si>
  <si>
    <t>El Creston</t>
  </si>
  <si>
    <t>Molybrook</t>
  </si>
  <si>
    <t>Lisbon</t>
  </si>
  <si>
    <t>Constellation Cu Corp (bankrupt)</t>
  </si>
  <si>
    <t>San Javier</t>
  </si>
  <si>
    <t>Terrazas</t>
  </si>
  <si>
    <t>Montanore</t>
  </si>
  <si>
    <t>Mines Management Inc</t>
  </si>
  <si>
    <t>Johnson Camp</t>
  </si>
  <si>
    <t>Nord Resources Corp</t>
  </si>
  <si>
    <t>Zonia</t>
  </si>
  <si>
    <t>Olympic Dam</t>
  </si>
  <si>
    <t>Iran</t>
  </si>
  <si>
    <t>Sarcheshmeh</t>
  </si>
  <si>
    <t>NICICO</t>
  </si>
  <si>
    <t>Escalones</t>
  </si>
  <si>
    <t>South American Silver Corp</t>
  </si>
  <si>
    <t>Bolivia</t>
  </si>
  <si>
    <t>Malku Khota</t>
  </si>
  <si>
    <t>Pitarrilla</t>
  </si>
  <si>
    <t>Berenguela</t>
  </si>
  <si>
    <t>Poplar</t>
  </si>
  <si>
    <t>ROK-Coyote</t>
  </si>
  <si>
    <t>Kelly Creek</t>
  </si>
  <si>
    <t>Lions Gate Metals</t>
  </si>
  <si>
    <t>Wolverine</t>
  </si>
  <si>
    <t>Yukon Zinc</t>
  </si>
  <si>
    <t>Hackett River</t>
  </si>
  <si>
    <t>Cerro Samenta</t>
  </si>
  <si>
    <t>Marifil Mines</t>
  </si>
  <si>
    <t>US Silver Corp</t>
  </si>
  <si>
    <t>Galena</t>
  </si>
  <si>
    <t>Mt Chalmers</t>
  </si>
  <si>
    <t>Echo Resources</t>
  </si>
  <si>
    <t>Coricancha</t>
  </si>
  <si>
    <t>Nyrstar (formerly Farallon Mining)</t>
  </si>
  <si>
    <t>Nyrstar (formerly Oracle Mining)</t>
  </si>
  <si>
    <t>Oracle Ridge</t>
  </si>
  <si>
    <t>Oracle Mining Corp</t>
  </si>
  <si>
    <t>Ongombo</t>
  </si>
  <si>
    <t>Namibian Copper</t>
  </si>
  <si>
    <t>Hambok</t>
  </si>
  <si>
    <t>NGEx Resources (now Namibian Copper)</t>
  </si>
  <si>
    <t>GJ-Donnelly/North Donnelly</t>
  </si>
  <si>
    <t>NGEx Resources</t>
  </si>
  <si>
    <t>Josemaria</t>
  </si>
  <si>
    <t>Mineral Deposit Type</t>
  </si>
  <si>
    <t>Magmatic Carbonatite</t>
  </si>
  <si>
    <t>Skarn</t>
  </si>
  <si>
    <t>Magmatic Sulphide</t>
  </si>
  <si>
    <t>Intrusion-Related Au?</t>
  </si>
  <si>
    <t>VMS?</t>
  </si>
  <si>
    <t>Porphyry?</t>
  </si>
  <si>
    <t>Magmatic</t>
  </si>
  <si>
    <t>Sediment-hosted Cu?</t>
  </si>
  <si>
    <t>IOCG?</t>
  </si>
  <si>
    <t>Porphyry-IOCG</t>
  </si>
  <si>
    <t>Sediment-hosted Stratiform Cu</t>
  </si>
  <si>
    <t>Porphyry/Sediment-hosted stratiform Cu</t>
  </si>
  <si>
    <t>Sediment-hosted stratiform Cu?</t>
  </si>
  <si>
    <t>Sediment-hosted stratiform Cu</t>
  </si>
  <si>
    <t>Sediment-hosted stratifom Cu</t>
  </si>
  <si>
    <t>Slate belt Au</t>
  </si>
  <si>
    <t>Epithermal</t>
  </si>
  <si>
    <t>Orogenic Au</t>
  </si>
  <si>
    <t>Gabbro Feeder</t>
  </si>
  <si>
    <t>Skarn?</t>
  </si>
  <si>
    <t>?</t>
  </si>
  <si>
    <t>Intrusion-Related Au?/Skarn?</t>
  </si>
  <si>
    <t>Sediment-hosted Cu</t>
  </si>
  <si>
    <t>Unconformity-related Uranium</t>
  </si>
  <si>
    <t>Orogenic Au?</t>
  </si>
  <si>
    <t>IOCG/Unconformity-related Uranium</t>
  </si>
  <si>
    <t>Manto-Cu</t>
  </si>
  <si>
    <t>Sediment-hosted stratifom Cu?</t>
  </si>
  <si>
    <t>vMS</t>
  </si>
  <si>
    <t>Orogenic Gold/IOCG?</t>
  </si>
  <si>
    <t>Orogenic Gold?</t>
  </si>
  <si>
    <t>Porphry, Skarn and IOCG</t>
  </si>
  <si>
    <t>Porphyry and VMS deposits</t>
  </si>
  <si>
    <t>Epithermal?</t>
  </si>
  <si>
    <t>Porphyry-skarn</t>
  </si>
  <si>
    <t>Porphyry-Skarn</t>
  </si>
  <si>
    <t>Porphyry/IOCG?</t>
  </si>
  <si>
    <t>Epithermal-Mesothermal</t>
  </si>
  <si>
    <t>Pegmatite?</t>
  </si>
  <si>
    <t>Porphyry-Skarn?</t>
  </si>
  <si>
    <t>VMS/Skarn</t>
  </si>
  <si>
    <t>Orogenic/Intrusion-related Au</t>
  </si>
  <si>
    <t>Mesothermal Vein</t>
  </si>
  <si>
    <t>Porphyry (epithermal?)</t>
  </si>
  <si>
    <t>Mesothermal Vein?</t>
  </si>
  <si>
    <t>Mt Unicorn</t>
  </si>
  <si>
    <t>Dart Mining</t>
  </si>
  <si>
    <t>Erdenet</t>
  </si>
  <si>
    <t>Erdenet Mining Corp</t>
  </si>
  <si>
    <t>Canahuire</t>
  </si>
  <si>
    <t>Emed Mining</t>
  </si>
  <si>
    <t>Emerald Isle</t>
  </si>
  <si>
    <t>St Genevieve Resources</t>
  </si>
  <si>
    <t>Gunnison-North Star</t>
  </si>
  <si>
    <t>Excelsior Mining Corp</t>
  </si>
  <si>
    <t>Kodu</t>
  </si>
  <si>
    <t>Frontier Resources</t>
  </si>
  <si>
    <t>Sinivit</t>
  </si>
  <si>
    <t>New Guinea Gold Corp</t>
  </si>
  <si>
    <t>Copperwood</t>
  </si>
  <si>
    <t>Orvana Minerals Corp</t>
  </si>
  <si>
    <t>Quiruvilca</t>
  </si>
  <si>
    <t>Pan American Silver Crop.</t>
  </si>
  <si>
    <t>Morococha</t>
  </si>
  <si>
    <t>Huaron</t>
  </si>
  <si>
    <t>San Vicente</t>
  </si>
  <si>
    <t>Navidad</t>
  </si>
  <si>
    <t>El Tecolote (Reyna del Cobre)</t>
  </si>
  <si>
    <t>Azure Resources</t>
  </si>
  <si>
    <t>Crypto</t>
  </si>
  <si>
    <t>Epithermal-Manto-Porphyry-Skarn</t>
  </si>
  <si>
    <t>Sepon</t>
  </si>
  <si>
    <t>Sediment-hosted Pb-Zn</t>
  </si>
  <si>
    <t>VMS/Sediment-hosted Pb-Zn</t>
  </si>
  <si>
    <t>Sediment-hosted Pb-Zn/VMS</t>
  </si>
  <si>
    <t>Telfer Group</t>
  </si>
  <si>
    <t>Oyu Tolgoi Group</t>
  </si>
  <si>
    <t>Rio Tinto-Ivanhoe JV</t>
  </si>
  <si>
    <t>China Mineral Resources 2011</t>
  </si>
  <si>
    <t>Tot</t>
  </si>
  <si>
    <t>AVG</t>
  </si>
  <si>
    <t>Romania</t>
  </si>
  <si>
    <t>Rosia Poieni</t>
  </si>
  <si>
    <t>Roman Copper Corp</t>
  </si>
  <si>
    <t>Kambalda Field</t>
  </si>
  <si>
    <t>Various</t>
  </si>
  <si>
    <t>Kounrad</t>
  </si>
  <si>
    <t>Central Asia Metals PLC</t>
  </si>
  <si>
    <t>El Brocal North</t>
  </si>
  <si>
    <t>El Brocal West</t>
  </si>
  <si>
    <t>Copper Development Corp</t>
  </si>
  <si>
    <t>Weng et al</t>
  </si>
  <si>
    <t>Kidd Creek</t>
  </si>
  <si>
    <t>AngloAmerican, Xstrata, Mitsui</t>
  </si>
  <si>
    <t>Las Bambas</t>
  </si>
  <si>
    <t>Ojos del Salado</t>
  </si>
  <si>
    <t>Antofagasta</t>
  </si>
  <si>
    <t>Grasberg Group</t>
  </si>
  <si>
    <t>Casino</t>
  </si>
  <si>
    <t>Copper North Mining Corp</t>
  </si>
  <si>
    <t>Redstone (Yukon)</t>
  </si>
  <si>
    <t>Redstone (Sudbury)</t>
  </si>
  <si>
    <t>Western Copper &amp; Gold</t>
  </si>
  <si>
    <t>Fyre Lake-Kona</t>
  </si>
  <si>
    <t>Pacific Ridge Exploration</t>
  </si>
  <si>
    <t>Ice</t>
  </si>
  <si>
    <t>Kudz Ze Kayah</t>
  </si>
  <si>
    <t>GP4F</t>
  </si>
  <si>
    <t>Marg</t>
  </si>
  <si>
    <t>Wellgreen</t>
  </si>
  <si>
    <t>Afghanistan</t>
  </si>
  <si>
    <t>Aynak</t>
  </si>
  <si>
    <t>Carmacks-Williams Creek</t>
  </si>
  <si>
    <t>Cash</t>
  </si>
  <si>
    <t>Selkirk First Nations</t>
  </si>
  <si>
    <t>Ferguson Lake</t>
  </si>
  <si>
    <t>Starfield Resources</t>
  </si>
  <si>
    <t>Rio Blanco-Whiteriver</t>
  </si>
  <si>
    <t>Kyzyl-Tash Turk</t>
  </si>
  <si>
    <t>Zijin Mining</t>
  </si>
  <si>
    <t>El Galeno</t>
  </si>
  <si>
    <t>Michiquillay</t>
  </si>
  <si>
    <t>Skarn-Porphyry</t>
  </si>
  <si>
    <t>Toromocho</t>
  </si>
  <si>
    <t>Udokan</t>
  </si>
  <si>
    <t>Cumo</t>
  </si>
  <si>
    <t>Brisas</t>
  </si>
  <si>
    <t>Venezuela</t>
  </si>
  <si>
    <t>Mosquito Gold Corp</t>
  </si>
  <si>
    <t>Rio Verde Group (Antas North/South, Pedra Branca)</t>
  </si>
  <si>
    <t>Avanco Resources</t>
  </si>
  <si>
    <t>Igarape Alemão</t>
  </si>
  <si>
    <t>Centro</t>
  </si>
  <si>
    <t>Cristalino</t>
  </si>
  <si>
    <t>Note: see Avanco Res. Pres. March 2012</t>
  </si>
  <si>
    <t>Mina Justa</t>
  </si>
  <si>
    <t>Marcona</t>
  </si>
  <si>
    <t>CST Mining Group</t>
  </si>
  <si>
    <t>USGS ResV 2010</t>
  </si>
  <si>
    <r>
      <t xml:space="preserve">USGS </t>
    </r>
    <r>
      <rPr>
        <b/>
        <sz val="11"/>
        <color rgb="FF006600"/>
        <rFont val="Calibri"/>
        <family val="2"/>
        <scheme val="minor"/>
      </rPr>
      <t>ResB 2008</t>
    </r>
  </si>
  <si>
    <t>Our ResV 2010</t>
  </si>
  <si>
    <t>Our ResV 2008</t>
  </si>
  <si>
    <t>USGS ResV 2008</t>
  </si>
  <si>
    <t>Our "ResB" 2008</t>
  </si>
  <si>
    <t>La Tapada</t>
  </si>
  <si>
    <t>Tia Maria</t>
  </si>
  <si>
    <t>Grupo Mexico</t>
  </si>
  <si>
    <t>Chalchihuites</t>
  </si>
  <si>
    <t>CMSA Facts &amp; Figures 2011</t>
  </si>
  <si>
    <t>IBM Minerals Yearbook 2010</t>
  </si>
  <si>
    <t>Baikal Mining Company</t>
  </si>
  <si>
    <t>Source</t>
  </si>
  <si>
    <t>Reference</t>
  </si>
  <si>
    <t>China Metallurgical Group</t>
  </si>
  <si>
    <t>BGS Tender document</t>
  </si>
  <si>
    <t>Mt Burgess Mining</t>
  </si>
  <si>
    <t>Ann Rep 2008</t>
  </si>
  <si>
    <t>Exco Resources (now Xstrata)</t>
  </si>
  <si>
    <t>Ann Rep 2010</t>
  </si>
  <si>
    <t>Ann Info Form 2010</t>
  </si>
  <si>
    <t xml:space="preserve"> Lithic Resources</t>
  </si>
  <si>
    <t>Tech Rep 2010</t>
  </si>
  <si>
    <t>African Metals</t>
  </si>
  <si>
    <t>MDA 2010-11</t>
  </si>
  <si>
    <t>Acronyms</t>
  </si>
  <si>
    <r>
      <rPr>
        <b/>
        <sz val="11"/>
        <color rgb="FFFF0000"/>
        <rFont val="Calibri"/>
        <family val="2"/>
        <scheme val="minor"/>
      </rPr>
      <t>Ann Rep:</t>
    </r>
    <r>
      <rPr>
        <sz val="11"/>
        <color theme="1"/>
        <rFont val="Calibri"/>
        <family val="2"/>
        <scheme val="minor"/>
      </rPr>
      <t xml:space="preserve"> Annual Report</t>
    </r>
  </si>
  <si>
    <r>
      <rPr>
        <b/>
        <sz val="11"/>
        <color rgb="FF0000FF"/>
        <rFont val="Calibri"/>
        <family val="2"/>
        <scheme val="minor"/>
      </rPr>
      <t>MDA:</t>
    </r>
    <r>
      <rPr>
        <sz val="11"/>
        <color theme="1"/>
        <rFont val="Calibri"/>
        <family val="2"/>
        <scheme val="minor"/>
      </rPr>
      <t xml:space="preserve"> Management Discussion &amp; Analysis</t>
    </r>
  </si>
  <si>
    <r>
      <rPr>
        <b/>
        <sz val="11"/>
        <color rgb="FFFF0000"/>
        <rFont val="Calibri"/>
        <family val="2"/>
        <scheme val="minor"/>
      </rPr>
      <t>Tech Rep:</t>
    </r>
    <r>
      <rPr>
        <sz val="11"/>
        <color theme="1"/>
        <rFont val="Calibri"/>
        <family val="2"/>
        <scheme val="minor"/>
      </rPr>
      <t xml:space="preserve"> NI-43-101 Technical Report</t>
    </r>
  </si>
  <si>
    <r>
      <rPr>
        <b/>
        <sz val="11"/>
        <color rgb="FF0000FF"/>
        <rFont val="Calibri"/>
        <family val="2"/>
        <scheme val="minor"/>
      </rPr>
      <t>Ann Rev:</t>
    </r>
    <r>
      <rPr>
        <sz val="11"/>
        <color theme="1"/>
        <rFont val="Calibri"/>
        <family val="2"/>
        <scheme val="minor"/>
      </rPr>
      <t xml:space="preserve"> Annual Review</t>
    </r>
  </si>
  <si>
    <t>Ann Rev 2010</t>
  </si>
  <si>
    <t>Ann Rep 2011</t>
  </si>
  <si>
    <t>Tech Rep 2007</t>
  </si>
  <si>
    <t>Note: Tasmanian Government Dept. of Mines Annual Review</t>
  </si>
  <si>
    <t>Hana Mining</t>
  </si>
  <si>
    <r>
      <rPr>
        <b/>
        <sz val="11"/>
        <color rgb="FFFF0000"/>
        <rFont val="Calibri"/>
        <family val="2"/>
        <scheme val="minor"/>
      </rPr>
      <t>Ann Info Form:</t>
    </r>
    <r>
      <rPr>
        <sz val="11"/>
        <color theme="1"/>
        <rFont val="Calibri"/>
        <family val="2"/>
        <scheme val="minor"/>
      </rPr>
      <t xml:space="preserve"> Annual Information Form</t>
    </r>
  </si>
  <si>
    <t>Form 20-F 2010</t>
  </si>
  <si>
    <t>Note: approx. data only.</t>
  </si>
  <si>
    <t>Tres Valles</t>
  </si>
  <si>
    <t>Pinto Valley</t>
  </si>
  <si>
    <r>
      <t>kg/t U</t>
    </r>
    <r>
      <rPr>
        <b/>
        <vertAlign val="subscript"/>
        <sz val="11"/>
        <color rgb="FFFF0000"/>
        <rFont val="Arial"/>
        <family val="2"/>
      </rPr>
      <t>3</t>
    </r>
    <r>
      <rPr>
        <b/>
        <sz val="11"/>
        <color rgb="FFFF0000"/>
        <rFont val="Arial"/>
        <family val="2"/>
      </rPr>
      <t>O</t>
    </r>
    <r>
      <rPr>
        <b/>
        <vertAlign val="subscript"/>
        <sz val="11"/>
        <color rgb="FFFF0000"/>
        <rFont val="Arial"/>
        <family val="2"/>
      </rPr>
      <t>8</t>
    </r>
  </si>
  <si>
    <t>African Eagle?</t>
  </si>
  <si>
    <t>Zambian Government</t>
  </si>
  <si>
    <t>Note: Investment profile (JORC inferred resource).</t>
  </si>
  <si>
    <t>Ann Rep 2010-11</t>
  </si>
  <si>
    <t>Eastern Platinum</t>
  </si>
  <si>
    <r>
      <rPr>
        <b/>
        <sz val="11"/>
        <color rgb="FF0000FF"/>
        <rFont val="Calibri"/>
        <family val="2"/>
        <scheme val="minor"/>
      </rPr>
      <t>AMA:</t>
    </r>
    <r>
      <rPr>
        <sz val="11"/>
        <color theme="1"/>
        <rFont val="Calibri"/>
        <family val="2"/>
        <scheme val="minor"/>
      </rPr>
      <t xml:space="preserve"> Australian Mines Atlas</t>
    </r>
  </si>
  <si>
    <t>Anglo American</t>
  </si>
  <si>
    <t>Lonmin / Platmin</t>
  </si>
  <si>
    <t>Bougainville Copper</t>
  </si>
  <si>
    <t>Tech Rep 2011</t>
  </si>
  <si>
    <t>Cancor Mines</t>
  </si>
  <si>
    <t>Arie</t>
  </si>
  <si>
    <t>Ann Info Form 2008</t>
  </si>
  <si>
    <t>Company Presentation</t>
  </si>
  <si>
    <t>Note: Not code-compliant</t>
  </si>
  <si>
    <t>NGEx Resources, JOGMEC</t>
  </si>
  <si>
    <t>Note: Taken over by McEwen Mining</t>
  </si>
  <si>
    <t>Note: Geoscience Australia's AMA (historic resource; non-code compliant)</t>
  </si>
  <si>
    <t>historic</t>
  </si>
  <si>
    <t>2009 presentation</t>
  </si>
  <si>
    <t>[1] IBM IMYB 2010 - Indian Minerals Yearbook 2010. Indian Bureau of Mines (IBM).</t>
  </si>
  <si>
    <t>[1] IBM IMYB 2010</t>
  </si>
  <si>
    <t>Note: Delisted after merger with Northwest Nonferrous International Limited</t>
  </si>
  <si>
    <t>Ann Rep 2007</t>
  </si>
  <si>
    <t>RAM</t>
  </si>
  <si>
    <t>Note: Private company, not required to report as per ASX rules for JORC</t>
  </si>
  <si>
    <t>Note: Private company, data from former owner Breakaway Resources which still holds a 30% net profit interest in Eloise.</t>
  </si>
  <si>
    <t>Ann Rep 2009</t>
  </si>
  <si>
    <t>Note: Not code-compliant (historic resource)</t>
  </si>
  <si>
    <t>Note: Resource data from CBH Resources (taken over by Toho Zinc in 2010)</t>
  </si>
  <si>
    <t>Note: Now called Carbine Tungsten and project no longer held.</t>
  </si>
  <si>
    <t>Note: 20 July 2011 (formerly Jinka Minerals); project now owned by Yellow Rock Resources Ltd.</t>
  </si>
  <si>
    <t>Note: 29 Nov. 2010 (larger resources announced early 2011).</t>
  </si>
  <si>
    <t>Tech Rep 2006</t>
  </si>
  <si>
    <r>
      <rPr>
        <b/>
        <sz val="11"/>
        <color rgb="FFFF0000"/>
        <rFont val="Calibri"/>
        <family val="2"/>
        <scheme val="minor"/>
      </rPr>
      <t>RAM:</t>
    </r>
    <r>
      <rPr>
        <sz val="11"/>
        <color theme="1"/>
        <rFont val="Calibri"/>
        <family val="2"/>
        <scheme val="minor"/>
      </rPr>
      <t xml:space="preserve"> Register of Australian Mining (online industry database)</t>
    </r>
  </si>
  <si>
    <t>Note: Sept. 2009.</t>
  </si>
  <si>
    <t>Ann Rep 2003</t>
  </si>
  <si>
    <t>Note: older historic resource (Rio Tinto); more recent resource data not reported.</t>
  </si>
  <si>
    <t>Tech Rep 2009</t>
  </si>
  <si>
    <r>
      <t xml:space="preserve">Campbell Res </t>
    </r>
    <r>
      <rPr>
        <b/>
        <sz val="11"/>
        <color rgb="FFFF0000"/>
        <rFont val="Calibri"/>
        <family val="2"/>
        <scheme val="minor"/>
      </rPr>
      <t>(bankrupt)</t>
    </r>
  </si>
  <si>
    <t>Tech Rep 2008</t>
  </si>
  <si>
    <t>NI43-101 Technical Rep 2011,12</t>
  </si>
  <si>
    <t>Ann Rep 2012</t>
  </si>
  <si>
    <t>Factsheet 2012</t>
  </si>
  <si>
    <t>Shaanxi Non-ferrous Metals Holding Group Co Ltd</t>
  </si>
  <si>
    <t>Technical Rep 2010</t>
  </si>
  <si>
    <t>Technical Rep 2008</t>
  </si>
  <si>
    <t xml:space="preserve">(http://www.blackthornresources.com.au/projects/); Inferred Mineral Resource containing 345 Mt at 0.47% Cu, 0.06g/t Au, 1.38 g/t Ag and 38 ppm U when using a 0.2% Cu cut-off; (or 87Mt at 0.94% Cu, 0.05g/t Au, 1.27 g/t Ag when using a 0.5% Cu cut-off). </t>
  </si>
  <si>
    <t>Mineral Resources and Reserves Rep 2010</t>
  </si>
  <si>
    <t>(from Zambezi Res)</t>
  </si>
  <si>
    <t>website</t>
  </si>
  <si>
    <t>http://www.goldreserveinc.com/mineral_resources_&amp;_reserves.asp</t>
  </si>
  <si>
    <t>sedar findings</t>
  </si>
  <si>
    <t>Technical Rep 2007</t>
  </si>
  <si>
    <t>Technical Rep 2009</t>
  </si>
  <si>
    <t>Ann Info Form 2009</t>
  </si>
  <si>
    <t>Technical Rep 2011</t>
  </si>
  <si>
    <t>Technical Rep 2006</t>
  </si>
  <si>
    <t>Now Duluth Metals Ltd.</t>
  </si>
  <si>
    <t>Ann Rep 2009?</t>
  </si>
  <si>
    <t>number doesn’t fit, from technical rep?</t>
  </si>
  <si>
    <t>Company Presentation 2012</t>
  </si>
  <si>
    <t>Res Estimate 2008</t>
  </si>
  <si>
    <t>Ann Rev  2010</t>
  </si>
  <si>
    <t>Ann Inf Form 2010</t>
  </si>
  <si>
    <t>numbers updated!</t>
  </si>
  <si>
    <t>JORC ORE RES STUDY REP 2009</t>
  </si>
  <si>
    <t>SRK Mineral Res Estimate 2006</t>
  </si>
  <si>
    <t>Polymetal International PLC</t>
  </si>
  <si>
    <t>http://www.bgk-udokan.com/eng/ydokan/engineering/</t>
  </si>
  <si>
    <t>http://www.zjky.cn/publish/english/tab941/info29262.htm</t>
  </si>
  <si>
    <t>http://www.zjky.cn/publish/english/tab941/info29260.htm</t>
  </si>
  <si>
    <t>http://www.atlasphilippines.com/</t>
  </si>
  <si>
    <t>Benguet Optimized Study 2000</t>
  </si>
  <si>
    <t>http://www.copperdevelopmentcorp.com/project/oreresources.html</t>
  </si>
  <si>
    <t>Minera Chinalco Peru</t>
  </si>
  <si>
    <t>Gold Reserve</t>
  </si>
  <si>
    <t>Tech Rep 2003</t>
  </si>
  <si>
    <t>Lumina Copper Corp. (owned by them)</t>
  </si>
  <si>
    <t>Mineral Resources and Reserves Rep 2011</t>
  </si>
  <si>
    <t>http://www.northriverresources.com/project-dordabis.aspx</t>
  </si>
  <si>
    <t>Incestor Presentation 2012</t>
  </si>
  <si>
    <t>Eldoradogold (not European Goldfields)</t>
  </si>
  <si>
    <t>Mineral resource and reserve 2010</t>
  </si>
  <si>
    <t>MMG now</t>
  </si>
  <si>
    <t>http://pugetventures.com/properties.php?bp=1291</t>
  </si>
  <si>
    <t>Prophecy Platinum</t>
  </si>
  <si>
    <t>Creso Exploration Inc.</t>
  </si>
  <si>
    <t>Greenock Res.-51%, LGdCedMines-49%</t>
  </si>
  <si>
    <t>JORC Mineral Rep 2007</t>
  </si>
  <si>
    <t>Tech Rep 2000</t>
  </si>
  <si>
    <t>http://www.ausmonresources.com.au/Koonenberry.html</t>
  </si>
  <si>
    <t>Mineral Resource and Mineral Reserve 2011</t>
  </si>
  <si>
    <t>Mineral Resource and Mineral Reserve 2010</t>
  </si>
  <si>
    <t>[2] USGS</t>
  </si>
  <si>
    <t>[3] Ore Geology Reviews</t>
  </si>
  <si>
    <t>(website - see note)</t>
  </si>
  <si>
    <t>Note: From Xanadau Mines - http://www.xanadumines.com/index.php?option=com_content&amp;view=article&amp;id=18&amp;Itemid=22</t>
  </si>
  <si>
    <t>RAfrM (2008 estimate)</t>
  </si>
  <si>
    <t>Company Report (2010)</t>
  </si>
  <si>
    <t>Company Website</t>
  </si>
  <si>
    <t>Company Website (updated)</t>
  </si>
  <si>
    <t>RIPM</t>
  </si>
  <si>
    <t>[2] Singer, D.A., Berger, V.I., and Moring, B.C. (2008): Porphyry copper deposits of the world: Database and grade and tonnage models, 2008. US Geological Survey ?Open-File Report 2008-1155?</t>
  </si>
  <si>
    <t>[3] Ore Geology Reviews, 38 (4), 2010, pages 367-381</t>
  </si>
  <si>
    <t>Company Website (2007 data)</t>
  </si>
  <si>
    <t>http://www.kghm.pl/index.dhtml?category_id=260&amp;lang=en</t>
  </si>
  <si>
    <t>Tantahuatay</t>
  </si>
  <si>
    <t>RAfrM</t>
  </si>
  <si>
    <r>
      <rPr>
        <b/>
        <sz val="11"/>
        <color rgb="FF0000FF"/>
        <rFont val="Calibri"/>
        <family val="2"/>
        <scheme val="minor"/>
      </rPr>
      <t>RAfrM:</t>
    </r>
    <r>
      <rPr>
        <sz val="11"/>
        <color theme="1"/>
        <rFont val="Calibri"/>
        <family val="2"/>
        <scheme val="minor"/>
      </rPr>
      <t xml:space="preserve"> Register of African Mining (online industry database)</t>
    </r>
  </si>
  <si>
    <r>
      <rPr>
        <b/>
        <sz val="11"/>
        <color rgb="FFFF0000"/>
        <rFont val="Calibri"/>
        <family val="2"/>
        <scheme val="minor"/>
      </rPr>
      <t>RIPM:</t>
    </r>
    <r>
      <rPr>
        <sz val="11"/>
        <color theme="1"/>
        <rFont val="Calibri"/>
        <family val="2"/>
        <scheme val="minor"/>
      </rPr>
      <t xml:space="preserve"> Register of Indo-Pacific Mining (online industry database)</t>
    </r>
  </si>
  <si>
    <t>[5] Dantas, PDAC 2008</t>
  </si>
  <si>
    <t>[5] Dantas, A., 2008, Brazil – The Land of Great Opportunities: Brazilian Geological Knowledge. Pres. at PDAC 2008, Toronto, Canada.</t>
  </si>
  <si>
    <t>Samancor Chrome / Kermas Group</t>
  </si>
  <si>
    <t>[6] USGS MYB Burundi</t>
  </si>
  <si>
    <t>[6] USGS, 2010 Minerals Yearbook - Burundi.</t>
  </si>
  <si>
    <t>[7] Piercey, S. J. et al. (2008): Economic Geology 103, 5-33.</t>
  </si>
  <si>
    <t>[7] Econ. Geol.</t>
  </si>
  <si>
    <t>Sabina Gold &amp; Silver Corp (now Xstrata)</t>
  </si>
  <si>
    <t>Yukon Gold Corp</t>
  </si>
  <si>
    <t>Ursa Major Minerals (now Prophecy Platinum)</t>
  </si>
  <si>
    <t>Chariot Resources</t>
  </si>
  <si>
    <t>[8] Econ. Geol. 2010, v105, pp 155-185</t>
  </si>
  <si>
    <t>[8] Econ. Geol.</t>
  </si>
  <si>
    <t>[4] Ore Geol. Rev.</t>
  </si>
  <si>
    <t>[4] Ore Geol. Rev. 2005, v27, pp 46-47</t>
  </si>
  <si>
    <t>China Minmetals</t>
  </si>
  <si>
    <t>[9] Min. Dep.</t>
  </si>
  <si>
    <t>[9] Min. Dep., 2005, v40, pp 598-616.</t>
  </si>
  <si>
    <t>Equinox (now Barrick Gold)</t>
  </si>
  <si>
    <t>Anglo American (now Vedanta)</t>
  </si>
  <si>
    <t>Peru Copper (2006)</t>
  </si>
  <si>
    <t>Formerly Peru Copper; see http://www.portergeo.com.au/database/mineinfo.asp?mineid=mn1318</t>
  </si>
  <si>
    <t>Reko Diq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</si>
</sst>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0"/>
      <name val="Arial"/>
      <family val="2"/>
    </font>
    <font>
      <b/>
      <sz val="11"/>
      <color indexed="10"/>
      <name val="Arial"/>
      <family val="2"/>
    </font>
    <font>
      <b/>
      <sz val="11"/>
      <color rgb="FF0000FF"/>
      <name val="Arial"/>
      <family val="2"/>
    </font>
    <font>
      <b/>
      <vertAlign val="subscript"/>
      <sz val="11"/>
      <color rgb="FFFF0000"/>
      <name val="Arial"/>
      <family val="2"/>
    </font>
    <font>
      <b/>
      <sz val="11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vertical="center"/>
    </xf>
    <xf numFmtId="165" fontId="4" fillId="3" borderId="0" xfId="0" applyNumberFormat="1" applyFont="1" applyFill="1" applyAlignment="1">
      <alignment horizontal="center" vertical="center" wrapText="1"/>
    </xf>
    <xf numFmtId="166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1" fillId="2" borderId="0" xfId="1" applyFont="1" applyFill="1" applyAlignment="1">
      <alignment horizontal="center" vertical="center" wrapText="1"/>
    </xf>
    <xf numFmtId="0" fontId="11" fillId="2" borderId="0" xfId="1" applyFont="1" applyFill="1" applyAlignment="1">
      <alignment horizontal="center" vertical="center"/>
    </xf>
    <xf numFmtId="0" fontId="12" fillId="2" borderId="0" xfId="1" applyFont="1" applyFill="1" applyAlignment="1">
      <alignment horizontal="center" vertical="center" wrapText="1"/>
    </xf>
    <xf numFmtId="0" fontId="1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2" applyFont="1" applyFill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9" fillId="5" borderId="0" xfId="0" applyFont="1" applyFill="1"/>
    <xf numFmtId="0" fontId="0" fillId="5" borderId="0" xfId="0" applyFill="1"/>
    <xf numFmtId="0" fontId="4" fillId="0" borderId="0" xfId="0" applyFont="1" applyAlignment="1"/>
    <xf numFmtId="0" fontId="15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6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006600"/>
      <color rgb="FFFFFF99"/>
      <color rgb="FF0000FF"/>
      <color rgb="FFCCFFFF"/>
      <color rgb="FF9933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ugetventures.com/properties.php?bp=1291" TargetMode="External"/><Relationship Id="rId1" Type="http://schemas.openxmlformats.org/officeDocument/2006/relationships/hyperlink" Target="http://www.zjky.cn/publish/english/tab941/info2926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2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09375" defaultRowHeight="14.4" x14ac:dyDescent="0.3"/>
  <cols>
    <col min="1" max="1" width="32.6640625" style="26" customWidth="1"/>
    <col min="2" max="2" width="18.88671875" style="3" bestFit="1" customWidth="1"/>
    <col min="3" max="3" width="38.88671875" style="46" bestFit="1" customWidth="1"/>
    <col min="4" max="4" width="12.77734375" style="3" customWidth="1"/>
    <col min="5" max="16" width="8.77734375" style="3" customWidth="1"/>
    <col min="17" max="17" width="9.77734375" style="3" customWidth="1"/>
    <col min="18" max="18" width="10.77734375" style="3" customWidth="1"/>
    <col min="19" max="19" width="10.6640625" style="3" customWidth="1"/>
    <col min="20" max="20" width="41.6640625" style="26" customWidth="1"/>
    <col min="21" max="21" width="29.88671875" style="3" bestFit="1" customWidth="1"/>
    <col min="22" max="22" width="30.77734375" style="55" customWidth="1"/>
    <col min="23" max="16384" width="9.109375" style="3"/>
  </cols>
  <sheetData>
    <row r="1" spans="1:22" x14ac:dyDescent="0.3">
      <c r="A1" s="3"/>
      <c r="C1" s="3"/>
      <c r="D1" s="17">
        <f>SUM(D3:D732)</f>
        <v>363269.7828771472</v>
      </c>
      <c r="Q1" s="2" t="s">
        <v>922</v>
      </c>
      <c r="R1" s="25">
        <f>COUNT(S3:S732)</f>
        <v>730</v>
      </c>
      <c r="S1" s="17">
        <f>SUM(S3:S732)</f>
        <v>1780.8645853828557</v>
      </c>
      <c r="U1" s="25">
        <f>COUNTA(U3:U732)</f>
        <v>730</v>
      </c>
    </row>
    <row r="2" spans="1:22" ht="16.2" x14ac:dyDescent="0.3">
      <c r="A2" s="27" t="s">
        <v>7</v>
      </c>
      <c r="B2" s="28" t="s">
        <v>6</v>
      </c>
      <c r="C2" s="31" t="s">
        <v>1046</v>
      </c>
      <c r="D2" s="29" t="s">
        <v>994</v>
      </c>
      <c r="E2" s="30" t="s">
        <v>3</v>
      </c>
      <c r="F2" s="29" t="s">
        <v>142</v>
      </c>
      <c r="G2" s="29" t="s">
        <v>198</v>
      </c>
      <c r="H2" s="29" t="s">
        <v>199</v>
      </c>
      <c r="I2" s="30" t="s">
        <v>0</v>
      </c>
      <c r="J2" s="30" t="s">
        <v>1</v>
      </c>
      <c r="K2" s="30" t="s">
        <v>2</v>
      </c>
      <c r="L2" s="30" t="s">
        <v>4</v>
      </c>
      <c r="M2" s="30" t="s">
        <v>167</v>
      </c>
      <c r="N2" s="30" t="s">
        <v>31</v>
      </c>
      <c r="O2" s="30" t="s">
        <v>557</v>
      </c>
      <c r="P2" s="30" t="s">
        <v>537</v>
      </c>
      <c r="Q2" s="30" t="s">
        <v>206</v>
      </c>
      <c r="R2" s="31" t="s">
        <v>1226</v>
      </c>
      <c r="S2" s="32" t="s">
        <v>124</v>
      </c>
      <c r="T2" s="27" t="s">
        <v>5</v>
      </c>
      <c r="U2" s="27" t="s">
        <v>1198</v>
      </c>
    </row>
    <row r="3" spans="1:22" x14ac:dyDescent="0.3">
      <c r="A3" s="16" t="s">
        <v>1158</v>
      </c>
      <c r="B3" s="16" t="s">
        <v>1157</v>
      </c>
      <c r="C3" s="16" t="s">
        <v>1060</v>
      </c>
      <c r="D3" s="3">
        <v>240</v>
      </c>
      <c r="E3" s="3">
        <v>2.2999999999999998</v>
      </c>
      <c r="S3" s="18">
        <f t="shared" ref="S3:S65" si="0">D3*E3/100</f>
        <v>5.52</v>
      </c>
      <c r="T3" s="3" t="s">
        <v>1200</v>
      </c>
      <c r="U3" s="3" t="s">
        <v>1201</v>
      </c>
    </row>
    <row r="4" spans="1:22" x14ac:dyDescent="0.3">
      <c r="A4" s="16" t="s">
        <v>620</v>
      </c>
      <c r="B4" s="16" t="s">
        <v>621</v>
      </c>
      <c r="C4" s="16" t="s">
        <v>808</v>
      </c>
      <c r="D4" s="3">
        <v>11.5</v>
      </c>
      <c r="E4" s="3">
        <v>0.7</v>
      </c>
      <c r="I4" s="3">
        <v>2.6</v>
      </c>
      <c r="J4" s="3">
        <v>2.1</v>
      </c>
      <c r="K4" s="3">
        <v>95</v>
      </c>
      <c r="S4" s="18">
        <f t="shared" si="0"/>
        <v>8.0499999999999988E-2</v>
      </c>
      <c r="T4" s="3" t="s">
        <v>657</v>
      </c>
      <c r="U4" s="3" t="s">
        <v>1217</v>
      </c>
    </row>
    <row r="5" spans="1:22" x14ac:dyDescent="0.3">
      <c r="A5" s="16" t="s">
        <v>622</v>
      </c>
      <c r="B5" s="16" t="s">
        <v>621</v>
      </c>
      <c r="C5" s="16" t="s">
        <v>1051</v>
      </c>
      <c r="D5" s="3">
        <v>6.6</v>
      </c>
      <c r="E5" s="3">
        <v>0.55000000000000004</v>
      </c>
      <c r="L5" s="3">
        <v>1.62</v>
      </c>
      <c r="S5" s="18">
        <f t="shared" si="0"/>
        <v>3.6299999999999999E-2</v>
      </c>
      <c r="T5" s="3" t="s">
        <v>1237</v>
      </c>
      <c r="U5" s="3" t="s">
        <v>1239</v>
      </c>
      <c r="V5" s="53" t="s">
        <v>1255</v>
      </c>
    </row>
    <row r="6" spans="1:22" x14ac:dyDescent="0.3">
      <c r="A6" s="16" t="s">
        <v>466</v>
      </c>
      <c r="B6" s="16" t="s">
        <v>30</v>
      </c>
      <c r="C6" s="16" t="s">
        <v>45</v>
      </c>
      <c r="D6" s="36">
        <f>908.926+27.081+173.917+642.11</f>
        <v>1752.0340000000001</v>
      </c>
      <c r="E6" s="33">
        <f>(0.49*908.926+0.45*27.081+0.38*173.917+0.34*642.11)/D6</f>
        <v>0.42348838549936813</v>
      </c>
      <c r="K6" s="33">
        <f>(3.5*908.926+2.35*27.081+2.89*173.917+2.33*642.11)/D6</f>
        <v>2.992874441934346</v>
      </c>
      <c r="L6" s="33">
        <f>(0.22*908.926+0.14*27.081+0.14*173.917+0.12*642.11)/D6</f>
        <v>0.17417278431811256</v>
      </c>
      <c r="N6" s="18">
        <f>(0.031*908.926+0.049*27.081+0.037*173.917+0.034*642.11)/D6</f>
        <v>3.29733007464467E-2</v>
      </c>
      <c r="O6" s="18"/>
      <c r="P6" s="18"/>
      <c r="S6" s="18">
        <f t="shared" si="0"/>
        <v>7.4196605</v>
      </c>
      <c r="T6" s="3" t="s">
        <v>468</v>
      </c>
      <c r="U6" s="3" t="s">
        <v>1205</v>
      </c>
    </row>
    <row r="7" spans="1:22" x14ac:dyDescent="0.3">
      <c r="A7" s="16" t="s">
        <v>29</v>
      </c>
      <c r="B7" s="16" t="s">
        <v>30</v>
      </c>
      <c r="C7" s="16" t="s">
        <v>45</v>
      </c>
      <c r="D7" s="3">
        <v>302</v>
      </c>
      <c r="E7" s="3">
        <v>0.39</v>
      </c>
      <c r="L7" s="3">
        <v>0.39</v>
      </c>
      <c r="N7" s="3">
        <v>1.2999999999999999E-2</v>
      </c>
      <c r="S7" s="18">
        <f t="shared" si="0"/>
        <v>1.1778</v>
      </c>
      <c r="T7" s="3" t="s">
        <v>27</v>
      </c>
      <c r="U7" s="3" t="s">
        <v>1205</v>
      </c>
    </row>
    <row r="8" spans="1:22" x14ac:dyDescent="0.3">
      <c r="A8" s="16" t="s">
        <v>1028</v>
      </c>
      <c r="B8" s="16" t="s">
        <v>30</v>
      </c>
      <c r="C8" s="16" t="s">
        <v>45</v>
      </c>
      <c r="D8" s="3">
        <v>40</v>
      </c>
      <c r="E8" s="3">
        <v>0.5</v>
      </c>
      <c r="S8" s="18">
        <f t="shared" si="0"/>
        <v>0.2</v>
      </c>
      <c r="T8" s="3" t="s">
        <v>1029</v>
      </c>
      <c r="U8" s="3" t="s">
        <v>1240</v>
      </c>
      <c r="V8" s="53" t="s">
        <v>1241</v>
      </c>
    </row>
    <row r="9" spans="1:22" x14ac:dyDescent="0.3">
      <c r="A9" s="16" t="s">
        <v>666</v>
      </c>
      <c r="B9" s="34" t="s">
        <v>30</v>
      </c>
      <c r="C9" s="16" t="s">
        <v>45</v>
      </c>
      <c r="D9" s="37">
        <f>200+690+900</f>
        <v>1790</v>
      </c>
      <c r="E9" s="33">
        <f>(0.82*200+0.56*690+0.4*900)/D9</f>
        <v>0.50860335195530726</v>
      </c>
      <c r="K9" s="33">
        <f>(2.5*200+2.1*690+2*900)/D9</f>
        <v>2.0944134078212291</v>
      </c>
      <c r="N9" s="18">
        <f>(0.018*200+0.015*690+0.01*900)/D9</f>
        <v>1.2821229050279329E-2</v>
      </c>
      <c r="S9" s="18">
        <f t="shared" si="0"/>
        <v>9.1039999999999992</v>
      </c>
      <c r="T9" s="3" t="s">
        <v>27</v>
      </c>
      <c r="U9" s="3" t="s">
        <v>1205</v>
      </c>
    </row>
    <row r="10" spans="1:22" x14ac:dyDescent="0.3">
      <c r="A10" s="16" t="s">
        <v>1045</v>
      </c>
      <c r="B10" s="34" t="s">
        <v>30</v>
      </c>
      <c r="C10" s="16" t="s">
        <v>45</v>
      </c>
      <c r="D10" s="37">
        <v>1125</v>
      </c>
      <c r="E10" s="3">
        <v>0.31</v>
      </c>
      <c r="L10" s="3">
        <v>0.22</v>
      </c>
      <c r="S10" s="18">
        <f t="shared" si="0"/>
        <v>3.4874999999999998</v>
      </c>
      <c r="T10" s="3" t="s">
        <v>1242</v>
      </c>
      <c r="U10" s="3" t="s">
        <v>1205</v>
      </c>
    </row>
    <row r="11" spans="1:22" x14ac:dyDescent="0.3">
      <c r="A11" s="16" t="s">
        <v>170</v>
      </c>
      <c r="B11" s="34" t="s">
        <v>30</v>
      </c>
      <c r="C11" s="16" t="s">
        <v>45</v>
      </c>
      <c r="D11" s="37">
        <f>137+900</f>
        <v>1037</v>
      </c>
      <c r="E11" s="33">
        <f>(0.73*137+0.529)/(137+900)</f>
        <v>9.695178399228542E-2</v>
      </c>
      <c r="K11" s="3">
        <v>1.7</v>
      </c>
      <c r="L11" s="3">
        <v>7.0000000000000007E-2</v>
      </c>
      <c r="S11" s="18">
        <f t="shared" si="0"/>
        <v>1.0053899999999998</v>
      </c>
      <c r="T11" s="3" t="s">
        <v>171</v>
      </c>
      <c r="U11" s="3" t="s">
        <v>1208</v>
      </c>
      <c r="V11" s="53" t="s">
        <v>1243</v>
      </c>
    </row>
    <row r="12" spans="1:22" x14ac:dyDescent="0.3">
      <c r="A12" s="16" t="s">
        <v>1113</v>
      </c>
      <c r="B12" s="34" t="s">
        <v>30</v>
      </c>
      <c r="C12" s="16" t="s">
        <v>1063</v>
      </c>
      <c r="D12" s="3">
        <f>15.4+139.8+45.9</f>
        <v>201.10000000000002</v>
      </c>
      <c r="E12" s="33">
        <f>(0.1*15.4+0.04*139.8+0.02*45.9)/(15.4+139.8+45.9)</f>
        <v>4.0029835902536053E-2</v>
      </c>
      <c r="I12" s="33">
        <f>(1.44*15.4+0.79*139.8+0.57*45.9)/(15.4+139.8+45.9)</f>
        <v>0.78956240676280454</v>
      </c>
      <c r="K12" s="35">
        <f>(137*15.4+126*139.8+81*45.9)/(15.4+139.8+45.9)</f>
        <v>116.57135753356539</v>
      </c>
      <c r="S12" s="18">
        <f t="shared" si="0"/>
        <v>8.0500000000000002E-2</v>
      </c>
      <c r="T12" s="3" t="s">
        <v>1109</v>
      </c>
      <c r="U12" s="3" t="s">
        <v>1205</v>
      </c>
    </row>
    <row r="13" spans="1:22" x14ac:dyDescent="0.3">
      <c r="A13" s="16" t="s">
        <v>799</v>
      </c>
      <c r="B13" s="34" t="s">
        <v>30</v>
      </c>
      <c r="C13" s="16" t="s">
        <v>45</v>
      </c>
      <c r="D13" s="33">
        <f>79.872+114.662+72.974</f>
        <v>267.50799999999998</v>
      </c>
      <c r="E13" s="33">
        <f>(0.57*79.872+0.42*114.662+0.37*72.974)/D13</f>
        <v>0.4511471058809457</v>
      </c>
      <c r="L13" s="33">
        <f>(0.57*79.872+0.42*114.662+0.37*72.974)/D13</f>
        <v>0.4511471058809457</v>
      </c>
      <c r="S13" s="18">
        <f t="shared" si="0"/>
        <v>1.2068546000000002</v>
      </c>
      <c r="T13" s="3" t="s">
        <v>800</v>
      </c>
      <c r="U13" s="3" t="s">
        <v>1206</v>
      </c>
    </row>
    <row r="14" spans="1:22" ht="15" customHeight="1" x14ac:dyDescent="0.3">
      <c r="A14" s="16" t="s">
        <v>158</v>
      </c>
      <c r="B14" s="16" t="s">
        <v>30</v>
      </c>
      <c r="C14" s="16" t="s">
        <v>45</v>
      </c>
      <c r="D14" s="37">
        <v>1303</v>
      </c>
      <c r="E14" s="3">
        <v>0.39</v>
      </c>
      <c r="L14" s="3">
        <v>0.09</v>
      </c>
      <c r="N14" s="3">
        <v>1.6E-2</v>
      </c>
      <c r="S14" s="18">
        <f t="shared" si="0"/>
        <v>5.0817000000000005</v>
      </c>
      <c r="T14" s="3" t="s">
        <v>159</v>
      </c>
      <c r="U14" s="3" t="s">
        <v>1205</v>
      </c>
    </row>
    <row r="15" spans="1:22" x14ac:dyDescent="0.3">
      <c r="A15" s="16" t="s">
        <v>352</v>
      </c>
      <c r="B15" s="16" t="s">
        <v>8</v>
      </c>
      <c r="C15" s="16" t="s">
        <v>1119</v>
      </c>
      <c r="D15" s="3">
        <v>2.3499999999999996</v>
      </c>
      <c r="E15" s="33">
        <v>0.20604255319148937</v>
      </c>
      <c r="K15" s="35">
        <v>27.400000000000006</v>
      </c>
      <c r="L15" s="33">
        <v>0.47612765957446818</v>
      </c>
      <c r="S15" s="18">
        <f t="shared" si="0"/>
        <v>4.8419999999999999E-3</v>
      </c>
      <c r="T15" s="3" t="s">
        <v>429</v>
      </c>
      <c r="U15" s="3" t="s">
        <v>1205</v>
      </c>
    </row>
    <row r="16" spans="1:22" x14ac:dyDescent="0.3">
      <c r="A16" s="16" t="s">
        <v>360</v>
      </c>
      <c r="B16" s="16" t="s">
        <v>8</v>
      </c>
      <c r="C16" s="16" t="s">
        <v>1049</v>
      </c>
      <c r="D16" s="3">
        <v>12.2</v>
      </c>
      <c r="E16" s="3">
        <v>0.49</v>
      </c>
      <c r="F16" s="3">
        <v>0.14000000000000001</v>
      </c>
      <c r="M16" s="3">
        <v>0.14000000000000001</v>
      </c>
      <c r="S16" s="18">
        <f t="shared" si="0"/>
        <v>5.978E-2</v>
      </c>
      <c r="T16" s="3" t="s">
        <v>434</v>
      </c>
      <c r="U16" s="3" t="s">
        <v>1250</v>
      </c>
    </row>
    <row r="17" spans="1:21" x14ac:dyDescent="0.3">
      <c r="A17" s="16" t="s">
        <v>309</v>
      </c>
      <c r="B17" s="16" t="s">
        <v>8</v>
      </c>
      <c r="C17" s="16" t="s">
        <v>1048</v>
      </c>
      <c r="D17" s="33">
        <v>5.4820000000000002</v>
      </c>
      <c r="E17" s="3">
        <v>0.8</v>
      </c>
      <c r="K17" s="3">
        <v>29</v>
      </c>
      <c r="S17" s="18">
        <f t="shared" si="0"/>
        <v>4.3855999999999999E-2</v>
      </c>
      <c r="T17" s="3" t="s">
        <v>405</v>
      </c>
      <c r="U17" s="3" t="s">
        <v>1205</v>
      </c>
    </row>
    <row r="18" spans="1:21" x14ac:dyDescent="0.3">
      <c r="A18" s="16" t="s">
        <v>633</v>
      </c>
      <c r="B18" s="16" t="s">
        <v>8</v>
      </c>
      <c r="C18" s="16" t="s">
        <v>1119</v>
      </c>
      <c r="D18" s="33">
        <v>5.3310000000000004</v>
      </c>
      <c r="E18" s="3">
        <v>1.4</v>
      </c>
      <c r="K18" s="3">
        <v>2.5</v>
      </c>
      <c r="L18" s="3">
        <v>0.1</v>
      </c>
      <c r="S18" s="18">
        <f t="shared" si="0"/>
        <v>7.4634000000000006E-2</v>
      </c>
      <c r="T18" s="3" t="s">
        <v>650</v>
      </c>
      <c r="U18" s="3" t="s">
        <v>1205</v>
      </c>
    </row>
    <row r="19" spans="1:21" x14ac:dyDescent="0.3">
      <c r="A19" s="16" t="s">
        <v>342</v>
      </c>
      <c r="B19" s="16" t="s">
        <v>8</v>
      </c>
      <c r="C19" s="16" t="s">
        <v>1119</v>
      </c>
      <c r="D19" s="3">
        <v>0.74</v>
      </c>
      <c r="E19" s="3">
        <v>1.23</v>
      </c>
      <c r="L19" s="3">
        <v>0.1</v>
      </c>
      <c r="S19" s="18">
        <f t="shared" si="0"/>
        <v>9.1020000000000007E-3</v>
      </c>
      <c r="T19" s="3" t="s">
        <v>422</v>
      </c>
      <c r="U19" s="3" t="s">
        <v>1205</v>
      </c>
    </row>
    <row r="20" spans="1:21" x14ac:dyDescent="0.3">
      <c r="A20" s="16" t="s">
        <v>335</v>
      </c>
      <c r="B20" s="16" t="s">
        <v>8</v>
      </c>
      <c r="C20" s="16" t="s">
        <v>808</v>
      </c>
      <c r="D20" s="3">
        <v>3.8</v>
      </c>
      <c r="E20" s="3">
        <v>0.4</v>
      </c>
      <c r="K20" s="3">
        <v>34</v>
      </c>
      <c r="L20" s="3">
        <v>0.2</v>
      </c>
      <c r="S20" s="18">
        <f t="shared" si="0"/>
        <v>1.52E-2</v>
      </c>
      <c r="T20" s="3" t="s">
        <v>418</v>
      </c>
      <c r="U20" s="3" t="s">
        <v>1205</v>
      </c>
    </row>
    <row r="21" spans="1:21" x14ac:dyDescent="0.3">
      <c r="A21" s="16" t="s">
        <v>297</v>
      </c>
      <c r="B21" s="16" t="s">
        <v>8</v>
      </c>
      <c r="C21" s="16" t="s">
        <v>808</v>
      </c>
      <c r="D21" s="33">
        <v>3.0455999999999999</v>
      </c>
      <c r="E21" s="35">
        <v>2</v>
      </c>
      <c r="K21" s="3">
        <v>139</v>
      </c>
      <c r="L21" s="3">
        <v>0.7</v>
      </c>
      <c r="S21" s="18">
        <f t="shared" si="0"/>
        <v>6.0911999999999994E-2</v>
      </c>
      <c r="T21" s="3" t="s">
        <v>380</v>
      </c>
      <c r="U21" s="3" t="s">
        <v>1205</v>
      </c>
    </row>
    <row r="22" spans="1:21" x14ac:dyDescent="0.3">
      <c r="A22" s="16" t="s">
        <v>280</v>
      </c>
      <c r="B22" s="16" t="s">
        <v>8</v>
      </c>
      <c r="C22" s="16" t="s">
        <v>45</v>
      </c>
      <c r="D22" s="3">
        <v>42</v>
      </c>
      <c r="E22" s="33">
        <v>0.4</v>
      </c>
      <c r="L22" s="3">
        <v>0.38</v>
      </c>
      <c r="S22" s="18">
        <f t="shared" si="0"/>
        <v>0.16800000000000001</v>
      </c>
      <c r="T22" s="3" t="s">
        <v>174</v>
      </c>
      <c r="U22" s="3" t="s">
        <v>1205</v>
      </c>
    </row>
    <row r="23" spans="1:21" x14ac:dyDescent="0.3">
      <c r="A23" s="16" t="s">
        <v>247</v>
      </c>
      <c r="B23" s="16" t="s">
        <v>8</v>
      </c>
      <c r="C23" s="16" t="s">
        <v>45</v>
      </c>
      <c r="D23" s="36">
        <v>1531.1721600000001</v>
      </c>
      <c r="E23" s="33">
        <v>0.10300805782675675</v>
      </c>
      <c r="K23" s="35"/>
      <c r="L23" s="33">
        <v>0.58722831663815001</v>
      </c>
      <c r="S23" s="18">
        <f t="shared" si="0"/>
        <v>1.5772307040000004</v>
      </c>
      <c r="T23" s="3" t="s">
        <v>363</v>
      </c>
      <c r="U23" s="3" t="s">
        <v>1205</v>
      </c>
    </row>
    <row r="24" spans="1:21" x14ac:dyDescent="0.3">
      <c r="A24" s="16" t="s">
        <v>359</v>
      </c>
      <c r="B24" s="16" t="s">
        <v>8</v>
      </c>
      <c r="C24" s="16" t="s">
        <v>1049</v>
      </c>
      <c r="D24" s="3">
        <v>70.5</v>
      </c>
      <c r="E24" s="33">
        <v>0.83832624113475185</v>
      </c>
      <c r="F24" s="18">
        <v>0.10701560283687944</v>
      </c>
      <c r="K24" s="35">
        <v>12.143120567375886</v>
      </c>
      <c r="M24" s="33">
        <v>0.11784255319148937</v>
      </c>
      <c r="S24" s="18">
        <f t="shared" si="0"/>
        <v>0.59101999999999999</v>
      </c>
      <c r="T24" s="3" t="s">
        <v>434</v>
      </c>
      <c r="U24" s="3" t="s">
        <v>1250</v>
      </c>
    </row>
    <row r="25" spans="1:21" x14ac:dyDescent="0.3">
      <c r="A25" s="16" t="s">
        <v>326</v>
      </c>
      <c r="B25" s="16" t="s">
        <v>8</v>
      </c>
      <c r="C25" s="16" t="s">
        <v>1062</v>
      </c>
      <c r="D25" s="3">
        <v>20.5</v>
      </c>
      <c r="E25" s="3">
        <v>0.1</v>
      </c>
      <c r="K25" s="3">
        <v>9</v>
      </c>
      <c r="S25" s="18">
        <f t="shared" si="0"/>
        <v>2.0500000000000004E-2</v>
      </c>
      <c r="T25" s="3" t="s">
        <v>412</v>
      </c>
      <c r="U25" s="3" t="s">
        <v>1205</v>
      </c>
    </row>
    <row r="26" spans="1:21" x14ac:dyDescent="0.3">
      <c r="A26" s="16" t="s">
        <v>279</v>
      </c>
      <c r="B26" s="16" t="s">
        <v>8</v>
      </c>
      <c r="C26" s="16" t="s">
        <v>45</v>
      </c>
      <c r="D26" s="3">
        <v>52.5</v>
      </c>
      <c r="E26" s="33">
        <v>0.34742857142857148</v>
      </c>
      <c r="K26" s="33">
        <v>1.3897142857142859</v>
      </c>
      <c r="L26" s="33">
        <v>0.04</v>
      </c>
      <c r="S26" s="18">
        <f t="shared" si="0"/>
        <v>0.18240000000000001</v>
      </c>
      <c r="T26" s="3" t="s">
        <v>386</v>
      </c>
      <c r="U26" s="3" t="s">
        <v>1205</v>
      </c>
    </row>
    <row r="27" spans="1:21" x14ac:dyDescent="0.3">
      <c r="A27" s="16" t="s">
        <v>241</v>
      </c>
      <c r="B27" s="16" t="s">
        <v>8</v>
      </c>
      <c r="C27" s="16" t="s">
        <v>45</v>
      </c>
      <c r="D27" s="37">
        <v>2347</v>
      </c>
      <c r="E27" s="3">
        <v>0.28000000000000003</v>
      </c>
      <c r="K27" s="3">
        <v>0.47</v>
      </c>
      <c r="L27" s="3">
        <v>0.44</v>
      </c>
      <c r="S27" s="18">
        <f t="shared" si="0"/>
        <v>6.571600000000001</v>
      </c>
      <c r="T27" s="3" t="s">
        <v>174</v>
      </c>
      <c r="U27" s="3" t="s">
        <v>1205</v>
      </c>
    </row>
    <row r="28" spans="1:21" x14ac:dyDescent="0.3">
      <c r="A28" s="16" t="s">
        <v>260</v>
      </c>
      <c r="B28" s="16" t="s">
        <v>8</v>
      </c>
      <c r="C28" s="16" t="s">
        <v>45</v>
      </c>
      <c r="D28" s="3">
        <v>408</v>
      </c>
      <c r="E28" s="3">
        <v>0.12</v>
      </c>
      <c r="L28" s="3">
        <v>0.42</v>
      </c>
      <c r="S28" s="18">
        <f t="shared" si="0"/>
        <v>0.48960000000000004</v>
      </c>
      <c r="T28" s="3" t="s">
        <v>174</v>
      </c>
      <c r="U28" s="3" t="s">
        <v>1205</v>
      </c>
    </row>
    <row r="29" spans="1:21" x14ac:dyDescent="0.3">
      <c r="A29" s="16" t="s">
        <v>308</v>
      </c>
      <c r="B29" s="16" t="s">
        <v>8</v>
      </c>
      <c r="C29" s="16" t="s">
        <v>131</v>
      </c>
      <c r="D29" s="3">
        <v>11.4</v>
      </c>
      <c r="E29" s="3">
        <v>0.4</v>
      </c>
      <c r="L29" s="3">
        <v>0.1</v>
      </c>
      <c r="S29" s="18">
        <f t="shared" si="0"/>
        <v>4.5600000000000002E-2</v>
      </c>
      <c r="T29" s="3" t="s">
        <v>404</v>
      </c>
      <c r="U29" s="3" t="s">
        <v>1205</v>
      </c>
    </row>
    <row r="30" spans="1:21" x14ac:dyDescent="0.3">
      <c r="A30" s="16" t="s">
        <v>630</v>
      </c>
      <c r="B30" s="16" t="s">
        <v>8</v>
      </c>
      <c r="C30" s="16" t="s">
        <v>1068</v>
      </c>
      <c r="D30" s="3">
        <v>6</v>
      </c>
      <c r="E30" s="33">
        <v>0.45</v>
      </c>
      <c r="K30" s="35"/>
      <c r="L30" s="33"/>
      <c r="S30" s="18">
        <f t="shared" si="0"/>
        <v>2.7000000000000003E-2</v>
      </c>
      <c r="T30" s="3" t="s">
        <v>1202</v>
      </c>
      <c r="U30" s="3" t="s">
        <v>1203</v>
      </c>
    </row>
    <row r="31" spans="1:21" x14ac:dyDescent="0.3">
      <c r="A31" s="16" t="s">
        <v>634</v>
      </c>
      <c r="B31" s="16" t="s">
        <v>8</v>
      </c>
      <c r="C31" s="16" t="s">
        <v>1062</v>
      </c>
      <c r="D31" s="3">
        <v>1.5</v>
      </c>
      <c r="E31" s="3">
        <v>1.2</v>
      </c>
      <c r="S31" s="18">
        <f t="shared" si="0"/>
        <v>1.7999999999999999E-2</v>
      </c>
      <c r="T31" s="3" t="s">
        <v>651</v>
      </c>
      <c r="U31" s="3" t="s">
        <v>1205</v>
      </c>
    </row>
    <row r="32" spans="1:21" x14ac:dyDescent="0.3">
      <c r="A32" s="16" t="s">
        <v>244</v>
      </c>
      <c r="B32" s="16" t="s">
        <v>8</v>
      </c>
      <c r="C32" s="16" t="s">
        <v>131</v>
      </c>
      <c r="D32" s="3">
        <v>203</v>
      </c>
      <c r="E32" s="3">
        <v>1.31</v>
      </c>
      <c r="K32" s="35">
        <v>6</v>
      </c>
      <c r="L32" s="3">
        <v>0.56000000000000005</v>
      </c>
      <c r="R32" s="3">
        <v>0.27</v>
      </c>
      <c r="S32" s="18">
        <f t="shared" si="0"/>
        <v>2.6593</v>
      </c>
      <c r="T32" s="3" t="s">
        <v>361</v>
      </c>
      <c r="U32" s="3" t="s">
        <v>1205</v>
      </c>
    </row>
    <row r="33" spans="1:22" x14ac:dyDescent="0.3">
      <c r="A33" s="16" t="s">
        <v>346</v>
      </c>
      <c r="B33" s="16" t="s">
        <v>8</v>
      </c>
      <c r="C33" s="16" t="s">
        <v>808</v>
      </c>
      <c r="D33" s="3">
        <v>1.22</v>
      </c>
      <c r="E33" s="3">
        <v>0.5</v>
      </c>
      <c r="K33" s="3">
        <v>8.1</v>
      </c>
      <c r="L33" s="3">
        <v>0.8</v>
      </c>
      <c r="S33" s="18">
        <f t="shared" si="0"/>
        <v>6.0999999999999995E-3</v>
      </c>
      <c r="T33" s="3" t="s">
        <v>416</v>
      </c>
      <c r="U33" s="3" t="s">
        <v>1205</v>
      </c>
    </row>
    <row r="34" spans="1:22" x14ac:dyDescent="0.3">
      <c r="A34" s="16" t="s">
        <v>635</v>
      </c>
      <c r="B34" s="16" t="s">
        <v>8</v>
      </c>
      <c r="C34" s="16" t="s">
        <v>1066</v>
      </c>
      <c r="D34" s="3">
        <v>5.16</v>
      </c>
      <c r="E34" s="3">
        <v>0.31</v>
      </c>
      <c r="S34" s="18">
        <f t="shared" si="0"/>
        <v>1.5996E-2</v>
      </c>
      <c r="T34" s="3" t="s">
        <v>652</v>
      </c>
      <c r="U34" s="3" t="s">
        <v>1251</v>
      </c>
      <c r="V34" s="53" t="s">
        <v>1252</v>
      </c>
    </row>
    <row r="35" spans="1:22" x14ac:dyDescent="0.3">
      <c r="A35" s="16" t="s">
        <v>305</v>
      </c>
      <c r="B35" s="16" t="s">
        <v>8</v>
      </c>
      <c r="C35" s="16" t="s">
        <v>131</v>
      </c>
      <c r="D35" s="3">
        <v>5.4</v>
      </c>
      <c r="E35" s="3">
        <v>0.88</v>
      </c>
      <c r="L35" s="3">
        <v>0.62</v>
      </c>
      <c r="S35" s="18">
        <f t="shared" si="0"/>
        <v>4.7520000000000007E-2</v>
      </c>
      <c r="T35" s="3" t="s">
        <v>376</v>
      </c>
      <c r="U35" s="3" t="s">
        <v>1205</v>
      </c>
    </row>
    <row r="36" spans="1:22" x14ac:dyDescent="0.3">
      <c r="A36" s="16" t="s">
        <v>254</v>
      </c>
      <c r="B36" s="16" t="s">
        <v>8</v>
      </c>
      <c r="C36" s="16" t="s">
        <v>1062</v>
      </c>
      <c r="D36" s="3">
        <v>11.2</v>
      </c>
      <c r="E36" s="3">
        <v>6.2</v>
      </c>
      <c r="S36" s="18">
        <f t="shared" si="0"/>
        <v>0.69440000000000002</v>
      </c>
      <c r="T36" s="3" t="s">
        <v>368</v>
      </c>
      <c r="U36" s="3" t="s">
        <v>1217</v>
      </c>
    </row>
    <row r="37" spans="1:22" x14ac:dyDescent="0.3">
      <c r="A37" s="16" t="s">
        <v>349</v>
      </c>
      <c r="B37" s="16" t="s">
        <v>8</v>
      </c>
      <c r="C37" s="56" t="s">
        <v>1048</v>
      </c>
      <c r="D37" s="33">
        <v>3.1286429999999998</v>
      </c>
      <c r="E37" s="33">
        <v>0.17246226558926667</v>
      </c>
      <c r="K37" s="35">
        <v>95.401714353475285</v>
      </c>
      <c r="S37" s="18">
        <f t="shared" si="0"/>
        <v>5.3957286E-3</v>
      </c>
      <c r="T37" s="3" t="s">
        <v>426</v>
      </c>
      <c r="U37" s="3" t="s">
        <v>1205</v>
      </c>
    </row>
    <row r="38" spans="1:22" x14ac:dyDescent="0.3">
      <c r="A38" s="16" t="s">
        <v>345</v>
      </c>
      <c r="B38" s="16" t="s">
        <v>8</v>
      </c>
      <c r="C38" s="16" t="s">
        <v>1049</v>
      </c>
      <c r="D38" s="33">
        <v>0.81166666666666665</v>
      </c>
      <c r="E38" s="3">
        <v>0.82</v>
      </c>
      <c r="S38" s="18">
        <f t="shared" si="0"/>
        <v>6.6556666666666665E-3</v>
      </c>
      <c r="T38" s="3" t="s">
        <v>424</v>
      </c>
      <c r="U38" s="3" t="s">
        <v>1205</v>
      </c>
    </row>
    <row r="39" spans="1:22" x14ac:dyDescent="0.3">
      <c r="A39" s="16" t="s">
        <v>258</v>
      </c>
      <c r="B39" s="16" t="s">
        <v>8</v>
      </c>
      <c r="C39" s="16" t="s">
        <v>45</v>
      </c>
      <c r="D39" s="3">
        <v>173</v>
      </c>
      <c r="E39" s="3">
        <v>0.31</v>
      </c>
      <c r="L39" s="3">
        <v>0.26</v>
      </c>
      <c r="S39" s="18">
        <f t="shared" si="0"/>
        <v>0.5363</v>
      </c>
      <c r="T39" s="3" t="s">
        <v>371</v>
      </c>
      <c r="U39" s="3" t="s">
        <v>1205</v>
      </c>
    </row>
    <row r="40" spans="1:22" x14ac:dyDescent="0.3">
      <c r="A40" s="16" t="s">
        <v>636</v>
      </c>
      <c r="B40" s="16" t="s">
        <v>8</v>
      </c>
      <c r="C40" s="16" t="s">
        <v>1053</v>
      </c>
      <c r="D40" s="3">
        <v>0.22500000000000001</v>
      </c>
      <c r="E40" s="3">
        <v>0.24</v>
      </c>
      <c r="S40" s="18">
        <f t="shared" si="0"/>
        <v>5.4000000000000001E-4</v>
      </c>
      <c r="T40" s="3" t="s">
        <v>406</v>
      </c>
      <c r="U40" s="3" t="s">
        <v>1205</v>
      </c>
    </row>
    <row r="41" spans="1:22" x14ac:dyDescent="0.3">
      <c r="A41" s="16" t="s">
        <v>320</v>
      </c>
      <c r="B41" s="16" t="s">
        <v>8</v>
      </c>
      <c r="C41" s="16" t="s">
        <v>1071</v>
      </c>
      <c r="D41" s="3">
        <v>3.4</v>
      </c>
      <c r="E41" s="3">
        <v>0.8</v>
      </c>
      <c r="K41" s="3">
        <v>4.7</v>
      </c>
      <c r="L41" s="3">
        <v>5.4</v>
      </c>
      <c r="S41" s="18">
        <f t="shared" si="0"/>
        <v>2.7200000000000002E-2</v>
      </c>
      <c r="T41" s="3" t="s">
        <v>411</v>
      </c>
      <c r="U41" s="3" t="s">
        <v>1205</v>
      </c>
    </row>
    <row r="42" spans="1:22" x14ac:dyDescent="0.3">
      <c r="A42" s="16" t="s">
        <v>255</v>
      </c>
      <c r="B42" s="16" t="s">
        <v>8</v>
      </c>
      <c r="C42" s="16" t="s">
        <v>808</v>
      </c>
      <c r="D42" s="3">
        <v>10.67</v>
      </c>
      <c r="E42" s="3">
        <v>5.6</v>
      </c>
      <c r="K42" s="3">
        <v>15</v>
      </c>
      <c r="L42" s="3">
        <v>1.9</v>
      </c>
      <c r="S42" s="18">
        <f t="shared" si="0"/>
        <v>0.59751999999999994</v>
      </c>
      <c r="T42" s="3" t="s">
        <v>369</v>
      </c>
      <c r="U42" s="3" t="s">
        <v>1205</v>
      </c>
    </row>
    <row r="43" spans="1:22" x14ac:dyDescent="0.3">
      <c r="A43" s="16" t="s">
        <v>289</v>
      </c>
      <c r="B43" s="16" t="s">
        <v>8</v>
      </c>
      <c r="C43" s="16" t="s">
        <v>1119</v>
      </c>
      <c r="D43" s="3">
        <v>4.4000000000000004</v>
      </c>
      <c r="E43" s="3">
        <v>1.8</v>
      </c>
      <c r="L43" s="3">
        <v>0.2</v>
      </c>
      <c r="S43" s="18">
        <f t="shared" si="0"/>
        <v>7.9200000000000007E-2</v>
      </c>
      <c r="T43" s="3" t="s">
        <v>366</v>
      </c>
      <c r="U43" s="3" t="s">
        <v>1205</v>
      </c>
    </row>
    <row r="44" spans="1:22" x14ac:dyDescent="0.3">
      <c r="A44" s="16" t="s">
        <v>265</v>
      </c>
      <c r="B44" s="16" t="s">
        <v>8</v>
      </c>
      <c r="C44" s="16" t="s">
        <v>131</v>
      </c>
      <c r="D44" s="3">
        <v>48.1</v>
      </c>
      <c r="E44" s="3">
        <v>0.72</v>
      </c>
      <c r="L44" s="3">
        <v>0.21</v>
      </c>
      <c r="S44" s="18">
        <f t="shared" si="0"/>
        <v>0.34631999999999996</v>
      </c>
      <c r="T44" s="3" t="s">
        <v>1204</v>
      </c>
      <c r="U44" s="3" t="s">
        <v>1205</v>
      </c>
    </row>
    <row r="45" spans="1:22" x14ac:dyDescent="0.3">
      <c r="A45" s="16" t="s">
        <v>323</v>
      </c>
      <c r="B45" s="16" t="s">
        <v>8</v>
      </c>
      <c r="C45" s="16" t="s">
        <v>808</v>
      </c>
      <c r="D45" s="3">
        <v>3.4</v>
      </c>
      <c r="E45" s="33">
        <v>0.65588235294117647</v>
      </c>
      <c r="K45" s="35">
        <v>14.176470588235295</v>
      </c>
      <c r="S45" s="18">
        <f t="shared" si="0"/>
        <v>2.23E-2</v>
      </c>
      <c r="T45" s="3" t="s">
        <v>769</v>
      </c>
      <c r="U45" s="3" t="s">
        <v>1205</v>
      </c>
    </row>
    <row r="46" spans="1:22" x14ac:dyDescent="0.3">
      <c r="A46" s="16" t="s">
        <v>281</v>
      </c>
      <c r="B46" s="16" t="s">
        <v>8</v>
      </c>
      <c r="C46" s="16" t="s">
        <v>1066</v>
      </c>
      <c r="D46" s="3">
        <v>21.599999999999998</v>
      </c>
      <c r="E46" s="33">
        <v>0.77754629629629612</v>
      </c>
      <c r="K46" s="35">
        <v>16.634259259259263</v>
      </c>
      <c r="L46" s="33">
        <v>9.4675925925925927E-2</v>
      </c>
      <c r="S46" s="18">
        <f t="shared" si="0"/>
        <v>0.16794999999999993</v>
      </c>
      <c r="T46" s="3" t="s">
        <v>387</v>
      </c>
      <c r="U46" s="3" t="s">
        <v>1205</v>
      </c>
    </row>
    <row r="47" spans="1:22" x14ac:dyDescent="0.3">
      <c r="A47" s="16" t="s">
        <v>284</v>
      </c>
      <c r="B47" s="16" t="s">
        <v>8</v>
      </c>
      <c r="C47" s="16" t="s">
        <v>131</v>
      </c>
      <c r="D47" s="3">
        <v>3.2160000000000002</v>
      </c>
      <c r="E47" s="3">
        <v>3.1</v>
      </c>
      <c r="K47" s="3">
        <v>10</v>
      </c>
      <c r="L47" s="3">
        <v>0.8</v>
      </c>
      <c r="S47" s="18">
        <f t="shared" si="0"/>
        <v>9.9696000000000021E-2</v>
      </c>
      <c r="T47" s="3" t="s">
        <v>770</v>
      </c>
      <c r="U47" s="3" t="s">
        <v>1254</v>
      </c>
      <c r="V47" s="53" t="s">
        <v>1253</v>
      </c>
    </row>
    <row r="48" spans="1:22" x14ac:dyDescent="0.3">
      <c r="A48" s="16" t="s">
        <v>334</v>
      </c>
      <c r="B48" s="16" t="s">
        <v>8</v>
      </c>
      <c r="C48" s="16" t="s">
        <v>808</v>
      </c>
      <c r="D48" s="3">
        <v>4.7</v>
      </c>
      <c r="E48" s="3">
        <v>0.33</v>
      </c>
      <c r="K48" s="3">
        <v>19</v>
      </c>
      <c r="S48" s="18">
        <f t="shared" si="0"/>
        <v>1.5510000000000001E-2</v>
      </c>
      <c r="T48" s="3" t="s">
        <v>417</v>
      </c>
      <c r="U48" s="3" t="s">
        <v>1205</v>
      </c>
    </row>
    <row r="49" spans="1:22" x14ac:dyDescent="0.3">
      <c r="A49" s="16" t="s">
        <v>306</v>
      </c>
      <c r="B49" s="16" t="s">
        <v>8</v>
      </c>
      <c r="C49" s="16" t="s">
        <v>1119</v>
      </c>
      <c r="D49" s="3">
        <v>26.2</v>
      </c>
      <c r="E49" s="3">
        <v>0.18</v>
      </c>
      <c r="K49" s="3">
        <v>62</v>
      </c>
      <c r="S49" s="18">
        <f t="shared" si="0"/>
        <v>4.7159999999999994E-2</v>
      </c>
      <c r="T49" s="3" t="s">
        <v>403</v>
      </c>
      <c r="U49" s="3" t="s">
        <v>1254</v>
      </c>
      <c r="V49" s="53" t="s">
        <v>1256</v>
      </c>
    </row>
    <row r="50" spans="1:22" x14ac:dyDescent="0.3">
      <c r="A50" s="16" t="s">
        <v>26</v>
      </c>
      <c r="B50" s="16" t="s">
        <v>8</v>
      </c>
      <c r="C50" s="16" t="s">
        <v>131</v>
      </c>
      <c r="D50" s="3">
        <v>105</v>
      </c>
      <c r="E50" s="33">
        <v>1.2323809523809524</v>
      </c>
      <c r="L50" s="33">
        <v>0.65523809523809518</v>
      </c>
      <c r="S50" s="18">
        <f t="shared" si="0"/>
        <v>1.294</v>
      </c>
      <c r="T50" s="3" t="s">
        <v>27</v>
      </c>
      <c r="U50" s="3" t="s">
        <v>1205</v>
      </c>
    </row>
    <row r="51" spans="1:22" x14ac:dyDescent="0.3">
      <c r="A51" s="16" t="s">
        <v>343</v>
      </c>
      <c r="B51" s="16" t="s">
        <v>8</v>
      </c>
      <c r="C51" s="16" t="s">
        <v>1119</v>
      </c>
      <c r="D51" s="33">
        <v>8.7330000000000005</v>
      </c>
      <c r="E51" s="3">
        <v>0.1</v>
      </c>
      <c r="K51" s="3">
        <v>20</v>
      </c>
      <c r="L51" s="3">
        <v>0.3</v>
      </c>
      <c r="S51" s="18">
        <f t="shared" si="0"/>
        <v>8.7330000000000012E-3</v>
      </c>
      <c r="T51" s="3" t="s">
        <v>399</v>
      </c>
      <c r="U51" s="3" t="s">
        <v>1205</v>
      </c>
    </row>
    <row r="52" spans="1:22" x14ac:dyDescent="0.3">
      <c r="A52" s="16" t="s">
        <v>319</v>
      </c>
      <c r="B52" s="16" t="s">
        <v>8</v>
      </c>
      <c r="C52" s="16" t="s">
        <v>808</v>
      </c>
      <c r="D52" s="3">
        <v>1.75</v>
      </c>
      <c r="E52" s="3">
        <v>1.7</v>
      </c>
      <c r="K52" s="3">
        <v>8.5</v>
      </c>
      <c r="L52" s="3">
        <v>0.2</v>
      </c>
      <c r="S52" s="18">
        <f t="shared" si="0"/>
        <v>2.9750000000000002E-2</v>
      </c>
      <c r="T52" s="3" t="s">
        <v>410</v>
      </c>
      <c r="U52" s="3" t="s">
        <v>1205</v>
      </c>
      <c r="V52" s="53" t="s">
        <v>1257</v>
      </c>
    </row>
    <row r="53" spans="1:22" x14ac:dyDescent="0.3">
      <c r="A53" s="16" t="s">
        <v>644</v>
      </c>
      <c r="B53" s="16" t="s">
        <v>8</v>
      </c>
      <c r="C53" s="16" t="s">
        <v>1071</v>
      </c>
      <c r="D53" s="3">
        <v>0.45</v>
      </c>
      <c r="E53" s="3">
        <v>0.5</v>
      </c>
      <c r="L53" s="3">
        <v>1.6</v>
      </c>
      <c r="S53" s="18">
        <f t="shared" si="0"/>
        <v>2.2500000000000003E-3</v>
      </c>
      <c r="T53" s="3" t="s">
        <v>583</v>
      </c>
      <c r="U53" s="3" t="s">
        <v>1240</v>
      </c>
      <c r="V53" s="53" t="s">
        <v>1258</v>
      </c>
    </row>
    <row r="54" spans="1:22" x14ac:dyDescent="0.3">
      <c r="A54" s="16" t="s">
        <v>356</v>
      </c>
      <c r="B54" s="16" t="s">
        <v>8</v>
      </c>
      <c r="C54" s="16" t="s">
        <v>131</v>
      </c>
      <c r="D54" s="3">
        <v>0.49199999999999999</v>
      </c>
      <c r="E54" s="3">
        <v>0.5</v>
      </c>
      <c r="L54" s="3">
        <v>0.2</v>
      </c>
      <c r="S54" s="18">
        <f t="shared" si="0"/>
        <v>2.4599999999999999E-3</v>
      </c>
      <c r="T54" s="3" t="s">
        <v>432</v>
      </c>
      <c r="U54" s="3" t="s">
        <v>1205</v>
      </c>
    </row>
    <row r="55" spans="1:22" x14ac:dyDescent="0.3">
      <c r="A55" s="16" t="s">
        <v>250</v>
      </c>
      <c r="B55" s="16" t="s">
        <v>8</v>
      </c>
      <c r="C55" s="16" t="s">
        <v>808</v>
      </c>
      <c r="D55" s="3">
        <v>39.700000000000003</v>
      </c>
      <c r="E55" s="35">
        <v>2.0569269521410578</v>
      </c>
      <c r="K55" s="35">
        <v>32.314861460957182</v>
      </c>
      <c r="L55" s="33">
        <v>0.6403022670025188</v>
      </c>
      <c r="S55" s="18">
        <f t="shared" si="0"/>
        <v>0.81659999999999999</v>
      </c>
      <c r="T55" s="3" t="s">
        <v>366</v>
      </c>
      <c r="U55" s="3" t="s">
        <v>1205</v>
      </c>
    </row>
    <row r="56" spans="1:22" x14ac:dyDescent="0.3">
      <c r="A56" s="16" t="s">
        <v>317</v>
      </c>
      <c r="B56" s="16" t="s">
        <v>8</v>
      </c>
      <c r="C56" s="16" t="s">
        <v>131</v>
      </c>
      <c r="D56" s="3">
        <v>2.1</v>
      </c>
      <c r="E56" s="3">
        <v>1.54</v>
      </c>
      <c r="L56" s="3">
        <v>0.13</v>
      </c>
      <c r="S56" s="18">
        <f t="shared" si="0"/>
        <v>3.2340000000000008E-2</v>
      </c>
      <c r="T56" s="3" t="s">
        <v>376</v>
      </c>
      <c r="U56" s="3" t="s">
        <v>1205</v>
      </c>
    </row>
    <row r="57" spans="1:22" x14ac:dyDescent="0.3">
      <c r="A57" s="16" t="s">
        <v>329</v>
      </c>
      <c r="B57" s="16" t="s">
        <v>8</v>
      </c>
      <c r="C57" s="16" t="s">
        <v>808</v>
      </c>
      <c r="D57" s="3">
        <v>9.5</v>
      </c>
      <c r="E57" s="3">
        <v>0.2</v>
      </c>
      <c r="K57" s="3">
        <v>104</v>
      </c>
      <c r="L57" s="3">
        <v>2.6</v>
      </c>
      <c r="S57" s="18">
        <f t="shared" si="0"/>
        <v>1.9000000000000003E-2</v>
      </c>
      <c r="T57" s="3" t="s">
        <v>415</v>
      </c>
      <c r="U57" s="3" t="s">
        <v>1205</v>
      </c>
    </row>
    <row r="58" spans="1:22" x14ac:dyDescent="0.3">
      <c r="A58" s="16" t="s">
        <v>625</v>
      </c>
      <c r="B58" s="16" t="s">
        <v>8</v>
      </c>
      <c r="C58" s="16" t="s">
        <v>1062</v>
      </c>
      <c r="D58" s="3">
        <v>2.1800000000000002</v>
      </c>
      <c r="E58" s="3">
        <v>0.2</v>
      </c>
      <c r="L58" s="35">
        <v>4</v>
      </c>
      <c r="S58" s="18">
        <f t="shared" si="0"/>
        <v>4.3600000000000002E-3</v>
      </c>
      <c r="T58" s="3" t="s">
        <v>645</v>
      </c>
      <c r="U58" s="3" t="s">
        <v>1205</v>
      </c>
    </row>
    <row r="59" spans="1:22" x14ac:dyDescent="0.3">
      <c r="A59" s="16" t="s">
        <v>248</v>
      </c>
      <c r="B59" s="16" t="s">
        <v>8</v>
      </c>
      <c r="C59" s="16" t="s">
        <v>131</v>
      </c>
      <c r="D59" s="3">
        <v>170</v>
      </c>
      <c r="E59" s="3">
        <v>0.7</v>
      </c>
      <c r="L59" s="3">
        <v>0.2</v>
      </c>
      <c r="S59" s="18">
        <f t="shared" si="0"/>
        <v>1.19</v>
      </c>
      <c r="T59" s="3" t="s">
        <v>364</v>
      </c>
      <c r="U59" s="3" t="s">
        <v>1205</v>
      </c>
    </row>
    <row r="60" spans="1:22" x14ac:dyDescent="0.3">
      <c r="A60" s="16" t="s">
        <v>327</v>
      </c>
      <c r="B60" s="16" t="s">
        <v>8</v>
      </c>
      <c r="C60" s="16" t="s">
        <v>808</v>
      </c>
      <c r="D60" s="3">
        <v>0.13300000000000001</v>
      </c>
      <c r="E60" s="35">
        <v>14.736842105263159</v>
      </c>
      <c r="S60" s="18">
        <f t="shared" si="0"/>
        <v>1.9600000000000003E-2</v>
      </c>
      <c r="T60" s="3" t="s">
        <v>413</v>
      </c>
      <c r="U60" s="3" t="s">
        <v>1239</v>
      </c>
      <c r="V60" s="53" t="s">
        <v>1255</v>
      </c>
    </row>
    <row r="61" spans="1:22" x14ac:dyDescent="0.3">
      <c r="A61" s="16" t="s">
        <v>303</v>
      </c>
      <c r="B61" s="16" t="s">
        <v>8</v>
      </c>
      <c r="C61" s="16" t="s">
        <v>808</v>
      </c>
      <c r="D61" s="3">
        <v>4.9000000000000004</v>
      </c>
      <c r="E61" s="35">
        <v>1</v>
      </c>
      <c r="L61" s="3">
        <v>0.1</v>
      </c>
      <c r="S61" s="18">
        <f t="shared" si="0"/>
        <v>4.9000000000000002E-2</v>
      </c>
      <c r="T61" s="3" t="s">
        <v>401</v>
      </c>
      <c r="U61" s="3" t="s">
        <v>1205</v>
      </c>
    </row>
    <row r="62" spans="1:22" x14ac:dyDescent="0.3">
      <c r="A62" s="16" t="s">
        <v>639</v>
      </c>
      <c r="B62" s="16" t="s">
        <v>8</v>
      </c>
      <c r="C62" s="16" t="s">
        <v>808</v>
      </c>
      <c r="D62" s="33">
        <v>3.1748759999999998</v>
      </c>
      <c r="E62" s="3">
        <v>0.19</v>
      </c>
      <c r="K62" s="3">
        <v>100.9</v>
      </c>
      <c r="L62" s="3">
        <v>2.08</v>
      </c>
      <c r="S62" s="18">
        <f t="shared" si="0"/>
        <v>6.0322643999999991E-3</v>
      </c>
      <c r="T62" s="3" t="s">
        <v>655</v>
      </c>
      <c r="U62" s="3" t="s">
        <v>1205</v>
      </c>
    </row>
    <row r="63" spans="1:22" x14ac:dyDescent="0.3">
      <c r="A63" s="16" t="s">
        <v>315</v>
      </c>
      <c r="B63" s="16" t="s">
        <v>8</v>
      </c>
      <c r="C63" s="16" t="s">
        <v>808</v>
      </c>
      <c r="D63" s="3">
        <v>0.82299999999999995</v>
      </c>
      <c r="E63" s="3">
        <v>4.2</v>
      </c>
      <c r="K63" s="3">
        <v>124</v>
      </c>
      <c r="S63" s="18">
        <f t="shared" si="0"/>
        <v>3.4566E-2</v>
      </c>
      <c r="T63" s="3" t="s">
        <v>380</v>
      </c>
      <c r="U63" s="3" t="s">
        <v>1205</v>
      </c>
    </row>
    <row r="64" spans="1:22" x14ac:dyDescent="0.3">
      <c r="A64" s="16" t="s">
        <v>328</v>
      </c>
      <c r="B64" s="16" t="s">
        <v>8</v>
      </c>
      <c r="C64" s="16" t="s">
        <v>808</v>
      </c>
      <c r="D64" s="3">
        <v>1.07</v>
      </c>
      <c r="E64" s="3">
        <v>1.82</v>
      </c>
      <c r="K64" s="3">
        <v>2.06</v>
      </c>
      <c r="L64" s="3">
        <v>0.78</v>
      </c>
      <c r="S64" s="18">
        <f t="shared" si="0"/>
        <v>1.9474000000000002E-2</v>
      </c>
      <c r="T64" s="3" t="s">
        <v>414</v>
      </c>
      <c r="U64" s="3" t="s">
        <v>1205</v>
      </c>
    </row>
    <row r="65" spans="1:22" x14ac:dyDescent="0.3">
      <c r="A65" s="16" t="s">
        <v>266</v>
      </c>
      <c r="B65" s="16" t="s">
        <v>8</v>
      </c>
      <c r="C65" s="16" t="s">
        <v>131</v>
      </c>
      <c r="D65" s="3">
        <v>62.5</v>
      </c>
      <c r="E65" s="3">
        <v>0.55000000000000004</v>
      </c>
      <c r="L65" s="3">
        <v>0.44</v>
      </c>
      <c r="S65" s="18">
        <f t="shared" si="0"/>
        <v>0.34375</v>
      </c>
      <c r="T65" s="3" t="s">
        <v>377</v>
      </c>
      <c r="U65" s="3" t="s">
        <v>1205</v>
      </c>
    </row>
    <row r="66" spans="1:22" x14ac:dyDescent="0.3">
      <c r="A66" s="16" t="s">
        <v>277</v>
      </c>
      <c r="B66" s="16" t="s">
        <v>8</v>
      </c>
      <c r="C66" s="16" t="s">
        <v>131</v>
      </c>
      <c r="D66" s="3">
        <v>60.8</v>
      </c>
      <c r="E66" s="3">
        <v>0.32</v>
      </c>
      <c r="L66" s="3">
        <v>0.15</v>
      </c>
      <c r="S66" s="18">
        <f t="shared" ref="S66:S130" si="1">D66*E66/100</f>
        <v>0.19455999999999998</v>
      </c>
      <c r="T66" s="3" t="s">
        <v>385</v>
      </c>
      <c r="U66" s="3" t="s">
        <v>1208</v>
      </c>
    </row>
    <row r="67" spans="1:22" x14ac:dyDescent="0.3">
      <c r="A67" s="16" t="s">
        <v>1131</v>
      </c>
      <c r="B67" s="16" t="s">
        <v>8</v>
      </c>
      <c r="C67" s="47" t="s">
        <v>1049</v>
      </c>
      <c r="D67" s="33">
        <v>23.628599999999999</v>
      </c>
      <c r="E67" s="33">
        <v>0.14340587254428958</v>
      </c>
      <c r="F67" s="33">
        <v>2.370286601829986</v>
      </c>
      <c r="M67" s="2">
        <v>0.03</v>
      </c>
      <c r="S67" s="18">
        <f t="shared" si="1"/>
        <v>3.3884800000000007E-2</v>
      </c>
      <c r="T67" s="3" t="s">
        <v>1132</v>
      </c>
      <c r="U67" s="3" t="s">
        <v>1205</v>
      </c>
    </row>
    <row r="68" spans="1:22" x14ac:dyDescent="0.3">
      <c r="A68" s="16" t="s">
        <v>351</v>
      </c>
      <c r="B68" s="16" t="s">
        <v>8</v>
      </c>
      <c r="C68" s="16" t="s">
        <v>45</v>
      </c>
      <c r="D68" s="3">
        <v>2.75</v>
      </c>
      <c r="E68" s="3">
        <v>0.18</v>
      </c>
      <c r="K68" s="3">
        <v>24</v>
      </c>
      <c r="L68" s="3">
        <v>0.5</v>
      </c>
      <c r="S68" s="18">
        <f t="shared" si="1"/>
        <v>4.9499999999999995E-3</v>
      </c>
      <c r="T68" s="3" t="s">
        <v>428</v>
      </c>
      <c r="U68" s="3" t="s">
        <v>1205</v>
      </c>
    </row>
    <row r="69" spans="1:22" x14ac:dyDescent="0.3">
      <c r="A69" s="16" t="s">
        <v>269</v>
      </c>
      <c r="B69" s="16" t="s">
        <v>8</v>
      </c>
      <c r="C69" s="16" t="s">
        <v>808</v>
      </c>
      <c r="D69" s="35">
        <v>32.192</v>
      </c>
      <c r="E69" s="3">
        <v>0.9</v>
      </c>
      <c r="K69" s="3">
        <v>3.2</v>
      </c>
      <c r="L69" s="3">
        <v>0.2</v>
      </c>
      <c r="S69" s="18">
        <f t="shared" si="1"/>
        <v>0.28972799999999999</v>
      </c>
      <c r="T69" s="3" t="s">
        <v>379</v>
      </c>
      <c r="U69" s="3" t="s">
        <v>1205</v>
      </c>
    </row>
    <row r="70" spans="1:22" x14ac:dyDescent="0.3">
      <c r="A70" s="16" t="s">
        <v>299</v>
      </c>
      <c r="B70" s="16" t="s">
        <v>8</v>
      </c>
      <c r="C70" s="16" t="s">
        <v>808</v>
      </c>
      <c r="D70" s="3">
        <v>5.75</v>
      </c>
      <c r="E70" s="3">
        <v>1.03</v>
      </c>
      <c r="K70" s="3">
        <v>2.2999999999999998</v>
      </c>
      <c r="L70" s="3">
        <v>0.05</v>
      </c>
      <c r="S70" s="18">
        <f t="shared" si="1"/>
        <v>5.9225E-2</v>
      </c>
      <c r="T70" s="3" t="s">
        <v>398</v>
      </c>
      <c r="U70" s="3" t="s">
        <v>1327</v>
      </c>
      <c r="V70" s="55" t="s">
        <v>1318</v>
      </c>
    </row>
    <row r="71" spans="1:22" x14ac:dyDescent="0.3">
      <c r="A71" s="16" t="s">
        <v>638</v>
      </c>
      <c r="B71" s="16" t="s">
        <v>8</v>
      </c>
      <c r="C71" s="16" t="s">
        <v>1051</v>
      </c>
      <c r="D71" s="3">
        <v>6.0600000000000005</v>
      </c>
      <c r="E71" s="33">
        <v>0.27630363036303629</v>
      </c>
      <c r="S71" s="18">
        <f t="shared" si="1"/>
        <v>1.6744000000000002E-2</v>
      </c>
      <c r="T71" s="3" t="s">
        <v>654</v>
      </c>
      <c r="U71" s="3" t="s">
        <v>1205</v>
      </c>
    </row>
    <row r="72" spans="1:22" x14ac:dyDescent="0.3">
      <c r="A72" s="16" t="s">
        <v>307</v>
      </c>
      <c r="B72" s="16" t="s">
        <v>8</v>
      </c>
      <c r="C72" s="16" t="s">
        <v>1048</v>
      </c>
      <c r="D72" s="3">
        <v>2.6</v>
      </c>
      <c r="E72" s="33">
        <v>1.7769230769230768</v>
      </c>
      <c r="L72" s="33">
        <v>1.0576923076923077</v>
      </c>
      <c r="S72" s="18">
        <f t="shared" si="1"/>
        <v>4.6199999999999998E-2</v>
      </c>
      <c r="T72" s="3" t="s">
        <v>362</v>
      </c>
      <c r="U72" s="3" t="s">
        <v>1205</v>
      </c>
    </row>
    <row r="73" spans="1:22" x14ac:dyDescent="0.3">
      <c r="A73" s="16" t="s">
        <v>316</v>
      </c>
      <c r="B73" s="16" t="s">
        <v>8</v>
      </c>
      <c r="C73" s="16" t="s">
        <v>1064</v>
      </c>
      <c r="D73" s="3">
        <v>8.3699999999999992</v>
      </c>
      <c r="E73" s="3">
        <v>0.4</v>
      </c>
      <c r="K73" s="3">
        <v>2.8</v>
      </c>
      <c r="L73" s="3">
        <v>2.83</v>
      </c>
      <c r="S73" s="18">
        <f t="shared" si="1"/>
        <v>3.3479999999999996E-2</v>
      </c>
      <c r="T73" s="3" t="s">
        <v>397</v>
      </c>
      <c r="U73" s="3" t="s">
        <v>1205</v>
      </c>
    </row>
    <row r="74" spans="1:22" x14ac:dyDescent="0.3">
      <c r="A74" s="16" t="s">
        <v>264</v>
      </c>
      <c r="B74" s="16" t="s">
        <v>8</v>
      </c>
      <c r="C74" s="16" t="s">
        <v>1119</v>
      </c>
      <c r="D74" s="33">
        <v>40.545999999999999</v>
      </c>
      <c r="E74" s="33">
        <v>0.86079514625363784</v>
      </c>
      <c r="S74" s="18">
        <f t="shared" si="1"/>
        <v>0.34901799999999999</v>
      </c>
      <c r="T74" s="3" t="s">
        <v>771</v>
      </c>
      <c r="U74" s="3" t="s">
        <v>1240</v>
      </c>
      <c r="V74" s="53" t="s">
        <v>1259</v>
      </c>
    </row>
    <row r="75" spans="1:22" x14ac:dyDescent="0.3">
      <c r="A75" s="16" t="s">
        <v>348</v>
      </c>
      <c r="B75" s="16" t="s">
        <v>8</v>
      </c>
      <c r="C75" s="16" t="s">
        <v>808</v>
      </c>
      <c r="D75" s="3">
        <v>0.85299999999999998</v>
      </c>
      <c r="E75" s="3">
        <v>0.7</v>
      </c>
      <c r="K75" s="3">
        <v>115</v>
      </c>
      <c r="S75" s="18">
        <f t="shared" si="1"/>
        <v>5.9709999999999997E-3</v>
      </c>
      <c r="T75" s="3" t="s">
        <v>380</v>
      </c>
      <c r="U75" s="3" t="s">
        <v>1205</v>
      </c>
    </row>
    <row r="76" spans="1:22" x14ac:dyDescent="0.3">
      <c r="A76" s="16" t="s">
        <v>626</v>
      </c>
      <c r="B76" s="16" t="s">
        <v>8</v>
      </c>
      <c r="C76" s="16" t="s">
        <v>808</v>
      </c>
      <c r="D76" s="3">
        <v>6.6</v>
      </c>
      <c r="E76" s="3">
        <v>0.2</v>
      </c>
      <c r="K76" s="3">
        <v>69</v>
      </c>
      <c r="L76" s="3">
        <v>1.5</v>
      </c>
      <c r="S76" s="18">
        <f t="shared" si="1"/>
        <v>1.32E-2</v>
      </c>
      <c r="T76" s="3" t="s">
        <v>646</v>
      </c>
      <c r="U76" s="3" t="s">
        <v>1205</v>
      </c>
    </row>
    <row r="77" spans="1:22" x14ac:dyDescent="0.3">
      <c r="A77" s="16" t="s">
        <v>340</v>
      </c>
      <c r="B77" s="16" t="s">
        <v>8</v>
      </c>
      <c r="C77" s="16" t="s">
        <v>808</v>
      </c>
      <c r="D77" s="3">
        <v>0.65700000000000003</v>
      </c>
      <c r="E77" s="33">
        <v>1.8273972602739728</v>
      </c>
      <c r="K77" s="35">
        <v>35.914155251141544</v>
      </c>
      <c r="L77" s="33">
        <v>0.74474885844748862</v>
      </c>
      <c r="S77" s="18">
        <f t="shared" si="1"/>
        <v>1.2006000000000001E-2</v>
      </c>
      <c r="T77" s="3" t="s">
        <v>382</v>
      </c>
      <c r="U77" s="3" t="s">
        <v>1205</v>
      </c>
    </row>
    <row r="78" spans="1:22" x14ac:dyDescent="0.3">
      <c r="A78" s="16" t="s">
        <v>268</v>
      </c>
      <c r="B78" s="16" t="s">
        <v>8</v>
      </c>
      <c r="C78" s="16" t="s">
        <v>1060</v>
      </c>
      <c r="D78" s="3">
        <v>41.2</v>
      </c>
      <c r="E78" s="3">
        <v>0.8</v>
      </c>
      <c r="S78" s="18">
        <f t="shared" si="1"/>
        <v>0.3296</v>
      </c>
      <c r="T78" s="3" t="s">
        <v>9</v>
      </c>
      <c r="U78" s="3" t="s">
        <v>1205</v>
      </c>
    </row>
    <row r="79" spans="1:22" x14ac:dyDescent="0.3">
      <c r="A79" s="16" t="s">
        <v>252</v>
      </c>
      <c r="B79" s="16" t="s">
        <v>8</v>
      </c>
      <c r="C79" s="16" t="s">
        <v>45</v>
      </c>
      <c r="D79" s="3">
        <v>224</v>
      </c>
      <c r="E79" s="33">
        <v>0.31982142857142859</v>
      </c>
      <c r="L79" s="33">
        <v>0.16589285714285712</v>
      </c>
      <c r="S79" s="18">
        <f t="shared" si="1"/>
        <v>0.71640000000000004</v>
      </c>
      <c r="T79" s="3" t="s">
        <v>174</v>
      </c>
      <c r="U79" s="3" t="s">
        <v>1205</v>
      </c>
    </row>
    <row r="80" spans="1:22" x14ac:dyDescent="0.3">
      <c r="A80" s="16" t="s">
        <v>333</v>
      </c>
      <c r="B80" s="16" t="s">
        <v>8</v>
      </c>
      <c r="C80" s="56" t="s">
        <v>1048</v>
      </c>
      <c r="D80" s="3">
        <v>4</v>
      </c>
      <c r="E80" s="3">
        <v>0.4</v>
      </c>
      <c r="K80" s="3">
        <v>8.4</v>
      </c>
      <c r="L80" s="3">
        <v>0.6</v>
      </c>
      <c r="S80" s="18">
        <f t="shared" si="1"/>
        <v>1.6E-2</v>
      </c>
      <c r="T80" s="3" t="s">
        <v>416</v>
      </c>
      <c r="U80" s="3" t="s">
        <v>1205</v>
      </c>
    </row>
    <row r="81" spans="1:21" x14ac:dyDescent="0.3">
      <c r="A81" s="16" t="s">
        <v>295</v>
      </c>
      <c r="B81" s="16" t="s">
        <v>8</v>
      </c>
      <c r="C81" s="16" t="s">
        <v>45</v>
      </c>
      <c r="D81" s="3">
        <v>91.94</v>
      </c>
      <c r="E81" s="3">
        <v>7.0000000000000007E-2</v>
      </c>
      <c r="L81" s="33">
        <v>1</v>
      </c>
      <c r="S81" s="18">
        <f t="shared" si="1"/>
        <v>6.4357999999999999E-2</v>
      </c>
      <c r="T81" s="3" t="s">
        <v>396</v>
      </c>
      <c r="U81" s="3" t="s">
        <v>1205</v>
      </c>
    </row>
    <row r="82" spans="1:21" x14ac:dyDescent="0.3">
      <c r="A82" s="16" t="s">
        <v>322</v>
      </c>
      <c r="B82" s="16" t="s">
        <v>8</v>
      </c>
      <c r="C82" s="16" t="s">
        <v>131</v>
      </c>
      <c r="D82" s="3">
        <v>6.7</v>
      </c>
      <c r="E82" s="33">
        <v>0.33328358208955222</v>
      </c>
      <c r="K82" s="35">
        <v>8.2970149253731353</v>
      </c>
      <c r="L82" s="33">
        <v>8.1492537313432839E-2</v>
      </c>
      <c r="S82" s="18">
        <f t="shared" si="1"/>
        <v>2.2330000000000003E-2</v>
      </c>
      <c r="T82" s="3" t="s">
        <v>362</v>
      </c>
      <c r="U82" s="3" t="s">
        <v>1205</v>
      </c>
    </row>
    <row r="83" spans="1:21" x14ac:dyDescent="0.3">
      <c r="A83" s="16" t="s">
        <v>301</v>
      </c>
      <c r="B83" s="16" t="s">
        <v>8</v>
      </c>
      <c r="C83" s="16" t="s">
        <v>131</v>
      </c>
      <c r="D83" s="35">
        <v>4</v>
      </c>
      <c r="E83" s="3">
        <v>1.32</v>
      </c>
      <c r="L83" s="3">
        <v>0.42</v>
      </c>
      <c r="S83" s="18">
        <f t="shared" si="1"/>
        <v>5.28E-2</v>
      </c>
      <c r="T83" s="3" t="s">
        <v>376</v>
      </c>
      <c r="U83" s="3" t="s">
        <v>1205</v>
      </c>
    </row>
    <row r="84" spans="1:21" x14ac:dyDescent="0.3">
      <c r="A84" s="16" t="s">
        <v>628</v>
      </c>
      <c r="B84" s="16" t="s">
        <v>8</v>
      </c>
      <c r="C84" s="16" t="s">
        <v>808</v>
      </c>
      <c r="D84" s="33">
        <v>4.944</v>
      </c>
      <c r="E84" s="33">
        <v>0.90614886731391575</v>
      </c>
      <c r="K84" s="35">
        <v>23.096561488673139</v>
      </c>
      <c r="L84" s="33">
        <v>0.15046521035598706</v>
      </c>
      <c r="S84" s="18">
        <f t="shared" si="1"/>
        <v>4.4799999999999993E-2</v>
      </c>
      <c r="T84" s="3" t="s">
        <v>382</v>
      </c>
      <c r="U84" s="3" t="s">
        <v>1205</v>
      </c>
    </row>
    <row r="85" spans="1:21" x14ac:dyDescent="0.3">
      <c r="A85" s="16" t="s">
        <v>642</v>
      </c>
      <c r="B85" s="16" t="s">
        <v>8</v>
      </c>
      <c r="C85" s="46" t="s">
        <v>1067</v>
      </c>
      <c r="D85" s="3">
        <v>2.9</v>
      </c>
      <c r="E85" s="3">
        <v>0.77</v>
      </c>
      <c r="S85" s="18">
        <f t="shared" si="1"/>
        <v>2.2330000000000003E-2</v>
      </c>
      <c r="T85" s="3" t="s">
        <v>656</v>
      </c>
      <c r="U85" s="3" t="s">
        <v>1205</v>
      </c>
    </row>
    <row r="86" spans="1:21" x14ac:dyDescent="0.3">
      <c r="A86" s="16" t="s">
        <v>330</v>
      </c>
      <c r="B86" s="16" t="s">
        <v>8</v>
      </c>
      <c r="C86" s="16" t="s">
        <v>808</v>
      </c>
      <c r="D86" s="3">
        <v>0.7</v>
      </c>
      <c r="E86" s="3">
        <v>2.7</v>
      </c>
      <c r="L86" s="3">
        <v>0.8</v>
      </c>
      <c r="S86" s="18">
        <f t="shared" si="1"/>
        <v>1.89E-2</v>
      </c>
      <c r="T86" s="3" t="s">
        <v>402</v>
      </c>
      <c r="U86" s="3" t="s">
        <v>1205</v>
      </c>
    </row>
    <row r="87" spans="1:21" x14ac:dyDescent="0.3">
      <c r="A87" s="16" t="s">
        <v>640</v>
      </c>
      <c r="B87" s="16" t="s">
        <v>8</v>
      </c>
      <c r="C87" s="16" t="s">
        <v>808</v>
      </c>
      <c r="D87" s="3">
        <v>0.65</v>
      </c>
      <c r="E87" s="3">
        <v>0.5</v>
      </c>
      <c r="K87" s="3">
        <v>280</v>
      </c>
      <c r="L87" s="3">
        <v>1.7</v>
      </c>
      <c r="S87" s="18">
        <f t="shared" si="1"/>
        <v>3.2500000000000003E-3</v>
      </c>
      <c r="T87" s="3" t="s">
        <v>655</v>
      </c>
      <c r="U87" s="3" t="s">
        <v>1205</v>
      </c>
    </row>
    <row r="88" spans="1:21" x14ac:dyDescent="0.3">
      <c r="A88" s="16" t="s">
        <v>292</v>
      </c>
      <c r="B88" s="16" t="s">
        <v>8</v>
      </c>
      <c r="C88" s="16" t="s">
        <v>45</v>
      </c>
      <c r="D88" s="3">
        <v>7.43</v>
      </c>
      <c r="E88" s="3">
        <v>0.97</v>
      </c>
      <c r="L88" s="3">
        <v>0.38</v>
      </c>
      <c r="S88" s="18">
        <f t="shared" si="1"/>
        <v>7.2070999999999996E-2</v>
      </c>
      <c r="T88" s="3" t="s">
        <v>394</v>
      </c>
      <c r="U88" s="3" t="s">
        <v>1205</v>
      </c>
    </row>
    <row r="89" spans="1:21" x14ac:dyDescent="0.3">
      <c r="A89" s="16" t="s">
        <v>291</v>
      </c>
      <c r="B89" s="16" t="s">
        <v>8</v>
      </c>
      <c r="C89" s="16" t="s">
        <v>1063</v>
      </c>
      <c r="D89" s="3">
        <v>27.6</v>
      </c>
      <c r="E89" s="3">
        <v>0.27</v>
      </c>
      <c r="K89" s="3">
        <v>45</v>
      </c>
      <c r="L89" s="3">
        <v>1.6</v>
      </c>
      <c r="S89" s="18">
        <f t="shared" si="1"/>
        <v>7.4520000000000003E-2</v>
      </c>
      <c r="T89" s="3" t="s">
        <v>393</v>
      </c>
      <c r="U89" s="3" t="s">
        <v>1205</v>
      </c>
    </row>
    <row r="90" spans="1:21" x14ac:dyDescent="0.3">
      <c r="A90" s="16" t="s">
        <v>1032</v>
      </c>
      <c r="B90" s="16" t="s">
        <v>8</v>
      </c>
      <c r="C90" s="16" t="s">
        <v>808</v>
      </c>
      <c r="D90" s="3">
        <v>3.56</v>
      </c>
      <c r="E90" s="3">
        <v>1.2</v>
      </c>
      <c r="K90" s="3">
        <v>8</v>
      </c>
      <c r="L90" s="3">
        <v>0.8</v>
      </c>
      <c r="S90" s="18">
        <f t="shared" si="1"/>
        <v>4.2720000000000001E-2</v>
      </c>
      <c r="T90" s="3" t="s">
        <v>1033</v>
      </c>
      <c r="U90" s="3" t="s">
        <v>1205</v>
      </c>
    </row>
    <row r="91" spans="1:21" x14ac:dyDescent="0.3">
      <c r="A91" s="16" t="s">
        <v>313</v>
      </c>
      <c r="B91" s="16" t="s">
        <v>8</v>
      </c>
      <c r="C91" s="16" t="s">
        <v>1055</v>
      </c>
      <c r="D91" s="3">
        <v>1.49</v>
      </c>
      <c r="E91" s="3">
        <v>2.4700000000000002</v>
      </c>
      <c r="S91" s="18">
        <f t="shared" si="1"/>
        <v>3.6803000000000002E-2</v>
      </c>
      <c r="T91" s="3" t="s">
        <v>376</v>
      </c>
      <c r="U91" s="3" t="s">
        <v>1205</v>
      </c>
    </row>
    <row r="92" spans="1:21" x14ac:dyDescent="0.3">
      <c r="A92" s="16" t="s">
        <v>251</v>
      </c>
      <c r="B92" s="16" t="s">
        <v>8</v>
      </c>
      <c r="C92" s="16" t="s">
        <v>131</v>
      </c>
      <c r="D92" s="3">
        <v>145</v>
      </c>
      <c r="E92" s="33">
        <v>0.51800000000000002</v>
      </c>
      <c r="K92" s="35">
        <v>5.9399999999999995</v>
      </c>
      <c r="L92" s="35">
        <v>0.1</v>
      </c>
      <c r="S92" s="18">
        <f t="shared" si="1"/>
        <v>0.75109999999999999</v>
      </c>
      <c r="T92" s="3" t="s">
        <v>362</v>
      </c>
      <c r="U92" s="3" t="s">
        <v>1205</v>
      </c>
    </row>
    <row r="93" spans="1:21" x14ac:dyDescent="0.3">
      <c r="A93" s="16" t="s">
        <v>246</v>
      </c>
      <c r="B93" s="16" t="s">
        <v>8</v>
      </c>
      <c r="C93" s="16" t="s">
        <v>131</v>
      </c>
      <c r="D93" s="3">
        <v>570</v>
      </c>
      <c r="E93" s="33">
        <v>0.43684210526315792</v>
      </c>
      <c r="L93" s="33">
        <v>0.23684210526315788</v>
      </c>
      <c r="S93" s="18">
        <f t="shared" si="1"/>
        <v>2.4900000000000002</v>
      </c>
      <c r="T93" s="3" t="s">
        <v>362</v>
      </c>
      <c r="U93" s="3" t="s">
        <v>1205</v>
      </c>
    </row>
    <row r="94" spans="1:21" x14ac:dyDescent="0.3">
      <c r="A94" s="16" t="s">
        <v>358</v>
      </c>
      <c r="B94" s="16" t="s">
        <v>8</v>
      </c>
      <c r="C94" s="16" t="s">
        <v>1070</v>
      </c>
      <c r="D94" s="3">
        <v>1.3</v>
      </c>
      <c r="E94" s="33">
        <v>0.6</v>
      </c>
      <c r="F94" s="33">
        <v>0.2</v>
      </c>
      <c r="M94" s="3">
        <v>0.21</v>
      </c>
      <c r="S94" s="18">
        <f t="shared" si="1"/>
        <v>7.8000000000000005E-3</v>
      </c>
      <c r="T94" s="3" t="s">
        <v>434</v>
      </c>
      <c r="U94" s="3" t="s">
        <v>1250</v>
      </c>
    </row>
    <row r="95" spans="1:21" x14ac:dyDescent="0.3">
      <c r="A95" s="16" t="s">
        <v>275</v>
      </c>
      <c r="B95" s="16" t="s">
        <v>8</v>
      </c>
      <c r="C95" s="16" t="s">
        <v>1048</v>
      </c>
      <c r="D95" s="33">
        <v>18.2485</v>
      </c>
      <c r="E95" s="33">
        <v>1.1781192974765051</v>
      </c>
      <c r="K95" s="35">
        <v>40.830101104200345</v>
      </c>
      <c r="L95" s="33">
        <v>0.29055785407019757</v>
      </c>
      <c r="S95" s="18">
        <f t="shared" si="1"/>
        <v>0.21498910000000002</v>
      </c>
      <c r="T95" s="3" t="s">
        <v>383</v>
      </c>
      <c r="U95" s="3" t="s">
        <v>1205</v>
      </c>
    </row>
    <row r="96" spans="1:21" x14ac:dyDescent="0.3">
      <c r="A96" s="16" t="s">
        <v>12</v>
      </c>
      <c r="B96" s="16" t="s">
        <v>8</v>
      </c>
      <c r="C96" s="16" t="s">
        <v>1059</v>
      </c>
      <c r="D96" s="3">
        <v>22.1</v>
      </c>
      <c r="E96" s="3">
        <v>2.5</v>
      </c>
      <c r="S96" s="18">
        <f t="shared" si="1"/>
        <v>0.55249999999999999</v>
      </c>
      <c r="T96" s="3" t="s">
        <v>9</v>
      </c>
      <c r="U96" s="3" t="s">
        <v>1205</v>
      </c>
    </row>
    <row r="97" spans="1:22" x14ac:dyDescent="0.3">
      <c r="A97" s="16" t="s">
        <v>257</v>
      </c>
      <c r="B97" s="16" t="s">
        <v>8</v>
      </c>
      <c r="C97" s="16" t="s">
        <v>1060</v>
      </c>
      <c r="D97" s="3">
        <v>52.05</v>
      </c>
      <c r="E97" s="35">
        <v>1.0449183477425554</v>
      </c>
      <c r="K97" s="35">
        <v>8.7780979827089336</v>
      </c>
      <c r="S97" s="18">
        <f t="shared" si="1"/>
        <v>0.54388000000000003</v>
      </c>
      <c r="T97" s="3" t="s">
        <v>370</v>
      </c>
      <c r="U97" s="3" t="s">
        <v>1205</v>
      </c>
    </row>
    <row r="98" spans="1:22" x14ac:dyDescent="0.3">
      <c r="A98" s="16" t="s">
        <v>242</v>
      </c>
      <c r="B98" s="16" t="s">
        <v>8</v>
      </c>
      <c r="C98" s="16" t="s">
        <v>1119</v>
      </c>
      <c r="D98" s="3">
        <v>200</v>
      </c>
      <c r="E98" s="33">
        <v>2.0140000000000002</v>
      </c>
      <c r="S98" s="18">
        <f t="shared" si="1"/>
        <v>4.0280000000000005</v>
      </c>
      <c r="T98" s="3" t="s">
        <v>27</v>
      </c>
      <c r="U98" s="3" t="s">
        <v>1205</v>
      </c>
    </row>
    <row r="99" spans="1:22" x14ac:dyDescent="0.3">
      <c r="A99" s="16" t="s">
        <v>243</v>
      </c>
      <c r="B99" s="16" t="s">
        <v>8</v>
      </c>
      <c r="C99" s="16" t="s">
        <v>1119</v>
      </c>
      <c r="D99" s="3">
        <v>283</v>
      </c>
      <c r="E99" s="33">
        <v>1.1060070671378093</v>
      </c>
      <c r="S99" s="18">
        <f t="shared" si="1"/>
        <v>3.13</v>
      </c>
      <c r="T99" s="3" t="s">
        <v>27</v>
      </c>
      <c r="U99" s="3" t="s">
        <v>1205</v>
      </c>
    </row>
    <row r="100" spans="1:22" x14ac:dyDescent="0.3">
      <c r="A100" s="16" t="s">
        <v>263</v>
      </c>
      <c r="B100" s="16" t="s">
        <v>8</v>
      </c>
      <c r="C100" s="16" t="s">
        <v>808</v>
      </c>
      <c r="D100" s="3">
        <v>33.799999999999997</v>
      </c>
      <c r="E100" s="33">
        <v>1.1896745562130178</v>
      </c>
      <c r="L100" s="33">
        <v>0.30281065088757397</v>
      </c>
      <c r="S100" s="18">
        <f t="shared" si="1"/>
        <v>0.40210999999999997</v>
      </c>
      <c r="T100" s="3" t="s">
        <v>375</v>
      </c>
      <c r="U100" s="3" t="s">
        <v>1216</v>
      </c>
      <c r="V100" s="8" t="s">
        <v>1219</v>
      </c>
    </row>
    <row r="101" spans="1:22" x14ac:dyDescent="0.3">
      <c r="A101" s="16" t="s">
        <v>272</v>
      </c>
      <c r="B101" s="16" t="s">
        <v>8</v>
      </c>
      <c r="C101" s="16" t="s">
        <v>1059</v>
      </c>
      <c r="D101" s="3">
        <v>17.899999999999999</v>
      </c>
      <c r="E101" s="3">
        <v>1.3</v>
      </c>
      <c r="K101" s="3">
        <v>10</v>
      </c>
      <c r="S101" s="18">
        <f t="shared" si="1"/>
        <v>0.23269999999999999</v>
      </c>
      <c r="T101" s="3" t="s">
        <v>381</v>
      </c>
      <c r="U101" s="3" t="s">
        <v>1205</v>
      </c>
    </row>
    <row r="102" spans="1:22" x14ac:dyDescent="0.3">
      <c r="A102" s="16" t="s">
        <v>1092</v>
      </c>
      <c r="B102" s="16" t="s">
        <v>8</v>
      </c>
      <c r="C102" s="16" t="s">
        <v>45</v>
      </c>
      <c r="D102" s="3">
        <v>105</v>
      </c>
      <c r="E102" s="3">
        <v>5.7000000000000002E-2</v>
      </c>
      <c r="K102" s="3">
        <v>3.1</v>
      </c>
      <c r="N102" s="3">
        <v>0.04</v>
      </c>
      <c r="S102" s="18">
        <f t="shared" si="1"/>
        <v>5.985E-2</v>
      </c>
      <c r="T102" s="3" t="s">
        <v>1093</v>
      </c>
      <c r="U102" s="3" t="s">
        <v>1205</v>
      </c>
    </row>
    <row r="103" spans="1:22" x14ac:dyDescent="0.3">
      <c r="A103" s="16" t="s">
        <v>276</v>
      </c>
      <c r="B103" s="16" t="s">
        <v>8</v>
      </c>
      <c r="C103" s="16" t="s">
        <v>808</v>
      </c>
      <c r="D103" s="3">
        <v>107</v>
      </c>
      <c r="E103" s="33">
        <v>0.18831775700934578</v>
      </c>
      <c r="K103" s="33">
        <v>9.2523364485981308</v>
      </c>
      <c r="L103" s="33">
        <v>0.10579439252336449</v>
      </c>
      <c r="S103" s="18">
        <f t="shared" si="1"/>
        <v>0.20149999999999998</v>
      </c>
      <c r="T103" s="3" t="s">
        <v>384</v>
      </c>
      <c r="U103" s="3" t="s">
        <v>1205</v>
      </c>
    </row>
    <row r="104" spans="1:22" x14ac:dyDescent="0.3">
      <c r="A104" s="16" t="s">
        <v>288</v>
      </c>
      <c r="B104" s="16" t="s">
        <v>8</v>
      </c>
      <c r="C104" s="16" t="s">
        <v>808</v>
      </c>
      <c r="D104" s="3">
        <v>48.7</v>
      </c>
      <c r="E104" s="3">
        <v>0.19</v>
      </c>
      <c r="K104" s="3">
        <v>13</v>
      </c>
      <c r="L104" s="3">
        <v>0.7</v>
      </c>
      <c r="S104" s="18">
        <f t="shared" si="1"/>
        <v>9.2530000000000001E-2</v>
      </c>
      <c r="T104" s="3" t="s">
        <v>772</v>
      </c>
      <c r="U104" s="3" t="s">
        <v>1205</v>
      </c>
    </row>
    <row r="105" spans="1:22" x14ac:dyDescent="0.3">
      <c r="A105" s="16" t="s">
        <v>314</v>
      </c>
      <c r="B105" s="16" t="s">
        <v>8</v>
      </c>
      <c r="C105" s="47" t="s">
        <v>1049</v>
      </c>
      <c r="D105" s="3">
        <v>23.6</v>
      </c>
      <c r="E105" s="33">
        <v>0.14754237288135594</v>
      </c>
      <c r="S105" s="18">
        <f t="shared" si="1"/>
        <v>3.4820000000000004E-2</v>
      </c>
      <c r="T105" s="3" t="s">
        <v>408</v>
      </c>
      <c r="U105" s="3" t="s">
        <v>1205</v>
      </c>
    </row>
    <row r="106" spans="1:22" x14ac:dyDescent="0.3">
      <c r="A106" s="16" t="s">
        <v>278</v>
      </c>
      <c r="B106" s="16" t="s">
        <v>8</v>
      </c>
      <c r="C106" s="16" t="s">
        <v>1051</v>
      </c>
      <c r="D106" s="3">
        <v>13.1</v>
      </c>
      <c r="E106" s="3">
        <v>1.48</v>
      </c>
      <c r="L106" s="33">
        <v>0.21999095419847328</v>
      </c>
      <c r="S106" s="18">
        <f t="shared" si="1"/>
        <v>0.19387999999999997</v>
      </c>
      <c r="T106" s="3" t="s">
        <v>377</v>
      </c>
      <c r="U106" s="3" t="s">
        <v>1205</v>
      </c>
    </row>
    <row r="107" spans="1:22" x14ac:dyDescent="0.3">
      <c r="A107" s="16" t="s">
        <v>355</v>
      </c>
      <c r="B107" s="16" t="s">
        <v>8</v>
      </c>
      <c r="C107" s="16" t="s">
        <v>1119</v>
      </c>
      <c r="D107" s="3">
        <v>0.59</v>
      </c>
      <c r="E107" s="3">
        <v>0.5</v>
      </c>
      <c r="K107" s="3">
        <v>75</v>
      </c>
      <c r="S107" s="18">
        <f t="shared" si="1"/>
        <v>2.9499999999999999E-3</v>
      </c>
      <c r="T107" s="3" t="s">
        <v>431</v>
      </c>
      <c r="U107" s="3" t="s">
        <v>1205</v>
      </c>
      <c r="V107" s="53" t="s">
        <v>1249</v>
      </c>
    </row>
    <row r="108" spans="1:22" x14ac:dyDescent="0.3">
      <c r="A108" s="16" t="s">
        <v>11</v>
      </c>
      <c r="B108" s="16" t="s">
        <v>8</v>
      </c>
      <c r="C108" s="16" t="s">
        <v>1051</v>
      </c>
      <c r="D108" s="3">
        <v>60.3</v>
      </c>
      <c r="E108" s="33">
        <v>1.7917081260364842</v>
      </c>
      <c r="S108" s="18">
        <f t="shared" si="1"/>
        <v>1.0804</v>
      </c>
      <c r="T108" s="3" t="s">
        <v>9</v>
      </c>
      <c r="U108" s="3" t="s">
        <v>1205</v>
      </c>
    </row>
    <row r="109" spans="1:22" x14ac:dyDescent="0.3">
      <c r="A109" s="16" t="s">
        <v>637</v>
      </c>
      <c r="B109" s="16" t="s">
        <v>8</v>
      </c>
      <c r="C109" s="16" t="s">
        <v>808</v>
      </c>
      <c r="D109" s="18">
        <v>0.215534</v>
      </c>
      <c r="E109" s="3">
        <v>0.15</v>
      </c>
      <c r="K109" s="3">
        <v>193.6</v>
      </c>
      <c r="S109" s="18">
        <f t="shared" si="1"/>
        <v>3.2330100000000001E-4</v>
      </c>
      <c r="T109" s="3" t="s">
        <v>653</v>
      </c>
      <c r="U109" s="3" t="s">
        <v>1205</v>
      </c>
    </row>
    <row r="110" spans="1:22" x14ac:dyDescent="0.3">
      <c r="A110" s="16" t="s">
        <v>285</v>
      </c>
      <c r="B110" s="16" t="s">
        <v>8</v>
      </c>
      <c r="C110" s="16" t="s">
        <v>1055</v>
      </c>
      <c r="D110" s="3">
        <v>11.3</v>
      </c>
      <c r="E110" s="3">
        <v>0.89</v>
      </c>
      <c r="L110" s="3">
        <v>0.64</v>
      </c>
      <c r="S110" s="18">
        <f t="shared" si="1"/>
        <v>0.10057000000000001</v>
      </c>
      <c r="T110" s="3" t="s">
        <v>377</v>
      </c>
      <c r="U110" s="3" t="s">
        <v>1205</v>
      </c>
    </row>
    <row r="111" spans="1:22" x14ac:dyDescent="0.3">
      <c r="A111" s="19" t="s">
        <v>508</v>
      </c>
      <c r="B111" s="16" t="s">
        <v>8</v>
      </c>
      <c r="C111" s="16" t="s">
        <v>45</v>
      </c>
      <c r="D111" s="3">
        <f>14+4+271+9+67</f>
        <v>365</v>
      </c>
      <c r="E111" s="33">
        <f>(0.91*14+0.71*4+0.55*271+0.41*9+0.88*67)/(14+4+271+9+67)</f>
        <v>0.62268493150684945</v>
      </c>
      <c r="L111" s="33">
        <f>(0.3*14+0.13*4+0.26*271+0.27*9+0.33*67)/(14+4+271+9+67)</f>
        <v>0.27320547945205481</v>
      </c>
      <c r="S111" s="18">
        <f t="shared" si="1"/>
        <v>2.2728000000000006</v>
      </c>
      <c r="T111" s="3" t="s">
        <v>39</v>
      </c>
      <c r="U111" s="3" t="s">
        <v>1205</v>
      </c>
    </row>
    <row r="112" spans="1:22" x14ac:dyDescent="0.3">
      <c r="A112" s="16" t="s">
        <v>274</v>
      </c>
      <c r="B112" s="16" t="s">
        <v>8</v>
      </c>
      <c r="C112" s="16" t="s">
        <v>1048</v>
      </c>
      <c r="D112" s="3">
        <v>78</v>
      </c>
      <c r="E112" s="3">
        <v>0.28999999999999998</v>
      </c>
      <c r="S112" s="18">
        <f t="shared" si="1"/>
        <v>0.22619999999999998</v>
      </c>
      <c r="T112" s="3" t="s">
        <v>174</v>
      </c>
      <c r="U112" s="3" t="s">
        <v>1205</v>
      </c>
    </row>
    <row r="113" spans="1:22" x14ac:dyDescent="0.3">
      <c r="A113" s="16" t="s">
        <v>1011</v>
      </c>
      <c r="B113" s="16" t="s">
        <v>8</v>
      </c>
      <c r="C113" s="16" t="s">
        <v>131</v>
      </c>
      <c r="D113" s="37">
        <v>9075</v>
      </c>
      <c r="E113" s="3">
        <v>0.87</v>
      </c>
      <c r="K113" s="3">
        <v>1.5</v>
      </c>
      <c r="L113" s="3">
        <v>0.32</v>
      </c>
      <c r="R113" s="3">
        <v>0.27</v>
      </c>
      <c r="S113" s="18">
        <f t="shared" si="1"/>
        <v>78.952500000000001</v>
      </c>
      <c r="T113" s="3" t="s">
        <v>44</v>
      </c>
      <c r="U113" s="3" t="s">
        <v>1205</v>
      </c>
    </row>
    <row r="114" spans="1:22" x14ac:dyDescent="0.3">
      <c r="A114" s="16" t="s">
        <v>294</v>
      </c>
      <c r="B114" s="16" t="s">
        <v>8</v>
      </c>
      <c r="C114" s="16" t="s">
        <v>1048</v>
      </c>
      <c r="D114" s="3">
        <v>4.8</v>
      </c>
      <c r="E114" s="33">
        <v>1.4</v>
      </c>
      <c r="L114" s="33">
        <v>0.86458333333333348</v>
      </c>
      <c r="S114" s="18">
        <f t="shared" si="1"/>
        <v>6.7199999999999996E-2</v>
      </c>
      <c r="T114" s="3" t="s">
        <v>362</v>
      </c>
      <c r="U114" s="3" t="s">
        <v>1205</v>
      </c>
    </row>
    <row r="115" spans="1:22" x14ac:dyDescent="0.3">
      <c r="A115" s="16" t="s">
        <v>273</v>
      </c>
      <c r="B115" s="16" t="s">
        <v>8</v>
      </c>
      <c r="C115" s="16" t="s">
        <v>808</v>
      </c>
      <c r="D115" s="3">
        <v>19.3</v>
      </c>
      <c r="E115" s="3">
        <v>1.2</v>
      </c>
      <c r="K115" s="3">
        <v>16.100000000000001</v>
      </c>
      <c r="S115" s="18">
        <f t="shared" si="1"/>
        <v>0.2316</v>
      </c>
      <c r="T115" s="3" t="s">
        <v>382</v>
      </c>
      <c r="U115" s="3" t="s">
        <v>1205</v>
      </c>
    </row>
    <row r="116" spans="1:22" x14ac:dyDescent="0.3">
      <c r="A116" s="16" t="s">
        <v>341</v>
      </c>
      <c r="B116" s="16" t="s">
        <v>8</v>
      </c>
      <c r="C116" s="47" t="s">
        <v>1053</v>
      </c>
      <c r="D116" s="3">
        <v>14.32</v>
      </c>
      <c r="E116" s="3">
        <v>7.4999999999999997E-2</v>
      </c>
      <c r="S116" s="18">
        <f t="shared" si="1"/>
        <v>1.0740000000000001E-2</v>
      </c>
      <c r="T116" s="3" t="s">
        <v>421</v>
      </c>
      <c r="U116" s="3" t="s">
        <v>1205</v>
      </c>
    </row>
    <row r="117" spans="1:22" x14ac:dyDescent="0.3">
      <c r="A117" s="16" t="s">
        <v>632</v>
      </c>
      <c r="B117" s="16" t="s">
        <v>8</v>
      </c>
      <c r="C117" s="47" t="s">
        <v>1053</v>
      </c>
      <c r="D117" s="3">
        <v>50</v>
      </c>
      <c r="E117" s="33">
        <v>0.12659999999999999</v>
      </c>
      <c r="K117" s="35"/>
      <c r="L117" s="33"/>
      <c r="S117" s="18">
        <f t="shared" si="1"/>
        <v>6.3299999999999995E-2</v>
      </c>
      <c r="T117" s="3" t="s">
        <v>649</v>
      </c>
      <c r="U117" s="3" t="s">
        <v>1205</v>
      </c>
    </row>
    <row r="118" spans="1:22" x14ac:dyDescent="0.3">
      <c r="A118" s="16" t="s">
        <v>318</v>
      </c>
      <c r="B118" s="16" t="s">
        <v>8</v>
      </c>
      <c r="C118" s="16" t="s">
        <v>1051</v>
      </c>
      <c r="D118" s="35">
        <v>3</v>
      </c>
      <c r="E118" s="33">
        <v>1.0433333333333332</v>
      </c>
      <c r="K118" s="35">
        <v>41.366666666666667</v>
      </c>
      <c r="L118" s="33">
        <v>0.18999999999999997</v>
      </c>
      <c r="S118" s="18">
        <f t="shared" si="1"/>
        <v>3.1300000000000001E-2</v>
      </c>
      <c r="T118" s="3" t="s">
        <v>409</v>
      </c>
      <c r="U118" s="3" t="s">
        <v>1205</v>
      </c>
    </row>
    <row r="119" spans="1:22" x14ac:dyDescent="0.3">
      <c r="A119" s="16" t="s">
        <v>283</v>
      </c>
      <c r="B119" s="16" t="s">
        <v>8</v>
      </c>
      <c r="C119" s="16" t="s">
        <v>1062</v>
      </c>
      <c r="D119" s="33">
        <v>10.961</v>
      </c>
      <c r="E119" s="33">
        <v>1.209903293495119</v>
      </c>
      <c r="K119" s="33">
        <v>5.8185384545205725</v>
      </c>
      <c r="L119" s="33">
        <v>3.6322324605419212</v>
      </c>
      <c r="S119" s="18">
        <f t="shared" si="1"/>
        <v>0.1326175</v>
      </c>
      <c r="T119" s="3" t="s">
        <v>389</v>
      </c>
      <c r="U119" s="3" t="s">
        <v>1205</v>
      </c>
    </row>
    <row r="120" spans="1:22" x14ac:dyDescent="0.3">
      <c r="A120" s="16" t="s">
        <v>338</v>
      </c>
      <c r="B120" s="16" t="s">
        <v>8</v>
      </c>
      <c r="C120" s="16" t="s">
        <v>45</v>
      </c>
      <c r="D120" s="3">
        <v>11.27</v>
      </c>
      <c r="E120" s="3">
        <v>0.11</v>
      </c>
      <c r="L120" s="3">
        <v>1.29</v>
      </c>
      <c r="S120" s="18">
        <f t="shared" si="1"/>
        <v>1.2397E-2</v>
      </c>
      <c r="T120" s="3" t="s">
        <v>396</v>
      </c>
      <c r="U120" s="3" t="s">
        <v>1205</v>
      </c>
    </row>
    <row r="121" spans="1:22" x14ac:dyDescent="0.3">
      <c r="A121" s="16" t="s">
        <v>344</v>
      </c>
      <c r="B121" s="16" t="s">
        <v>8</v>
      </c>
      <c r="C121" s="16" t="s">
        <v>808</v>
      </c>
      <c r="D121" s="3">
        <v>0.89500000000000002</v>
      </c>
      <c r="E121" s="35">
        <v>0.7974301675977653</v>
      </c>
      <c r="I121" s="3">
        <v>1.28</v>
      </c>
      <c r="J121" s="3">
        <v>2.82</v>
      </c>
      <c r="K121" s="35">
        <v>15.578770949720672</v>
      </c>
      <c r="S121" s="18">
        <f t="shared" si="1"/>
        <v>7.1370000000000001E-3</v>
      </c>
      <c r="T121" s="3" t="s">
        <v>423</v>
      </c>
      <c r="U121" s="3" t="s">
        <v>1240</v>
      </c>
      <c r="V121" s="53" t="s">
        <v>1262</v>
      </c>
    </row>
    <row r="122" spans="1:22" x14ac:dyDescent="0.3">
      <c r="A122" s="16" t="s">
        <v>245</v>
      </c>
      <c r="B122" s="16" t="s">
        <v>8</v>
      </c>
      <c r="C122" s="16" t="s">
        <v>131</v>
      </c>
      <c r="D122" s="35">
        <v>285.34999999999997</v>
      </c>
      <c r="E122" s="33">
        <v>0.89019519887857035</v>
      </c>
      <c r="K122" s="33">
        <v>2.3932679165936568</v>
      </c>
      <c r="L122" s="33">
        <v>0.79173646399158937</v>
      </c>
      <c r="S122" s="18">
        <f t="shared" si="1"/>
        <v>2.5401720000000001</v>
      </c>
      <c r="T122" s="3" t="s">
        <v>361</v>
      </c>
      <c r="U122" s="3" t="s">
        <v>1205</v>
      </c>
    </row>
    <row r="123" spans="1:22" x14ac:dyDescent="0.3">
      <c r="A123" s="16" t="s">
        <v>332</v>
      </c>
      <c r="B123" s="16" t="s">
        <v>8</v>
      </c>
      <c r="C123" s="47" t="s">
        <v>1065</v>
      </c>
      <c r="D123" s="33">
        <v>3.1638000000000002</v>
      </c>
      <c r="E123" s="33">
        <v>0.56471881914153865</v>
      </c>
      <c r="S123" s="18">
        <f t="shared" si="1"/>
        <v>1.7866574000000003E-2</v>
      </c>
      <c r="T123" s="3" t="s">
        <v>413</v>
      </c>
      <c r="U123" s="3" t="s">
        <v>1205</v>
      </c>
    </row>
    <row r="124" spans="1:22" x14ac:dyDescent="0.3">
      <c r="A124" s="16" t="s">
        <v>350</v>
      </c>
      <c r="B124" s="16" t="s">
        <v>8</v>
      </c>
      <c r="C124" s="16" t="s">
        <v>808</v>
      </c>
      <c r="D124" s="3">
        <v>0.127</v>
      </c>
      <c r="E124" s="3">
        <v>4.0999999999999996</v>
      </c>
      <c r="S124" s="18">
        <f t="shared" si="1"/>
        <v>5.2069999999999998E-3</v>
      </c>
      <c r="T124" s="3" t="s">
        <v>427</v>
      </c>
      <c r="U124" s="3" t="s">
        <v>1205</v>
      </c>
    </row>
    <row r="125" spans="1:22" x14ac:dyDescent="0.3">
      <c r="A125" s="16" t="s">
        <v>337</v>
      </c>
      <c r="B125" s="16" t="s">
        <v>8</v>
      </c>
      <c r="C125" s="16" t="s">
        <v>808</v>
      </c>
      <c r="D125" s="3">
        <v>2.23</v>
      </c>
      <c r="E125" s="3">
        <v>0.6</v>
      </c>
      <c r="K125" s="3">
        <v>103</v>
      </c>
      <c r="L125" s="3">
        <v>1.5</v>
      </c>
      <c r="S125" s="18">
        <f t="shared" si="1"/>
        <v>1.3379999999999998E-2</v>
      </c>
      <c r="T125" s="3" t="s">
        <v>415</v>
      </c>
      <c r="U125" s="3" t="s">
        <v>1205</v>
      </c>
    </row>
    <row r="126" spans="1:22" x14ac:dyDescent="0.3">
      <c r="A126" s="16" t="s">
        <v>336</v>
      </c>
      <c r="B126" s="16" t="s">
        <v>8</v>
      </c>
      <c r="C126" s="16" t="s">
        <v>808</v>
      </c>
      <c r="D126" s="33">
        <v>1.4843999999999999</v>
      </c>
      <c r="E126" s="3">
        <v>1.02</v>
      </c>
      <c r="K126" s="3">
        <v>3.51</v>
      </c>
      <c r="L126" s="3">
        <v>0.24</v>
      </c>
      <c r="S126" s="18">
        <f t="shared" si="1"/>
        <v>1.5140879999999999E-2</v>
      </c>
      <c r="T126" s="3" t="s">
        <v>419</v>
      </c>
      <c r="U126" s="3" t="s">
        <v>1205</v>
      </c>
    </row>
    <row r="127" spans="1:22" x14ac:dyDescent="0.3">
      <c r="A127" s="16" t="s">
        <v>290</v>
      </c>
      <c r="B127" s="16" t="s">
        <v>8</v>
      </c>
      <c r="C127" s="16" t="s">
        <v>1049</v>
      </c>
      <c r="D127" s="33">
        <v>9.8740000000000006</v>
      </c>
      <c r="E127" s="3">
        <v>0.76</v>
      </c>
      <c r="S127" s="18">
        <f t="shared" si="1"/>
        <v>7.5042400000000009E-2</v>
      </c>
      <c r="T127" s="3" t="s">
        <v>392</v>
      </c>
      <c r="U127" s="3" t="s">
        <v>1205</v>
      </c>
    </row>
    <row r="128" spans="1:22" x14ac:dyDescent="0.3">
      <c r="A128" s="16" t="s">
        <v>282</v>
      </c>
      <c r="B128" s="16" t="s">
        <v>8</v>
      </c>
      <c r="C128" s="16" t="s">
        <v>808</v>
      </c>
      <c r="D128" s="3">
        <v>69.2</v>
      </c>
      <c r="E128" s="3">
        <v>0.24</v>
      </c>
      <c r="K128" s="3">
        <v>5</v>
      </c>
      <c r="L128" s="3">
        <v>0.63</v>
      </c>
      <c r="S128" s="18">
        <f t="shared" si="1"/>
        <v>0.16608000000000001</v>
      </c>
      <c r="T128" s="3" t="s">
        <v>388</v>
      </c>
      <c r="U128" s="3" t="s">
        <v>1205</v>
      </c>
    </row>
    <row r="129" spans="1:21" x14ac:dyDescent="0.3">
      <c r="A129" s="16" t="s">
        <v>286</v>
      </c>
      <c r="B129" s="16" t="s">
        <v>8</v>
      </c>
      <c r="C129" s="16" t="s">
        <v>131</v>
      </c>
      <c r="D129" s="33">
        <v>6.2439999999999998</v>
      </c>
      <c r="E129" s="33">
        <v>1.5289237668161435</v>
      </c>
      <c r="S129" s="18">
        <f t="shared" si="1"/>
        <v>9.5465999999999995E-2</v>
      </c>
      <c r="T129" s="3" t="s">
        <v>390</v>
      </c>
      <c r="U129" s="3" t="s">
        <v>1205</v>
      </c>
    </row>
    <row r="130" spans="1:21" x14ac:dyDescent="0.3">
      <c r="A130" s="16" t="s">
        <v>256</v>
      </c>
      <c r="B130" s="16" t="s">
        <v>8</v>
      </c>
      <c r="C130" s="16" t="s">
        <v>45</v>
      </c>
      <c r="D130" s="3">
        <v>155</v>
      </c>
      <c r="E130" s="3">
        <v>0.38</v>
      </c>
      <c r="K130" s="3">
        <v>0.81</v>
      </c>
      <c r="L130" s="3">
        <v>0.73</v>
      </c>
      <c r="S130" s="18">
        <f t="shared" si="1"/>
        <v>0.58899999999999997</v>
      </c>
      <c r="T130" s="3" t="s">
        <v>174</v>
      </c>
      <c r="U130" s="3" t="s">
        <v>1205</v>
      </c>
    </row>
    <row r="131" spans="1:21" x14ac:dyDescent="0.3">
      <c r="A131" s="16" t="s">
        <v>259</v>
      </c>
      <c r="B131" s="16" t="s">
        <v>8</v>
      </c>
      <c r="C131" s="16" t="s">
        <v>45</v>
      </c>
      <c r="D131" s="3">
        <v>245</v>
      </c>
      <c r="E131" s="33">
        <v>0.20636734693877554</v>
      </c>
      <c r="L131" s="33">
        <v>3.8448979591836734E-2</v>
      </c>
      <c r="S131" s="18">
        <f t="shared" ref="S131:S194" si="2">D131*E131/100</f>
        <v>0.50560000000000005</v>
      </c>
      <c r="T131" s="3" t="s">
        <v>372</v>
      </c>
      <c r="U131" s="3" t="s">
        <v>1205</v>
      </c>
    </row>
    <row r="132" spans="1:21" x14ac:dyDescent="0.3">
      <c r="A132" s="16" t="s">
        <v>298</v>
      </c>
      <c r="B132" s="16" t="s">
        <v>8</v>
      </c>
      <c r="C132" s="16" t="s">
        <v>808</v>
      </c>
      <c r="D132" s="3">
        <v>17.899999999999999</v>
      </c>
      <c r="E132" s="33">
        <v>0.34022346368715084</v>
      </c>
      <c r="K132" s="35">
        <v>135.91061452513969</v>
      </c>
      <c r="L132" s="33">
        <v>1.8318435754189946</v>
      </c>
      <c r="S132" s="18">
        <f t="shared" si="2"/>
        <v>6.0899999999999996E-2</v>
      </c>
      <c r="T132" s="3" t="s">
        <v>366</v>
      </c>
      <c r="U132" s="3" t="s">
        <v>1205</v>
      </c>
    </row>
    <row r="133" spans="1:21" x14ac:dyDescent="0.3">
      <c r="A133" s="16" t="s">
        <v>249</v>
      </c>
      <c r="B133" s="16" t="s">
        <v>8</v>
      </c>
      <c r="C133" s="16" t="s">
        <v>808</v>
      </c>
      <c r="D133" s="35">
        <v>132.54</v>
      </c>
      <c r="E133" s="3">
        <v>0.68</v>
      </c>
      <c r="L133" s="3">
        <v>0.06</v>
      </c>
      <c r="S133" s="18">
        <f t="shared" si="2"/>
        <v>0.90127200000000007</v>
      </c>
      <c r="T133" s="3" t="s">
        <v>365</v>
      </c>
      <c r="U133" s="3" t="s">
        <v>1205</v>
      </c>
    </row>
    <row r="134" spans="1:21" x14ac:dyDescent="0.3">
      <c r="A134" s="16" t="s">
        <v>300</v>
      </c>
      <c r="B134" s="16" t="s">
        <v>8</v>
      </c>
      <c r="C134" s="16" t="s">
        <v>131</v>
      </c>
      <c r="D134" s="39">
        <v>5.33</v>
      </c>
      <c r="E134" s="35">
        <v>1</v>
      </c>
      <c r="K134" s="3">
        <v>2.2000000000000002</v>
      </c>
      <c r="L134" s="3">
        <v>2.1</v>
      </c>
      <c r="S134" s="18">
        <f t="shared" si="2"/>
        <v>5.33E-2</v>
      </c>
      <c r="T134" s="3" t="s">
        <v>399</v>
      </c>
      <c r="U134" s="3" t="s">
        <v>1205</v>
      </c>
    </row>
    <row r="135" spans="1:21" x14ac:dyDescent="0.3">
      <c r="A135" s="16" t="s">
        <v>629</v>
      </c>
      <c r="B135" s="16" t="s">
        <v>8</v>
      </c>
      <c r="C135" s="16" t="s">
        <v>808</v>
      </c>
      <c r="D135" s="18">
        <v>1.8320000000000001</v>
      </c>
      <c r="E135" s="33">
        <v>1.4029475982532751</v>
      </c>
      <c r="K135" s="35">
        <v>43.984552401746726</v>
      </c>
      <c r="L135" s="33">
        <v>0.19999999999999998</v>
      </c>
      <c r="S135" s="18">
        <f t="shared" si="2"/>
        <v>2.5702000000000003E-2</v>
      </c>
      <c r="T135" s="3" t="s">
        <v>382</v>
      </c>
      <c r="U135" s="3" t="s">
        <v>1205</v>
      </c>
    </row>
    <row r="136" spans="1:21" x14ac:dyDescent="0.3">
      <c r="A136" s="16" t="s">
        <v>287</v>
      </c>
      <c r="B136" s="16" t="s">
        <v>8</v>
      </c>
      <c r="C136" s="16" t="s">
        <v>808</v>
      </c>
      <c r="D136" s="3">
        <v>8.02</v>
      </c>
      <c r="E136" s="33">
        <v>1.1694513715710724</v>
      </c>
      <c r="K136" s="35">
        <v>23.203241895261847</v>
      </c>
      <c r="L136" s="33">
        <v>0.29260598503740654</v>
      </c>
      <c r="S136" s="18">
        <f t="shared" si="2"/>
        <v>9.3789999999999998E-2</v>
      </c>
      <c r="T136" s="3" t="s">
        <v>391</v>
      </c>
      <c r="U136" s="3" t="s">
        <v>1205</v>
      </c>
    </row>
    <row r="137" spans="1:21" x14ac:dyDescent="0.3">
      <c r="A137" s="16" t="s">
        <v>310</v>
      </c>
      <c r="B137" s="16" t="s">
        <v>8</v>
      </c>
      <c r="C137" s="16" t="s">
        <v>1049</v>
      </c>
      <c r="D137" s="33">
        <v>5.4119999999999999</v>
      </c>
      <c r="E137" s="3">
        <v>0.78</v>
      </c>
      <c r="S137" s="18">
        <f t="shared" si="2"/>
        <v>4.2213599999999997E-2</v>
      </c>
      <c r="T137" s="3" t="s">
        <v>406</v>
      </c>
      <c r="U137" s="3" t="s">
        <v>1205</v>
      </c>
    </row>
    <row r="138" spans="1:21" x14ac:dyDescent="0.3">
      <c r="A138" s="16" t="s">
        <v>253</v>
      </c>
      <c r="B138" s="16" t="s">
        <v>8</v>
      </c>
      <c r="C138" s="16" t="s">
        <v>45</v>
      </c>
      <c r="D138" s="3">
        <v>843</v>
      </c>
      <c r="E138" s="18">
        <v>8.453143534994069E-2</v>
      </c>
      <c r="S138" s="18">
        <f t="shared" si="2"/>
        <v>0.71260000000000001</v>
      </c>
      <c r="T138" s="3" t="s">
        <v>367</v>
      </c>
      <c r="U138" s="3" t="s">
        <v>1205</v>
      </c>
    </row>
    <row r="139" spans="1:21" x14ac:dyDescent="0.3">
      <c r="A139" s="16" t="s">
        <v>270</v>
      </c>
      <c r="B139" s="16" t="s">
        <v>8</v>
      </c>
      <c r="C139" s="16" t="s">
        <v>131</v>
      </c>
      <c r="D139" s="3">
        <v>31</v>
      </c>
      <c r="E139" s="33">
        <v>0.9</v>
      </c>
      <c r="L139" s="33">
        <v>0.8</v>
      </c>
      <c r="S139" s="18">
        <f t="shared" si="2"/>
        <v>0.27900000000000003</v>
      </c>
      <c r="T139" s="3" t="s">
        <v>362</v>
      </c>
      <c r="U139" s="3" t="s">
        <v>1205</v>
      </c>
    </row>
    <row r="140" spans="1:21" x14ac:dyDescent="0.3">
      <c r="A140" s="16" t="s">
        <v>271</v>
      </c>
      <c r="B140" s="16" t="s">
        <v>8</v>
      </c>
      <c r="C140" s="16" t="s">
        <v>808</v>
      </c>
      <c r="D140" s="33">
        <v>12.500999999999999</v>
      </c>
      <c r="E140" s="3">
        <v>2.2000000000000002</v>
      </c>
      <c r="K140" s="3">
        <v>38</v>
      </c>
      <c r="L140" s="3">
        <v>0.8</v>
      </c>
      <c r="S140" s="18">
        <f t="shared" si="2"/>
        <v>0.27502200000000004</v>
      </c>
      <c r="T140" s="3" t="s">
        <v>380</v>
      </c>
      <c r="U140" s="3" t="s">
        <v>1205</v>
      </c>
    </row>
    <row r="141" spans="1:21" x14ac:dyDescent="0.3">
      <c r="A141" s="16" t="s">
        <v>347</v>
      </c>
      <c r="B141" s="16" t="s">
        <v>8</v>
      </c>
      <c r="C141" s="16" t="s">
        <v>808</v>
      </c>
      <c r="D141" s="3">
        <v>1.5</v>
      </c>
      <c r="E141" s="3">
        <v>0.4</v>
      </c>
      <c r="K141" s="3">
        <v>24</v>
      </c>
      <c r="L141" s="3">
        <v>0.3</v>
      </c>
      <c r="S141" s="18">
        <f t="shared" si="2"/>
        <v>6.000000000000001E-3</v>
      </c>
      <c r="T141" s="3" t="s">
        <v>425</v>
      </c>
      <c r="U141" s="3" t="s">
        <v>1205</v>
      </c>
    </row>
    <row r="142" spans="1:21" x14ac:dyDescent="0.3">
      <c r="A142" s="16" t="s">
        <v>357</v>
      </c>
      <c r="B142" s="16" t="s">
        <v>8</v>
      </c>
      <c r="C142" s="16" t="s">
        <v>1071</v>
      </c>
      <c r="D142" s="3">
        <v>0.73299999999999998</v>
      </c>
      <c r="E142" s="3">
        <v>0.1</v>
      </c>
      <c r="K142" s="3">
        <v>49</v>
      </c>
      <c r="L142" s="3">
        <v>0.06</v>
      </c>
      <c r="S142" s="18">
        <f t="shared" si="2"/>
        <v>7.3300000000000004E-4</v>
      </c>
      <c r="T142" s="3" t="s">
        <v>433</v>
      </c>
      <c r="U142" s="3" t="s">
        <v>1205</v>
      </c>
    </row>
    <row r="143" spans="1:21" x14ac:dyDescent="0.3">
      <c r="A143" s="16" t="s">
        <v>1122</v>
      </c>
      <c r="B143" s="16" t="s">
        <v>8</v>
      </c>
      <c r="C143" s="16" t="s">
        <v>1050</v>
      </c>
      <c r="D143" s="3">
        <f>369+2.3+62+22+247</f>
        <v>702.3</v>
      </c>
      <c r="E143" s="33">
        <f>(0.1*369+0.07*2.3+0.29*62+0.5*22+0.06*247)/D143</f>
        <v>0.11513740566709382</v>
      </c>
      <c r="L143" s="33">
        <f>(0.88*369+3*2.3+1.4*62+1.2*22+0.65*247)/D143</f>
        <v>0.86198205894916713</v>
      </c>
      <c r="S143" s="18">
        <f t="shared" si="2"/>
        <v>0.80860999999999994</v>
      </c>
      <c r="T143" s="3" t="s">
        <v>174</v>
      </c>
      <c r="U143" s="3" t="s">
        <v>1205</v>
      </c>
    </row>
    <row r="144" spans="1:21" x14ac:dyDescent="0.3">
      <c r="A144" s="16" t="s">
        <v>262</v>
      </c>
      <c r="B144" s="16" t="s">
        <v>8</v>
      </c>
      <c r="C144" s="16" t="s">
        <v>45</v>
      </c>
      <c r="D144" s="3">
        <v>142.19999999999999</v>
      </c>
      <c r="E144" s="33">
        <v>0.32445147679324898</v>
      </c>
      <c r="L144" s="33">
        <v>0.28709563994374127</v>
      </c>
      <c r="S144" s="18">
        <f t="shared" si="2"/>
        <v>0.46137</v>
      </c>
      <c r="T144" s="3" t="s">
        <v>374</v>
      </c>
      <c r="U144" s="3" t="s">
        <v>1205</v>
      </c>
    </row>
    <row r="145" spans="1:22" x14ac:dyDescent="0.3">
      <c r="A145" s="16" t="s">
        <v>339</v>
      </c>
      <c r="B145" s="16" t="s">
        <v>8</v>
      </c>
      <c r="C145" s="16" t="s">
        <v>131</v>
      </c>
      <c r="D145" s="33">
        <v>3.6050500000000003</v>
      </c>
      <c r="E145" s="33">
        <v>0.34139013328525258</v>
      </c>
      <c r="L145" s="33">
        <v>10.158074229206253</v>
      </c>
      <c r="S145" s="18">
        <f t="shared" si="2"/>
        <v>1.2307284999999999E-2</v>
      </c>
      <c r="T145" s="3" t="s">
        <v>420</v>
      </c>
      <c r="U145" s="3" t="s">
        <v>1205</v>
      </c>
    </row>
    <row r="146" spans="1:22" x14ac:dyDescent="0.3">
      <c r="A146" s="16" t="s">
        <v>321</v>
      </c>
      <c r="B146" s="16" t="s">
        <v>8</v>
      </c>
      <c r="C146" s="16" t="s">
        <v>808</v>
      </c>
      <c r="D146" s="33">
        <v>1.5529999999999999</v>
      </c>
      <c r="E146" s="3">
        <v>1.6</v>
      </c>
      <c r="K146" s="3">
        <v>43</v>
      </c>
      <c r="S146" s="18">
        <f t="shared" si="2"/>
        <v>2.4847999999999999E-2</v>
      </c>
      <c r="T146" s="3" t="s">
        <v>380</v>
      </c>
      <c r="U146" s="3" t="s">
        <v>1205</v>
      </c>
    </row>
    <row r="147" spans="1:22" x14ac:dyDescent="0.3">
      <c r="A147" s="16" t="s">
        <v>641</v>
      </c>
      <c r="B147" s="16" t="s">
        <v>8</v>
      </c>
      <c r="C147" s="16" t="s">
        <v>1063</v>
      </c>
      <c r="D147" s="3">
        <v>0.80800000000000005</v>
      </c>
      <c r="E147" s="3">
        <v>0.17</v>
      </c>
      <c r="K147" s="3">
        <v>69.75</v>
      </c>
      <c r="L147" s="3">
        <v>0.09</v>
      </c>
      <c r="S147" s="18">
        <f t="shared" si="2"/>
        <v>1.3736E-3</v>
      </c>
      <c r="T147" s="3" t="s">
        <v>433</v>
      </c>
      <c r="U147" s="3" t="s">
        <v>1205</v>
      </c>
    </row>
    <row r="148" spans="1:22" x14ac:dyDescent="0.3">
      <c r="A148" s="16" t="s">
        <v>643</v>
      </c>
      <c r="B148" s="16" t="s">
        <v>8</v>
      </c>
      <c r="C148" s="16" t="s">
        <v>1049</v>
      </c>
      <c r="D148" s="3">
        <v>0.04</v>
      </c>
      <c r="E148" s="3">
        <v>2.7</v>
      </c>
      <c r="K148" s="3">
        <v>9.5</v>
      </c>
      <c r="L148" s="3">
        <v>2.5</v>
      </c>
      <c r="S148" s="18">
        <f t="shared" si="2"/>
        <v>1.0800000000000002E-3</v>
      </c>
      <c r="T148" s="11" t="s">
        <v>647</v>
      </c>
      <c r="U148" s="3" t="s">
        <v>1245</v>
      </c>
      <c r="V148" s="8" t="s">
        <v>1244</v>
      </c>
    </row>
    <row r="149" spans="1:22" x14ac:dyDescent="0.3">
      <c r="A149" s="16" t="s">
        <v>304</v>
      </c>
      <c r="B149" s="16" t="s">
        <v>8</v>
      </c>
      <c r="C149" s="16" t="s">
        <v>45</v>
      </c>
      <c r="D149" s="3">
        <v>10.6</v>
      </c>
      <c r="E149" s="3">
        <v>0.45</v>
      </c>
      <c r="S149" s="18">
        <f t="shared" si="2"/>
        <v>4.7699999999999992E-2</v>
      </c>
      <c r="T149" s="3" t="s">
        <v>402</v>
      </c>
      <c r="U149" s="3" t="s">
        <v>1205</v>
      </c>
    </row>
    <row r="150" spans="1:22" x14ac:dyDescent="0.3">
      <c r="A150" s="16" t="s">
        <v>311</v>
      </c>
      <c r="B150" s="16" t="s">
        <v>8</v>
      </c>
      <c r="C150" s="16" t="s">
        <v>1051</v>
      </c>
      <c r="D150" s="3">
        <v>3.7</v>
      </c>
      <c r="E150" s="3">
        <v>1.1000000000000001</v>
      </c>
      <c r="S150" s="18">
        <f t="shared" si="2"/>
        <v>4.07E-2</v>
      </c>
      <c r="T150" s="3" t="s">
        <v>407</v>
      </c>
      <c r="U150" s="3" t="s">
        <v>1205</v>
      </c>
    </row>
    <row r="151" spans="1:22" x14ac:dyDescent="0.3">
      <c r="A151" s="16" t="s">
        <v>296</v>
      </c>
      <c r="B151" s="16" t="s">
        <v>8</v>
      </c>
      <c r="C151" s="16" t="s">
        <v>1064</v>
      </c>
      <c r="D151" s="3">
        <v>6.24</v>
      </c>
      <c r="E151" s="35">
        <v>1</v>
      </c>
      <c r="K151" s="3">
        <v>47</v>
      </c>
      <c r="L151" s="3">
        <v>0.82</v>
      </c>
      <c r="S151" s="18">
        <f t="shared" si="2"/>
        <v>6.2400000000000004E-2</v>
      </c>
      <c r="T151" s="3" t="s">
        <v>397</v>
      </c>
      <c r="U151" s="3" t="s">
        <v>1205</v>
      </c>
    </row>
    <row r="152" spans="1:22" x14ac:dyDescent="0.3">
      <c r="A152" s="16" t="s">
        <v>261</v>
      </c>
      <c r="B152" s="16" t="s">
        <v>8</v>
      </c>
      <c r="C152" s="16" t="s">
        <v>808</v>
      </c>
      <c r="D152" s="3">
        <v>27.100000000000005</v>
      </c>
      <c r="E152" s="33">
        <v>1.7269372693726939</v>
      </c>
      <c r="L152" s="33">
        <v>6.5313653136531355E-2</v>
      </c>
      <c r="S152" s="18">
        <f t="shared" si="2"/>
        <v>0.46800000000000014</v>
      </c>
      <c r="T152" s="3" t="s">
        <v>373</v>
      </c>
      <c r="U152" s="3" t="s">
        <v>1205</v>
      </c>
    </row>
    <row r="153" spans="1:22" x14ac:dyDescent="0.3">
      <c r="A153" s="16" t="s">
        <v>312</v>
      </c>
      <c r="B153" s="16" t="s">
        <v>8</v>
      </c>
      <c r="C153" s="16" t="s">
        <v>1119</v>
      </c>
      <c r="D153" s="3">
        <v>6.5</v>
      </c>
      <c r="E153" s="3">
        <v>0.6</v>
      </c>
      <c r="K153" s="3">
        <v>25</v>
      </c>
      <c r="S153" s="18">
        <f t="shared" si="2"/>
        <v>3.9E-2</v>
      </c>
      <c r="T153" s="3" t="s">
        <v>387</v>
      </c>
      <c r="U153" s="3" t="s">
        <v>1205</v>
      </c>
    </row>
    <row r="154" spans="1:22" x14ac:dyDescent="0.3">
      <c r="A154" s="16" t="s">
        <v>353</v>
      </c>
      <c r="B154" s="16" t="s">
        <v>8</v>
      </c>
      <c r="C154" s="16" t="s">
        <v>1063</v>
      </c>
      <c r="D154" s="3">
        <v>1.23</v>
      </c>
      <c r="E154" s="3">
        <v>0.28000000000000003</v>
      </c>
      <c r="K154" s="3">
        <v>256</v>
      </c>
      <c r="S154" s="18">
        <f t="shared" si="2"/>
        <v>3.4440000000000004E-3</v>
      </c>
      <c r="T154" s="3" t="s">
        <v>430</v>
      </c>
      <c r="U154" s="3" t="s">
        <v>1205</v>
      </c>
    </row>
    <row r="155" spans="1:22" x14ac:dyDescent="0.3">
      <c r="A155" s="16" t="s">
        <v>325</v>
      </c>
      <c r="B155" s="16" t="s">
        <v>8</v>
      </c>
      <c r="C155" s="16" t="s">
        <v>1051</v>
      </c>
      <c r="D155" s="3">
        <v>2.09</v>
      </c>
      <c r="E155" s="3">
        <v>0.99</v>
      </c>
      <c r="L155" s="3">
        <v>0.3</v>
      </c>
      <c r="S155" s="18">
        <f t="shared" si="2"/>
        <v>2.0690999999999998E-2</v>
      </c>
      <c r="T155" s="3" t="s">
        <v>396</v>
      </c>
      <c r="U155" s="3" t="s">
        <v>1205</v>
      </c>
    </row>
    <row r="156" spans="1:22" x14ac:dyDescent="0.3">
      <c r="A156" s="16" t="s">
        <v>627</v>
      </c>
      <c r="B156" s="16" t="s">
        <v>8</v>
      </c>
      <c r="C156" s="16" t="s">
        <v>808</v>
      </c>
      <c r="D156" s="33">
        <v>1.0259999999999998</v>
      </c>
      <c r="E156" s="33">
        <v>1.3961013645224172</v>
      </c>
      <c r="K156" s="35">
        <v>8.8209551656920091</v>
      </c>
      <c r="L156" s="33">
        <v>0.10000000000000002</v>
      </c>
      <c r="S156" s="18">
        <f t="shared" si="2"/>
        <v>1.4323999999999996E-2</v>
      </c>
      <c r="T156" s="3" t="s">
        <v>382</v>
      </c>
      <c r="U156" s="3" t="s">
        <v>1205</v>
      </c>
    </row>
    <row r="157" spans="1:22" x14ac:dyDescent="0.3">
      <c r="A157" s="16" t="s">
        <v>267</v>
      </c>
      <c r="B157" s="16" t="s">
        <v>8</v>
      </c>
      <c r="C157" s="16" t="s">
        <v>1055</v>
      </c>
      <c r="D157" s="3">
        <v>33.9</v>
      </c>
      <c r="E157" s="3">
        <v>0.99</v>
      </c>
      <c r="S157" s="18">
        <f t="shared" si="2"/>
        <v>0.33561000000000002</v>
      </c>
      <c r="T157" s="3" t="s">
        <v>378</v>
      </c>
      <c r="U157" s="3" t="s">
        <v>1205</v>
      </c>
    </row>
    <row r="158" spans="1:22" x14ac:dyDescent="0.3">
      <c r="A158" s="16" t="s">
        <v>293</v>
      </c>
      <c r="B158" s="16" t="s">
        <v>8</v>
      </c>
      <c r="C158" s="16" t="s">
        <v>45</v>
      </c>
      <c r="D158" s="3">
        <v>71.5</v>
      </c>
      <c r="E158" s="3">
        <v>0.1</v>
      </c>
      <c r="K158" s="3">
        <v>1.2</v>
      </c>
      <c r="S158" s="18">
        <f t="shared" si="2"/>
        <v>7.1500000000000008E-2</v>
      </c>
      <c r="T158" s="3" t="s">
        <v>395</v>
      </c>
      <c r="U158" s="3" t="s">
        <v>1205</v>
      </c>
    </row>
    <row r="159" spans="1:22" x14ac:dyDescent="0.3">
      <c r="A159" s="16" t="s">
        <v>331</v>
      </c>
      <c r="B159" s="16" t="s">
        <v>8</v>
      </c>
      <c r="C159" s="16" t="s">
        <v>808</v>
      </c>
      <c r="D159" s="33">
        <v>1.6870000000000001</v>
      </c>
      <c r="E159" s="33">
        <v>1.1000000000000001</v>
      </c>
      <c r="S159" s="18">
        <f t="shared" si="2"/>
        <v>1.8557000000000001E-2</v>
      </c>
      <c r="T159" s="3" t="s">
        <v>392</v>
      </c>
      <c r="U159" s="3" t="s">
        <v>1205</v>
      </c>
    </row>
    <row r="160" spans="1:22" x14ac:dyDescent="0.3">
      <c r="A160" s="16" t="s">
        <v>354</v>
      </c>
      <c r="B160" s="16" t="s">
        <v>8</v>
      </c>
      <c r="C160" s="16" t="s">
        <v>808</v>
      </c>
      <c r="D160" s="3">
        <v>0.76700000000000002</v>
      </c>
      <c r="E160" s="3">
        <v>0.43</v>
      </c>
      <c r="S160" s="18">
        <f t="shared" si="2"/>
        <v>3.2981E-3</v>
      </c>
      <c r="T160" s="3" t="s">
        <v>392</v>
      </c>
      <c r="U160" s="3" t="s">
        <v>1205</v>
      </c>
    </row>
    <row r="161" spans="1:21" x14ac:dyDescent="0.3">
      <c r="A161" s="16" t="s">
        <v>631</v>
      </c>
      <c r="B161" s="16" t="s">
        <v>8</v>
      </c>
      <c r="C161" s="16" t="s">
        <v>1053</v>
      </c>
      <c r="D161" s="3">
        <v>0.6</v>
      </c>
      <c r="E161" s="33">
        <v>0.3</v>
      </c>
      <c r="K161" s="35"/>
      <c r="L161" s="33"/>
      <c r="S161" s="18">
        <f t="shared" si="2"/>
        <v>1.8E-3</v>
      </c>
      <c r="T161" s="3" t="s">
        <v>648</v>
      </c>
      <c r="U161" s="3" t="s">
        <v>1205</v>
      </c>
    </row>
    <row r="162" spans="1:21" x14ac:dyDescent="0.3">
      <c r="A162" s="16" t="s">
        <v>302</v>
      </c>
      <c r="B162" s="16" t="s">
        <v>8</v>
      </c>
      <c r="C162" s="16" t="s">
        <v>45</v>
      </c>
      <c r="D162" s="3">
        <v>12.9</v>
      </c>
      <c r="E162" s="3">
        <v>0.38</v>
      </c>
      <c r="K162" s="3">
        <v>2.2000000000000002</v>
      </c>
      <c r="L162" s="3">
        <v>0.14000000000000001</v>
      </c>
      <c r="S162" s="18">
        <f t="shared" si="2"/>
        <v>4.9020000000000001E-2</v>
      </c>
      <c r="T162" s="3" t="s">
        <v>400</v>
      </c>
      <c r="U162" s="3" t="s">
        <v>1205</v>
      </c>
    </row>
    <row r="163" spans="1:21" x14ac:dyDescent="0.3">
      <c r="A163" s="16" t="s">
        <v>324</v>
      </c>
      <c r="B163" s="16" t="s">
        <v>8</v>
      </c>
      <c r="C163" s="16" t="s">
        <v>1055</v>
      </c>
      <c r="D163" s="33">
        <v>2.129</v>
      </c>
      <c r="E163" s="3">
        <v>1</v>
      </c>
      <c r="K163" s="3">
        <v>1.4</v>
      </c>
      <c r="S163" s="18">
        <f t="shared" si="2"/>
        <v>2.129E-2</v>
      </c>
      <c r="T163" s="3" t="s">
        <v>378</v>
      </c>
      <c r="U163" s="3" t="s">
        <v>1205</v>
      </c>
    </row>
    <row r="164" spans="1:21" x14ac:dyDescent="0.3">
      <c r="A164" s="16" t="s">
        <v>1018</v>
      </c>
      <c r="B164" s="16" t="s">
        <v>1017</v>
      </c>
      <c r="C164" s="16" t="s">
        <v>1119</v>
      </c>
      <c r="D164" s="3">
        <f>31+224+230</f>
        <v>485</v>
      </c>
      <c r="E164" s="3">
        <f>(0.02*31+0.02*224+0.02*230)/D164</f>
        <v>2.0000000000000004E-2</v>
      </c>
      <c r="I164" s="33">
        <f>(0.07*31+0.07*224+0.07*230)/D164</f>
        <v>7.0000000000000007E-2</v>
      </c>
      <c r="J164" s="33">
        <f>(0.02*31+0.05*224+0.05*230)/D164</f>
        <v>4.8082474226804124E-2</v>
      </c>
      <c r="K164" s="35">
        <f>(33.4*31+27.3*224+18.9*230)/D164</f>
        <v>23.706391752577318</v>
      </c>
      <c r="S164" s="18">
        <f t="shared" si="2"/>
        <v>9.7000000000000017E-2</v>
      </c>
      <c r="T164" s="3" t="s">
        <v>1016</v>
      </c>
      <c r="U164" s="3" t="s">
        <v>1205</v>
      </c>
    </row>
    <row r="165" spans="1:21" x14ac:dyDescent="0.3">
      <c r="A165" s="16" t="s">
        <v>1112</v>
      </c>
      <c r="B165" s="16" t="s">
        <v>1017</v>
      </c>
      <c r="C165" s="16" t="s">
        <v>1063</v>
      </c>
      <c r="D165" s="33">
        <f>1.761+0.856+0.472+0.239+2.987</f>
        <v>6.3149999999999995</v>
      </c>
      <c r="E165" s="33">
        <f>(2.6*1.761+2.56*0.856+1.7*0.472+1.92*0.239+2.17*2.987)/(1.761+0.856+0.472+0.239+2.987)</f>
        <v>2.2981836896278702</v>
      </c>
      <c r="J165" s="33">
        <f>(0.35*1.761+0.42*0.856+0.16*0.472+0.21*0.239+0.32*2.987)/(1.761+0.856+0.472+0.239+2.987)</f>
        <v>0.3257988915281077</v>
      </c>
      <c r="K165" s="44">
        <f>(449*1.761+380*0.856+120*0.472+112*0.239+353*2.987)/(1.761+0.856+0.472+0.239+2.987)</f>
        <v>356.89437846397476</v>
      </c>
      <c r="S165" s="18">
        <f t="shared" si="2"/>
        <v>0.14513029999999999</v>
      </c>
      <c r="T165" s="3" t="s">
        <v>1109</v>
      </c>
      <c r="U165" s="3" t="s">
        <v>1205</v>
      </c>
    </row>
    <row r="166" spans="1:21" x14ac:dyDescent="0.3">
      <c r="A166" s="16" t="s">
        <v>582</v>
      </c>
      <c r="B166" s="16" t="s">
        <v>13</v>
      </c>
      <c r="C166" s="16" t="s">
        <v>1060</v>
      </c>
      <c r="D166" s="3">
        <v>102.8</v>
      </c>
      <c r="E166" s="3">
        <v>1.4</v>
      </c>
      <c r="K166" s="3">
        <v>17.3</v>
      </c>
      <c r="S166" s="18">
        <f t="shared" si="2"/>
        <v>1.4391999999999998</v>
      </c>
      <c r="T166" s="3" t="s">
        <v>584</v>
      </c>
      <c r="U166" s="3" t="s">
        <v>1205</v>
      </c>
    </row>
    <row r="167" spans="1:21" x14ac:dyDescent="0.3">
      <c r="A167" s="16" t="s">
        <v>963</v>
      </c>
      <c r="B167" s="16" t="s">
        <v>13</v>
      </c>
      <c r="C167" s="16" t="s">
        <v>1053</v>
      </c>
      <c r="D167" s="3">
        <v>4.0999999999999996</v>
      </c>
      <c r="E167" s="3">
        <v>0.5</v>
      </c>
      <c r="F167" s="3">
        <v>0.7</v>
      </c>
      <c r="Q167" s="3">
        <v>1.2</v>
      </c>
      <c r="S167" s="18">
        <f t="shared" si="2"/>
        <v>2.0499999999999997E-2</v>
      </c>
      <c r="T167" s="3" t="s">
        <v>964</v>
      </c>
      <c r="U167" s="3" t="s">
        <v>1205</v>
      </c>
    </row>
    <row r="168" spans="1:21" x14ac:dyDescent="0.3">
      <c r="A168" s="16" t="s">
        <v>619</v>
      </c>
      <c r="B168" s="16" t="s">
        <v>13</v>
      </c>
      <c r="C168" s="16" t="s">
        <v>1060</v>
      </c>
      <c r="D168" s="3">
        <v>461.29999999999995</v>
      </c>
      <c r="E168" s="33">
        <f>(37.4*0.93+423.9*0.6)/(37.4+423.9)</f>
        <v>0.62675482332538479</v>
      </c>
      <c r="K168" s="33">
        <f>(37.4*13.39+423.9*6.27)/(37.4+423.9)</f>
        <v>6.8472555820507264</v>
      </c>
      <c r="S168" s="18">
        <f t="shared" si="2"/>
        <v>2.8912199999999997</v>
      </c>
      <c r="T168" s="3" t="s">
        <v>1220</v>
      </c>
      <c r="U168" s="3" t="s">
        <v>1268</v>
      </c>
    </row>
    <row r="169" spans="1:21" x14ac:dyDescent="0.3">
      <c r="A169" s="16" t="s">
        <v>685</v>
      </c>
      <c r="B169" s="16" t="s">
        <v>13</v>
      </c>
      <c r="C169" s="16" t="s">
        <v>1060</v>
      </c>
      <c r="D169" s="3">
        <v>10</v>
      </c>
      <c r="E169" s="3">
        <v>1.18</v>
      </c>
      <c r="S169" s="18">
        <f t="shared" si="2"/>
        <v>0.11799999999999999</v>
      </c>
      <c r="T169" s="3" t="s">
        <v>14</v>
      </c>
      <c r="U169" s="3" t="s">
        <v>1205</v>
      </c>
    </row>
    <row r="170" spans="1:21" x14ac:dyDescent="0.3">
      <c r="A170" s="16" t="s">
        <v>684</v>
      </c>
      <c r="B170" s="16" t="s">
        <v>13</v>
      </c>
      <c r="C170" s="16" t="s">
        <v>1060</v>
      </c>
      <c r="D170" s="3">
        <v>2.77</v>
      </c>
      <c r="E170" s="3">
        <v>2.15</v>
      </c>
      <c r="S170" s="18">
        <f t="shared" si="2"/>
        <v>5.9554999999999997E-2</v>
      </c>
      <c r="T170" s="3" t="s">
        <v>14</v>
      </c>
      <c r="U170" s="3" t="s">
        <v>1205</v>
      </c>
    </row>
    <row r="171" spans="1:21" x14ac:dyDescent="0.3">
      <c r="A171" s="16" t="s">
        <v>10</v>
      </c>
      <c r="B171" s="16" t="s">
        <v>13</v>
      </c>
      <c r="C171" s="16" t="s">
        <v>1060</v>
      </c>
      <c r="D171" s="35">
        <f>74.264816+72.675938+86.669778</f>
        <v>233.61053199999998</v>
      </c>
      <c r="E171" s="33">
        <f>(0.4*74.264816+0.49*72.675938+0.36*86.669778)/D171</f>
        <v>0.41315883866057895</v>
      </c>
      <c r="S171" s="18">
        <f t="shared" si="2"/>
        <v>0.96518256099999999</v>
      </c>
      <c r="T171" s="3" t="s">
        <v>14</v>
      </c>
      <c r="U171" s="3" t="s">
        <v>1205</v>
      </c>
    </row>
    <row r="172" spans="1:21" x14ac:dyDescent="0.3">
      <c r="A172" s="16" t="s">
        <v>686</v>
      </c>
      <c r="B172" s="16" t="s">
        <v>13</v>
      </c>
      <c r="C172" s="16" t="s">
        <v>1053</v>
      </c>
      <c r="D172" s="3">
        <v>31.5</v>
      </c>
      <c r="E172" s="3">
        <v>0.54</v>
      </c>
      <c r="F172" s="3">
        <v>0.66</v>
      </c>
      <c r="S172" s="18">
        <f t="shared" si="2"/>
        <v>0.17010000000000003</v>
      </c>
      <c r="T172" s="3" t="s">
        <v>687</v>
      </c>
      <c r="U172" s="3" t="s">
        <v>1335</v>
      </c>
    </row>
    <row r="173" spans="1:21" x14ac:dyDescent="0.3">
      <c r="A173" s="16" t="s">
        <v>610</v>
      </c>
      <c r="B173" s="16" t="s">
        <v>13</v>
      </c>
      <c r="C173" s="16" t="s">
        <v>1053</v>
      </c>
      <c r="D173" s="35">
        <f>103.489+195.3+7.5</f>
        <v>306.28899999999999</v>
      </c>
      <c r="E173" s="33">
        <f>(0.18*103.489+0.18*195.3+0.2*7.5)/D173</f>
        <v>0.18048973355229866</v>
      </c>
      <c r="F173" s="33">
        <f>(0.21*103.489+0.2*195.3+0.23*7.5)/D173</f>
        <v>0.20411340270137032</v>
      </c>
      <c r="S173" s="18">
        <f t="shared" si="2"/>
        <v>0.55282019999999998</v>
      </c>
      <c r="T173" s="3" t="s">
        <v>209</v>
      </c>
      <c r="U173" s="3" t="s">
        <v>1216</v>
      </c>
    </row>
    <row r="174" spans="1:21" x14ac:dyDescent="0.3">
      <c r="A174" s="16" t="s">
        <v>611</v>
      </c>
      <c r="B174" s="16" t="s">
        <v>13</v>
      </c>
      <c r="C174" s="16" t="s">
        <v>1053</v>
      </c>
      <c r="D174" s="3">
        <f>124+11.3</f>
        <v>135.30000000000001</v>
      </c>
      <c r="E174" s="33">
        <f>(0.27*124+0.3*11.3)/(124+11.3)</f>
        <v>0.27250554323725057</v>
      </c>
      <c r="F174" s="33">
        <f>(0.23*124+0.27*11.3)/(124+11.3)</f>
        <v>0.23334072431633407</v>
      </c>
      <c r="Q174" s="3">
        <f>(0.57*124+0.56*11.3)/(124+11.3)</f>
        <v>0.56916481892091642</v>
      </c>
      <c r="S174" s="18">
        <f t="shared" si="2"/>
        <v>0.36870000000000003</v>
      </c>
      <c r="T174" s="3" t="s">
        <v>209</v>
      </c>
      <c r="U174" s="3" t="s">
        <v>1216</v>
      </c>
    </row>
    <row r="175" spans="1:21" ht="14.4" customHeight="1" x14ac:dyDescent="0.3">
      <c r="A175" s="16" t="s">
        <v>923</v>
      </c>
      <c r="B175" s="16" t="s">
        <v>129</v>
      </c>
      <c r="C175" s="16" t="s">
        <v>808</v>
      </c>
      <c r="D175" s="33">
        <f>18.322+3.528+9.38+2.245</f>
        <v>33.474999999999994</v>
      </c>
      <c r="E175" s="33">
        <f>(0.09*18.322+0.07*3.528+0.58*9.38+0.51*2.245)/D175</f>
        <v>0.25336191187453327</v>
      </c>
      <c r="I175" s="33">
        <f>(1.52*18.322+1.51*3.528+1*9.38+1.02*2.245)/D175</f>
        <v>1.3397048543689323</v>
      </c>
      <c r="J175" s="33">
        <f>(4.03*18.322+4.29*3.528+2.54*9.38+2.54*2.245)/D175</f>
        <v>3.5399635548917106</v>
      </c>
      <c r="K175" s="35">
        <f>(33.55*18.322+41.89*3.528+34.65*9.38+20.37*2.245)/D175</f>
        <v>33.853283644510832</v>
      </c>
      <c r="L175" s="33">
        <f>(0.18*18.322+0.25*3.528+0.45*9.38+0.6*2.245)/D175</f>
        <v>0.29120119492158331</v>
      </c>
      <c r="S175" s="18">
        <f t="shared" si="2"/>
        <v>8.4812899999999997E-2</v>
      </c>
      <c r="T175" s="3" t="s">
        <v>924</v>
      </c>
      <c r="U175" s="3" t="s">
        <v>1260</v>
      </c>
    </row>
    <row r="176" spans="1:21" ht="14.4" customHeight="1" x14ac:dyDescent="0.3">
      <c r="A176" s="16" t="s">
        <v>816</v>
      </c>
      <c r="B176" s="16" t="s">
        <v>129</v>
      </c>
      <c r="C176" s="16" t="s">
        <v>1063</v>
      </c>
      <c r="D176" s="3">
        <v>3.8</v>
      </c>
      <c r="E176" s="33">
        <v>0.9</v>
      </c>
      <c r="L176" s="33"/>
      <c r="S176" s="18">
        <f t="shared" si="2"/>
        <v>3.4200000000000001E-2</v>
      </c>
      <c r="T176" s="3" t="s">
        <v>817</v>
      </c>
      <c r="U176" s="3" t="s">
        <v>1338</v>
      </c>
    </row>
    <row r="177" spans="1:22" ht="14.4" customHeight="1" x14ac:dyDescent="0.3">
      <c r="A177" s="16" t="s">
        <v>1179</v>
      </c>
      <c r="B177" s="16" t="s">
        <v>129</v>
      </c>
      <c r="C177" s="16" t="s">
        <v>1055</v>
      </c>
      <c r="D177" s="3">
        <v>70</v>
      </c>
      <c r="E177" s="3">
        <v>0.7</v>
      </c>
      <c r="S177" s="18">
        <f t="shared" si="2"/>
        <v>0.49</v>
      </c>
      <c r="T177" s="4" t="s">
        <v>647</v>
      </c>
      <c r="U177" s="3" t="s">
        <v>1240</v>
      </c>
      <c r="V177" s="8" t="s">
        <v>1181</v>
      </c>
    </row>
    <row r="178" spans="1:22" ht="14.4" customHeight="1" x14ac:dyDescent="0.3">
      <c r="A178" s="16" t="s">
        <v>467</v>
      </c>
      <c r="B178" s="16" t="s">
        <v>129</v>
      </c>
      <c r="C178" s="16" t="s">
        <v>45</v>
      </c>
      <c r="D178" s="35">
        <f>368.716+65.25+278.787</f>
        <v>712.75299999999993</v>
      </c>
      <c r="E178" s="33">
        <f>(0.26*368.716+0.18*65.25+0.19*278.787)/D178</f>
        <v>0.22529640703020545</v>
      </c>
      <c r="L178" s="33">
        <f>(0.23*368.716+0.13*65.25+0.19*278.787)/D178</f>
        <v>0.20519971154102476</v>
      </c>
      <c r="S178" s="18">
        <f t="shared" si="2"/>
        <v>1.6058069000000001</v>
      </c>
      <c r="T178" s="3" t="s">
        <v>468</v>
      </c>
      <c r="U178" s="3" t="s">
        <v>1205</v>
      </c>
    </row>
    <row r="179" spans="1:22" ht="14.4" customHeight="1" x14ac:dyDescent="0.3">
      <c r="A179" s="16" t="s">
        <v>1180</v>
      </c>
      <c r="B179" s="16" t="s">
        <v>129</v>
      </c>
      <c r="C179" s="16" t="s">
        <v>131</v>
      </c>
      <c r="D179" s="3">
        <v>261</v>
      </c>
      <c r="E179" s="3">
        <v>0.7</v>
      </c>
      <c r="S179" s="18">
        <f t="shared" si="2"/>
        <v>1.827</v>
      </c>
      <c r="T179" s="4" t="s">
        <v>647</v>
      </c>
      <c r="U179" s="3" t="s">
        <v>1240</v>
      </c>
      <c r="V179" s="8" t="s">
        <v>1181</v>
      </c>
    </row>
    <row r="180" spans="1:22" ht="14.4" customHeight="1" x14ac:dyDescent="0.3">
      <c r="A180" s="16" t="s">
        <v>826</v>
      </c>
      <c r="B180" s="16" t="s">
        <v>129</v>
      </c>
      <c r="C180" s="16" t="s">
        <v>1049</v>
      </c>
      <c r="D180" s="12">
        <f>0.2+0.9</f>
        <v>1.1000000000000001</v>
      </c>
      <c r="E180" s="48">
        <f>(0.03*0.2+0.25*0.9)/D180</f>
        <v>0.21</v>
      </c>
      <c r="F180" s="48">
        <f>(2.94*0.2+1.95*0.9)/D180</f>
        <v>2.13</v>
      </c>
      <c r="L180" s="33"/>
      <c r="S180" s="18">
        <f t="shared" si="2"/>
        <v>2.31E-3</v>
      </c>
      <c r="T180" s="3" t="s">
        <v>827</v>
      </c>
      <c r="U180" s="3" t="s">
        <v>1263</v>
      </c>
      <c r="V180" s="8" t="s">
        <v>1264</v>
      </c>
    </row>
    <row r="181" spans="1:22" ht="14.4" customHeight="1" x14ac:dyDescent="0.3">
      <c r="A181" s="16" t="s">
        <v>1178</v>
      </c>
      <c r="B181" s="16" t="s">
        <v>129</v>
      </c>
      <c r="C181" s="16" t="s">
        <v>131</v>
      </c>
      <c r="D181" s="3">
        <v>161</v>
      </c>
      <c r="E181" s="3">
        <v>1.3</v>
      </c>
      <c r="L181" s="3">
        <v>0.8</v>
      </c>
      <c r="S181" s="18">
        <f t="shared" si="2"/>
        <v>2.093</v>
      </c>
      <c r="T181" s="4" t="s">
        <v>647</v>
      </c>
      <c r="U181" s="3" t="s">
        <v>1240</v>
      </c>
      <c r="V181" s="8" t="s">
        <v>1181</v>
      </c>
    </row>
    <row r="182" spans="1:22" x14ac:dyDescent="0.3">
      <c r="A182" s="16" t="s">
        <v>586</v>
      </c>
      <c r="B182" s="16" t="s">
        <v>129</v>
      </c>
      <c r="C182" s="16" t="s">
        <v>1049</v>
      </c>
      <c r="D182" s="3">
        <f>16.3+156+25.7+87.5</f>
        <v>285.5</v>
      </c>
      <c r="E182" s="33">
        <f>(16.3*0.14+156*0.13+25.7*0.14+87.5*0.23)/(16.3+156+25.7+87.5)</f>
        <v>0.16211908931698774</v>
      </c>
      <c r="F182" s="33">
        <f>(16.3*0.57+156*0.51+25.7*0.53+87.5*0.79)/(16.3+156+25.7+87.5)</f>
        <v>0.60104028021015754</v>
      </c>
      <c r="S182" s="18">
        <f t="shared" si="2"/>
        <v>0.46284999999999998</v>
      </c>
      <c r="T182" s="3" t="s">
        <v>602</v>
      </c>
      <c r="U182" s="3" t="s">
        <v>1205</v>
      </c>
    </row>
    <row r="183" spans="1:22" x14ac:dyDescent="0.3">
      <c r="A183" s="16" t="s">
        <v>510</v>
      </c>
      <c r="B183" s="16" t="s">
        <v>129</v>
      </c>
      <c r="C183" s="16" t="s">
        <v>1049</v>
      </c>
      <c r="D183" s="33">
        <f>6.6/0.51</f>
        <v>12.941176470588234</v>
      </c>
      <c r="E183" s="3">
        <v>0.03</v>
      </c>
      <c r="F183" s="3">
        <v>0.23</v>
      </c>
      <c r="S183" s="18">
        <f t="shared" si="2"/>
        <v>3.88235294117647E-3</v>
      </c>
      <c r="T183" s="3" t="s">
        <v>483</v>
      </c>
      <c r="U183" s="3" t="s">
        <v>1205</v>
      </c>
    </row>
    <row r="184" spans="1:22" x14ac:dyDescent="0.3">
      <c r="A184" s="16" t="s">
        <v>1176</v>
      </c>
      <c r="B184" s="16" t="s">
        <v>129</v>
      </c>
      <c r="C184" s="16" t="s">
        <v>131</v>
      </c>
      <c r="D184" s="3">
        <v>32.54</v>
      </c>
      <c r="E184" s="3">
        <v>1.23</v>
      </c>
      <c r="L184" s="3">
        <v>0.37</v>
      </c>
      <c r="S184" s="18">
        <f t="shared" si="2"/>
        <v>0.40024199999999999</v>
      </c>
      <c r="T184" s="3" t="s">
        <v>1177</v>
      </c>
      <c r="U184" s="3" t="s">
        <v>1240</v>
      </c>
      <c r="V184" s="8" t="s">
        <v>1181</v>
      </c>
    </row>
    <row r="185" spans="1:22" x14ac:dyDescent="0.3">
      <c r="A185" s="16" t="s">
        <v>127</v>
      </c>
      <c r="B185" s="16" t="s">
        <v>129</v>
      </c>
      <c r="C185" s="16" t="s">
        <v>131</v>
      </c>
      <c r="D185" s="37">
        <v>1116</v>
      </c>
      <c r="E185" s="3">
        <v>0.69</v>
      </c>
      <c r="L185" s="3">
        <v>0.4</v>
      </c>
      <c r="S185" s="18">
        <f t="shared" si="2"/>
        <v>7.7003999999999992</v>
      </c>
      <c r="T185" s="3" t="s">
        <v>128</v>
      </c>
      <c r="U185" s="3" t="s">
        <v>1222</v>
      </c>
    </row>
    <row r="186" spans="1:22" x14ac:dyDescent="0.3">
      <c r="A186" s="16" t="s">
        <v>126</v>
      </c>
      <c r="B186" s="16" t="s">
        <v>129</v>
      </c>
      <c r="C186" s="16" t="s">
        <v>131</v>
      </c>
      <c r="D186" s="3">
        <v>165.7</v>
      </c>
      <c r="E186" s="3">
        <v>0.84</v>
      </c>
      <c r="L186" s="3">
        <v>0.3</v>
      </c>
      <c r="S186" s="18">
        <f t="shared" si="2"/>
        <v>1.3918799999999998</v>
      </c>
      <c r="T186" s="3" t="s">
        <v>128</v>
      </c>
      <c r="U186" s="3" t="s">
        <v>1222</v>
      </c>
    </row>
    <row r="187" spans="1:22" x14ac:dyDescent="0.3">
      <c r="A187" s="16" t="s">
        <v>689</v>
      </c>
      <c r="B187" s="16" t="s">
        <v>688</v>
      </c>
      <c r="C187" s="16" t="s">
        <v>45</v>
      </c>
      <c r="D187" s="3">
        <v>227.2</v>
      </c>
      <c r="E187" s="3">
        <v>0.27</v>
      </c>
      <c r="L187" s="3">
        <v>0.28000000000000003</v>
      </c>
      <c r="S187" s="18">
        <f t="shared" si="2"/>
        <v>0.61343999999999999</v>
      </c>
      <c r="T187" s="3" t="s">
        <v>690</v>
      </c>
      <c r="U187" s="3" t="s">
        <v>1205</v>
      </c>
    </row>
    <row r="188" spans="1:22" x14ac:dyDescent="0.3">
      <c r="A188" s="16" t="s">
        <v>821</v>
      </c>
      <c r="B188" s="16" t="s">
        <v>820</v>
      </c>
      <c r="C188" s="16" t="s">
        <v>823</v>
      </c>
      <c r="D188" s="3">
        <v>185</v>
      </c>
      <c r="E188" s="3">
        <v>0.17</v>
      </c>
      <c r="F188" s="3" t="s">
        <v>822</v>
      </c>
      <c r="M188" s="3">
        <v>0.08</v>
      </c>
      <c r="S188" s="18">
        <f t="shared" si="2"/>
        <v>0.3145</v>
      </c>
      <c r="T188" s="3" t="s">
        <v>1340</v>
      </c>
      <c r="U188" s="3" t="s">
        <v>1341</v>
      </c>
    </row>
    <row r="189" spans="1:22" x14ac:dyDescent="0.3">
      <c r="A189" s="16">
        <v>777</v>
      </c>
      <c r="B189" s="16" t="s">
        <v>28</v>
      </c>
      <c r="C189" s="16" t="s">
        <v>808</v>
      </c>
      <c r="D189" s="33">
        <f>4.492+9.061+1.551</f>
        <v>15.104000000000001</v>
      </c>
      <c r="E189" s="33">
        <f>(3.23*4.492+1.94*9.061+1.2*1.551)/(4.492+9.061+1.551)</f>
        <v>2.2476628707627113</v>
      </c>
      <c r="S189" s="18">
        <f t="shared" si="2"/>
        <v>0.33948699999999993</v>
      </c>
      <c r="T189" s="3" t="s">
        <v>925</v>
      </c>
      <c r="U189" s="3" t="s">
        <v>1206</v>
      </c>
    </row>
    <row r="190" spans="1:22" x14ac:dyDescent="0.3">
      <c r="A190" s="16" t="s">
        <v>875</v>
      </c>
      <c r="B190" s="16" t="s">
        <v>28</v>
      </c>
      <c r="C190" s="16" t="s">
        <v>1072</v>
      </c>
      <c r="D190" s="33">
        <v>1.119</v>
      </c>
      <c r="E190" s="3">
        <v>0.15</v>
      </c>
      <c r="K190" s="3">
        <v>10.4</v>
      </c>
      <c r="N190" s="3">
        <v>0.184</v>
      </c>
      <c r="R190" s="3">
        <v>6.09</v>
      </c>
      <c r="S190" s="18">
        <f t="shared" si="2"/>
        <v>1.6785000000000001E-3</v>
      </c>
      <c r="T190" s="3" t="s">
        <v>876</v>
      </c>
      <c r="U190" s="3" t="s">
        <v>1236</v>
      </c>
    </row>
    <row r="191" spans="1:22" x14ac:dyDescent="0.3">
      <c r="A191" s="16" t="s">
        <v>593</v>
      </c>
      <c r="B191" s="16" t="s">
        <v>28</v>
      </c>
      <c r="C191" s="16" t="s">
        <v>808</v>
      </c>
      <c r="D191" s="3">
        <f>3.6+2</f>
        <v>5.6</v>
      </c>
      <c r="E191" s="33">
        <f>(3.6*1.5+2*1)/(3.6+2)</f>
        <v>1.3214285714285716</v>
      </c>
      <c r="J191" s="35">
        <f>(3.6*10.6+2*10)/(3.6+2)</f>
        <v>10.385714285714286</v>
      </c>
      <c r="K191" s="3">
        <f>(3.6*32+2*39)/(3.6+2)</f>
        <v>34.5</v>
      </c>
      <c r="L191" s="33">
        <f>(3.6*0.5+2*1.1)/(3.6+2)</f>
        <v>0.7142857142857143</v>
      </c>
      <c r="S191" s="18">
        <f t="shared" si="2"/>
        <v>7.400000000000001E-2</v>
      </c>
      <c r="T191" s="3" t="s">
        <v>27</v>
      </c>
      <c r="U191" s="3" t="s">
        <v>1205</v>
      </c>
    </row>
    <row r="192" spans="1:22" x14ac:dyDescent="0.3">
      <c r="A192" s="16" t="s">
        <v>784</v>
      </c>
      <c r="B192" s="16" t="s">
        <v>28</v>
      </c>
      <c r="C192" s="16" t="s">
        <v>1049</v>
      </c>
      <c r="D192" s="3">
        <v>0.251</v>
      </c>
      <c r="E192" s="3">
        <v>1</v>
      </c>
      <c r="F192" s="3">
        <v>0.1</v>
      </c>
      <c r="S192" s="18">
        <f t="shared" si="2"/>
        <v>2.5100000000000001E-3</v>
      </c>
      <c r="T192" s="3" t="s">
        <v>785</v>
      </c>
      <c r="U192" s="3" t="s">
        <v>1205</v>
      </c>
    </row>
    <row r="193" spans="1:21" x14ac:dyDescent="0.3">
      <c r="A193" s="16" t="s">
        <v>591</v>
      </c>
      <c r="B193" s="16" t="s">
        <v>28</v>
      </c>
      <c r="C193" s="16" t="s">
        <v>808</v>
      </c>
      <c r="D193" s="3">
        <v>8.9</v>
      </c>
      <c r="E193" s="3">
        <v>0.4</v>
      </c>
      <c r="I193" s="3">
        <v>3.5</v>
      </c>
      <c r="J193" s="3">
        <v>8.6999999999999993</v>
      </c>
      <c r="K193" s="3">
        <v>104</v>
      </c>
      <c r="S193" s="18">
        <f t="shared" si="2"/>
        <v>3.5600000000000007E-2</v>
      </c>
      <c r="T193" s="3" t="s">
        <v>27</v>
      </c>
      <c r="U193" s="3" t="s">
        <v>1205</v>
      </c>
    </row>
    <row r="194" spans="1:21" x14ac:dyDescent="0.3">
      <c r="A194" s="16" t="s">
        <v>995</v>
      </c>
      <c r="B194" s="16" t="s">
        <v>28</v>
      </c>
      <c r="C194" s="16" t="s">
        <v>1049</v>
      </c>
      <c r="D194" s="33">
        <f>4.695+5.804</f>
        <v>10.499000000000001</v>
      </c>
      <c r="E194" s="33">
        <f>(0.12*4.695+0.09*5.804)/D194</f>
        <v>0.10341556338698923</v>
      </c>
      <c r="F194" s="33">
        <f>(1.58*4.695+1.42*5.804)/D194</f>
        <v>1.491549671397276</v>
      </c>
      <c r="S194" s="18">
        <f t="shared" si="2"/>
        <v>1.08576E-2</v>
      </c>
      <c r="T194" s="3" t="s">
        <v>996</v>
      </c>
      <c r="U194" s="3" t="s">
        <v>1265</v>
      </c>
    </row>
    <row r="195" spans="1:21" x14ac:dyDescent="0.3">
      <c r="A195" s="16" t="s">
        <v>1159</v>
      </c>
      <c r="B195" s="16" t="s">
        <v>28</v>
      </c>
      <c r="C195" s="16" t="s">
        <v>45</v>
      </c>
      <c r="D195" s="3">
        <f>4+7.9+0.1+0.7+3.6+4</f>
        <v>20.3</v>
      </c>
      <c r="E195" s="33">
        <f>(1.1*4+1.04*7.9+0.73*0.1+0.8*0.7+0.74*3.6+0.71*4)/D195</f>
        <v>0.92379310344827581</v>
      </c>
      <c r="F195" s="33"/>
      <c r="K195" s="33">
        <f>(0.59*4+0.39*7.9+0.13*0.1+0.26*0.7+0.21*3.6+0.18*4)/D195</f>
        <v>0.35034482758620694</v>
      </c>
      <c r="L195" s="33">
        <f>(5.7*4+4*7.9+1.8*0.1+2.5*0.7+2.3*3.6+1.9*4)/D195</f>
        <v>3.5571428571428565</v>
      </c>
      <c r="S195" s="18">
        <f t="shared" ref="S195:S258" si="3">D195*E195/100</f>
        <v>0.18753</v>
      </c>
      <c r="T195" s="3" t="s">
        <v>1146</v>
      </c>
      <c r="U195" s="3" t="s">
        <v>1236</v>
      </c>
    </row>
    <row r="196" spans="1:21" x14ac:dyDescent="0.3">
      <c r="A196" s="16" t="s">
        <v>1160</v>
      </c>
      <c r="B196" s="16" t="s">
        <v>28</v>
      </c>
      <c r="C196" s="16" t="s">
        <v>45</v>
      </c>
      <c r="D196" s="39">
        <v>36.29</v>
      </c>
      <c r="E196" s="33">
        <v>0.17</v>
      </c>
      <c r="F196" s="33"/>
      <c r="K196" s="33"/>
      <c r="L196" s="33"/>
      <c r="N196" s="3">
        <v>1.7999999999999999E-2</v>
      </c>
      <c r="S196" s="18">
        <f t="shared" si="3"/>
        <v>6.1693000000000005E-2</v>
      </c>
      <c r="T196" s="3" t="s">
        <v>1161</v>
      </c>
      <c r="U196" s="3" t="s">
        <v>1321</v>
      </c>
    </row>
    <row r="197" spans="1:21" x14ac:dyDescent="0.3">
      <c r="A197" s="16" t="s">
        <v>1145</v>
      </c>
      <c r="B197" s="16" t="s">
        <v>28</v>
      </c>
      <c r="C197" s="16" t="s">
        <v>45</v>
      </c>
      <c r="D197" s="37">
        <f>17+53+31+26+36+25+102+216+36+1568+711+32</f>
        <v>2853</v>
      </c>
      <c r="E197" s="33">
        <f>(0.01*17+0.03*53+0.05*31+0.26*26+0.23*36+0.28*25+0.2*102+0.24*216+0.39*36+0.14*1568+0.17*711+0.32*32)/D197</f>
        <v>0.16202593760953385</v>
      </c>
      <c r="F197" s="33"/>
      <c r="K197" s="33">
        <f>(1.93*17+2.36*53+2.94*31+1.43*26+1.44*36+2.38*25+1.49*102+1.72*216+2.34*36+1.36*1568+1.65*711+1.94*32)/D197</f>
        <v>1.5327725201542237</v>
      </c>
      <c r="L197" s="33">
        <f>(0.31*17+0.33*53+0.52*31+0.17*26+0.21*36+0.52*25+0.19*102+0.22*216+0.41*36+0.16*1568+0.21*711+0.38*32)/D197</f>
        <v>0.19553803014370838</v>
      </c>
      <c r="N197" s="18">
        <f>(0.008*17+0.017*53+0.025*31+0.01*26+0.019*36+0.026*25+0.01*102+0.019*216+0.029*36+0.02*1568+0.023*711+0.026*32)/D197</f>
        <v>2.0371188222923237E-2</v>
      </c>
      <c r="S197" s="18">
        <f t="shared" si="3"/>
        <v>4.6226000000000003</v>
      </c>
      <c r="T197" s="3" t="s">
        <v>1149</v>
      </c>
      <c r="U197" s="3" t="s">
        <v>1205</v>
      </c>
    </row>
    <row r="198" spans="1:21" x14ac:dyDescent="0.3">
      <c r="A198" s="16" t="s">
        <v>957</v>
      </c>
      <c r="B198" s="16" t="s">
        <v>28</v>
      </c>
      <c r="C198" s="16" t="s">
        <v>45</v>
      </c>
      <c r="D198" s="33">
        <f>43.968+12.895</f>
        <v>56.863</v>
      </c>
      <c r="E198" s="33">
        <f>(0.41*43.968+0.38*12.895)/D198</f>
        <v>0.4031968063591439</v>
      </c>
      <c r="S198" s="18">
        <f t="shared" si="3"/>
        <v>0.2292698</v>
      </c>
      <c r="T198" s="3" t="s">
        <v>149</v>
      </c>
      <c r="U198" s="3" t="s">
        <v>1205</v>
      </c>
    </row>
    <row r="199" spans="1:21" x14ac:dyDescent="0.3">
      <c r="A199" s="16" t="s">
        <v>807</v>
      </c>
      <c r="B199" s="16" t="s">
        <v>28</v>
      </c>
      <c r="C199" s="16" t="s">
        <v>808</v>
      </c>
      <c r="D199" s="3">
        <v>2.91</v>
      </c>
      <c r="E199" s="3">
        <v>1.6</v>
      </c>
      <c r="J199" s="3">
        <v>0.26</v>
      </c>
      <c r="K199" s="3">
        <v>6.9</v>
      </c>
      <c r="L199" s="3">
        <v>0.4</v>
      </c>
      <c r="S199" s="18">
        <f t="shared" si="3"/>
        <v>4.6560000000000004E-2</v>
      </c>
      <c r="T199" s="3" t="s">
        <v>809</v>
      </c>
      <c r="U199" s="3" t="s">
        <v>1205</v>
      </c>
    </row>
    <row r="200" spans="1:21" x14ac:dyDescent="0.3">
      <c r="A200" s="16" t="s">
        <v>459</v>
      </c>
      <c r="B200" s="16" t="s">
        <v>28</v>
      </c>
      <c r="C200" s="16" t="s">
        <v>808</v>
      </c>
      <c r="D200" s="33">
        <f>0.181+0.265+1.441</f>
        <v>1.887</v>
      </c>
      <c r="E200" s="33">
        <f>(5.07*0.181+5.93*0.265+6.76*1.441)/D200</f>
        <v>6.4813354531001588</v>
      </c>
      <c r="S200" s="18">
        <f t="shared" si="3"/>
        <v>0.1223028</v>
      </c>
      <c r="T200" s="54" t="s">
        <v>1266</v>
      </c>
      <c r="U200" s="3" t="s">
        <v>1250</v>
      </c>
    </row>
    <row r="201" spans="1:21" x14ac:dyDescent="0.3">
      <c r="A201" s="16" t="s">
        <v>697</v>
      </c>
      <c r="B201" s="16" t="s">
        <v>28</v>
      </c>
      <c r="C201" s="16" t="s">
        <v>1049</v>
      </c>
      <c r="D201" s="3">
        <v>0.7</v>
      </c>
      <c r="E201" s="3">
        <v>0.96</v>
      </c>
      <c r="F201" s="3">
        <v>0.55000000000000004</v>
      </c>
      <c r="Q201" s="3">
        <v>6.3</v>
      </c>
      <c r="S201" s="18">
        <f t="shared" si="3"/>
        <v>6.7199999999999994E-3</v>
      </c>
      <c r="T201" s="3" t="s">
        <v>698</v>
      </c>
      <c r="U201" s="3" t="s">
        <v>1222</v>
      </c>
    </row>
    <row r="202" spans="1:21" x14ac:dyDescent="0.3">
      <c r="A202" s="16" t="s">
        <v>101</v>
      </c>
      <c r="B202" s="16" t="s">
        <v>28</v>
      </c>
      <c r="C202" s="16" t="s">
        <v>808</v>
      </c>
      <c r="D202" s="3">
        <f>2.1+0.5+0.2+0.1+0.4</f>
        <v>3.3000000000000003</v>
      </c>
      <c r="E202" s="33">
        <f>(2.89*2.1+2.97*0.5+2.4*0.2+2.7*0.1+3.1*0.4)/D202</f>
        <v>2.8921212121212121</v>
      </c>
      <c r="J202" s="33">
        <f>(4.8*2.1+2.5*0.5+5.5*0.2+3.2*0.1+6.7*0.4)/D202</f>
        <v>4.6757575757575749</v>
      </c>
      <c r="S202" s="18">
        <f t="shared" si="3"/>
        <v>9.5440000000000011E-2</v>
      </c>
      <c r="T202" s="3" t="s">
        <v>108</v>
      </c>
      <c r="U202" s="3" t="s">
        <v>1206</v>
      </c>
    </row>
    <row r="203" spans="1:21" x14ac:dyDescent="0.3">
      <c r="A203" s="16" t="s">
        <v>504</v>
      </c>
      <c r="B203" s="16" t="s">
        <v>28</v>
      </c>
      <c r="C203" s="16" t="s">
        <v>1049</v>
      </c>
      <c r="D203" s="35">
        <v>21.569999999999997</v>
      </c>
      <c r="E203" s="33">
        <v>0.9786314325452018</v>
      </c>
      <c r="F203" s="33">
        <v>1.3883834028743627</v>
      </c>
      <c r="S203" s="18">
        <f t="shared" si="3"/>
        <v>0.2110908</v>
      </c>
      <c r="T203" s="3" t="s">
        <v>790</v>
      </c>
      <c r="U203" s="3" t="s">
        <v>1236</v>
      </c>
    </row>
    <row r="204" spans="1:21" x14ac:dyDescent="0.3">
      <c r="A204" s="16" t="s">
        <v>1162</v>
      </c>
      <c r="B204" s="16" t="s">
        <v>28</v>
      </c>
      <c r="C204" s="16" t="s">
        <v>1049</v>
      </c>
      <c r="D204" s="35">
        <f>8.3+7+3.4+1.3+14.7+9.5</f>
        <v>44.2</v>
      </c>
      <c r="E204" s="33">
        <f>(0.93*8.3+1.17*7+0.71*3.4+1.19*1.3+1.23*14.7+0.75*9.5)/D204</f>
        <v>1.0198190045248867</v>
      </c>
      <c r="F204" s="33">
        <f>(0.71*8.3+0.7*7+0.59*3.4+0.64*1.3+0.71*14.7+0.65*9.5)/D204</f>
        <v>0.6842307692307692</v>
      </c>
      <c r="G204" s="33">
        <f>(1.57*8.3+1.74*7+1.2*3.4+1.73*1.3+1.88*14.7+0*9.5)/D204</f>
        <v>1.3388235294117647</v>
      </c>
      <c r="H204" s="33">
        <f>(0.24*8.3+0.32*7+0.15*3.4+0.36*1.3+0.31*14.7+0*9.5)/D204</f>
        <v>0.22097285067873301</v>
      </c>
      <c r="M204" s="18">
        <f>(0.08*8.3+0.08*7+0.07*3.4+0.08*1.3+0.08*14.7+0*9.5)/D204</f>
        <v>6.2036199095022622E-2</v>
      </c>
      <c r="S204" s="18">
        <f t="shared" si="3"/>
        <v>0.45075999999999994</v>
      </c>
      <c r="T204" s="3" t="s">
        <v>1163</v>
      </c>
      <c r="U204" s="3" t="s">
        <v>1269</v>
      </c>
    </row>
    <row r="205" spans="1:21" x14ac:dyDescent="0.3">
      <c r="A205" s="16" t="s">
        <v>568</v>
      </c>
      <c r="B205" s="16" t="s">
        <v>28</v>
      </c>
      <c r="C205" s="16" t="s">
        <v>1049</v>
      </c>
      <c r="D205" s="3">
        <f>6.85+1.8</f>
        <v>8.65</v>
      </c>
      <c r="E205" s="33">
        <f>(6.85*0.62+1.8*0.3)/(6.85+1.8)</f>
        <v>0.55341040462427737</v>
      </c>
      <c r="F205" s="33">
        <f>(6.85*1.89+1.8*1.7)/(6.85+1.8)</f>
        <v>1.8504624277456645</v>
      </c>
      <c r="G205" s="33">
        <f>(6.85*0.19+1.8*0.1)/(6.85+1.8)</f>
        <v>0.17127167630057802</v>
      </c>
      <c r="H205" s="33">
        <f>(6.85*0.13+1.8*0.2)/(6.85+1.8)</f>
        <v>0.1445664739884393</v>
      </c>
      <c r="M205" s="18">
        <f>(6.85*0.06+1.8*0.1)/(6.85+1.8)</f>
        <v>6.8323699421965312E-2</v>
      </c>
      <c r="S205" s="18">
        <f t="shared" si="3"/>
        <v>4.7869999999999996E-2</v>
      </c>
      <c r="T205" s="3" t="s">
        <v>27</v>
      </c>
      <c r="U205" s="3" t="s">
        <v>1205</v>
      </c>
    </row>
    <row r="206" spans="1:21" x14ac:dyDescent="0.3">
      <c r="A206" s="16" t="s">
        <v>1150</v>
      </c>
      <c r="B206" s="16" t="s">
        <v>28</v>
      </c>
      <c r="C206" s="16" t="s">
        <v>808</v>
      </c>
      <c r="D206" s="33">
        <f>3.571+5.361</f>
        <v>8.9320000000000004</v>
      </c>
      <c r="E206" s="33">
        <f>(1.57*3.571+1.48*5.361)/D206</f>
        <v>1.5159818629646213</v>
      </c>
      <c r="L206" s="33">
        <f>(0.61*3.571+0.53*5.361)/D206</f>
        <v>0.56198387819077478</v>
      </c>
      <c r="M206" s="33">
        <f>(0.1*3.571+0.08*5.361)/D206</f>
        <v>8.7995969547693689E-2</v>
      </c>
      <c r="S206" s="18">
        <f t="shared" si="3"/>
        <v>0.13540749999999999</v>
      </c>
      <c r="T206" s="3" t="s">
        <v>1151</v>
      </c>
      <c r="U206" s="3" t="s">
        <v>1270</v>
      </c>
    </row>
    <row r="207" spans="1:21" x14ac:dyDescent="0.3">
      <c r="A207" s="16" t="s">
        <v>180</v>
      </c>
      <c r="B207" s="16" t="s">
        <v>28</v>
      </c>
      <c r="C207" s="16" t="s">
        <v>45</v>
      </c>
      <c r="D207" s="36">
        <f>4.7+781+357.7</f>
        <v>1143.4000000000001</v>
      </c>
      <c r="E207" s="33">
        <f>(0.52*4.7+0.52*781+0.36*357.7)/D207</f>
        <v>0.46994577575651564</v>
      </c>
      <c r="S207" s="18">
        <f t="shared" si="3"/>
        <v>5.3733599999999999</v>
      </c>
      <c r="T207" s="3" t="s">
        <v>183</v>
      </c>
      <c r="U207" s="3" t="s">
        <v>1265</v>
      </c>
    </row>
    <row r="208" spans="1:21" x14ac:dyDescent="0.3">
      <c r="A208" s="16" t="s">
        <v>443</v>
      </c>
      <c r="B208" s="16" t="s">
        <v>28</v>
      </c>
      <c r="C208" s="16" t="s">
        <v>45</v>
      </c>
      <c r="D208" s="3">
        <v>950</v>
      </c>
      <c r="E208" s="3">
        <v>0.3</v>
      </c>
      <c r="N208" s="3">
        <v>8.0000000000000002E-3</v>
      </c>
      <c r="S208" s="18">
        <f t="shared" si="3"/>
        <v>2.85</v>
      </c>
      <c r="T208" s="3" t="s">
        <v>437</v>
      </c>
      <c r="U208" s="3" t="s">
        <v>1205</v>
      </c>
    </row>
    <row r="209" spans="1:21" x14ac:dyDescent="0.3">
      <c r="A209" s="16" t="s">
        <v>1043</v>
      </c>
      <c r="B209" s="16" t="s">
        <v>28</v>
      </c>
      <c r="C209" s="16" t="s">
        <v>45</v>
      </c>
      <c r="D209" s="3">
        <f>133.4+159.9+64</f>
        <v>357.3</v>
      </c>
      <c r="E209" s="18">
        <f>(0.274*133.4+0.208*159.9+0.183*64)/D209</f>
        <v>0.22816344808284356</v>
      </c>
      <c r="L209" s="18">
        <f>(0.312*133.4+0.255*159.9+0.238*64)/D209</f>
        <v>0.27323621606493143</v>
      </c>
      <c r="S209" s="18">
        <f t="shared" si="3"/>
        <v>0.81522800000000006</v>
      </c>
      <c r="T209" s="3" t="s">
        <v>1044</v>
      </c>
      <c r="U209" s="3" t="s">
        <v>1205</v>
      </c>
    </row>
    <row r="210" spans="1:21" x14ac:dyDescent="0.3">
      <c r="A210" s="16" t="s">
        <v>1154</v>
      </c>
      <c r="B210" s="16" t="s">
        <v>28</v>
      </c>
      <c r="C210" s="16" t="s">
        <v>808</v>
      </c>
      <c r="D210" s="3">
        <v>1.5</v>
      </c>
      <c r="E210" s="3">
        <v>0.1</v>
      </c>
      <c r="F210" s="33"/>
      <c r="I210" s="3">
        <v>3.1</v>
      </c>
      <c r="J210" s="3">
        <v>6.4</v>
      </c>
      <c r="K210" s="3">
        <v>90</v>
      </c>
      <c r="L210" s="3">
        <v>2</v>
      </c>
      <c r="S210" s="18">
        <f t="shared" si="3"/>
        <v>1.5000000000000002E-3</v>
      </c>
      <c r="T210" s="3" t="s">
        <v>1271</v>
      </c>
      <c r="U210" s="3" t="s">
        <v>1344</v>
      </c>
    </row>
    <row r="211" spans="1:21" x14ac:dyDescent="0.3">
      <c r="A211" s="16" t="s">
        <v>1027</v>
      </c>
      <c r="B211" s="16" t="s">
        <v>28</v>
      </c>
      <c r="C211" s="16" t="s">
        <v>808</v>
      </c>
      <c r="D211" s="33">
        <f>26.459+17.176+5.856+10.128</f>
        <v>59.619</v>
      </c>
      <c r="E211" s="33">
        <f>(0.41*26.459+0.24*17.176+0.3*5.856+0.2*10.128)/D211</f>
        <v>0.31454452439658498</v>
      </c>
      <c r="I211" s="33">
        <f>(0.6*26.459+0.55*17.176+0.48*5.856+0.46*10.128)/D211</f>
        <v>0.55002532749626798</v>
      </c>
      <c r="J211" s="33">
        <f>(4.43*26.459+3.71*17.176+3.88*5.856+3.33*10.128)/D211</f>
        <v>3.9816811754641974</v>
      </c>
      <c r="K211" s="35">
        <f>(126.53*26.459+132.16*17.176+103.06*5.856+114.97*10.128)/D211</f>
        <v>123.88287207098408</v>
      </c>
      <c r="L211" s="33">
        <f>(0.29*26.459+0.23*17.176+0.21*5.856+0.27*10.128)/D211</f>
        <v>0.26145876314597699</v>
      </c>
      <c r="S211" s="18">
        <f t="shared" si="3"/>
        <v>0.18752829999999998</v>
      </c>
      <c r="T211" s="3" t="s">
        <v>1345</v>
      </c>
      <c r="U211" s="3" t="s">
        <v>1206</v>
      </c>
    </row>
    <row r="212" spans="1:21" x14ac:dyDescent="0.3">
      <c r="A212" s="16" t="s">
        <v>947</v>
      </c>
      <c r="B212" s="16" t="s">
        <v>28</v>
      </c>
      <c r="C212" s="16" t="s">
        <v>808</v>
      </c>
      <c r="D212" s="33">
        <f>6.2621+7.0782</f>
        <v>13.340299999999999</v>
      </c>
      <c r="E212" s="33">
        <f>(0.22*6.2621+0.14*7.0782)/D212</f>
        <v>0.17755297856869789</v>
      </c>
      <c r="I212" s="33">
        <f>(2.58*6.2621+1.83*7.0782)/D212</f>
        <v>2.1820591740815427</v>
      </c>
      <c r="J212" s="33">
        <f>(8.13*6.2621+6.69*7.0782)/D212</f>
        <v>7.3659536142365631</v>
      </c>
      <c r="K212" s="35">
        <f>(30.78*6.2621+20.51*7.0782)/D212</f>
        <v>25.330863623756592</v>
      </c>
      <c r="S212" s="18">
        <f t="shared" si="3"/>
        <v>2.3686100000000002E-2</v>
      </c>
      <c r="T212" s="3" t="s">
        <v>946</v>
      </c>
      <c r="U212" s="3" t="s">
        <v>1270</v>
      </c>
    </row>
    <row r="213" spans="1:21" x14ac:dyDescent="0.3">
      <c r="A213" s="16" t="s">
        <v>463</v>
      </c>
      <c r="B213" s="16" t="s">
        <v>28</v>
      </c>
      <c r="C213" s="16" t="s">
        <v>808</v>
      </c>
      <c r="D213" s="36">
        <f>146.4024+847.302+231.239</f>
        <v>1224.9434000000001</v>
      </c>
      <c r="E213" s="33">
        <f>(0.24*146.4024+0.23*847.302+0.22*231.239)/(146.4024+847.302+231.239)</f>
        <v>0.22930742432670764</v>
      </c>
      <c r="K213" s="33">
        <f>(1.04*146.4024+0.91*847.302+1.09*231.239)/(146.4024+847.302+231.239)</f>
        <v>0.95951684461502462</v>
      </c>
      <c r="L213" s="33">
        <f>(0.029*146.4024+0.026*847.302+0.027*231.239)/(146.4024+847.302+231.239)</f>
        <v>2.6547328309210038E-2</v>
      </c>
      <c r="S213" s="18">
        <f t="shared" si="3"/>
        <v>2.8088861600000001</v>
      </c>
      <c r="T213" s="3" t="s">
        <v>464</v>
      </c>
      <c r="U213" s="3" t="s">
        <v>1272</v>
      </c>
    </row>
    <row r="214" spans="1:21" x14ac:dyDescent="0.3">
      <c r="A214" s="16" t="s">
        <v>456</v>
      </c>
      <c r="B214" s="16" t="s">
        <v>28</v>
      </c>
      <c r="C214" s="16" t="s">
        <v>1049</v>
      </c>
      <c r="D214" s="33">
        <f>1.688538+0.377394</f>
        <v>2.0659320000000001</v>
      </c>
      <c r="E214" s="33">
        <f>(0.11*1.688538+0.08*0.377394)/(1.688538+0.377394)</f>
        <v>0.10451975186017738</v>
      </c>
      <c r="F214" s="33">
        <f>(1.32*1.688538+1.15*0.377394)/(1.688538+0.377394)</f>
        <v>1.2889452605410052</v>
      </c>
      <c r="S214" s="18">
        <f t="shared" si="3"/>
        <v>2.1593069999999996E-3</v>
      </c>
      <c r="T214" s="3" t="s">
        <v>441</v>
      </c>
      <c r="U214" s="3" t="s">
        <v>1272</v>
      </c>
    </row>
    <row r="215" spans="1:21" x14ac:dyDescent="0.3">
      <c r="A215" s="16" t="s">
        <v>548</v>
      </c>
      <c r="B215" s="16" t="s">
        <v>28</v>
      </c>
      <c r="C215" s="16" t="s">
        <v>808</v>
      </c>
      <c r="D215" s="3">
        <v>17.2</v>
      </c>
      <c r="E215" s="33">
        <v>2.2999999999999998</v>
      </c>
      <c r="I215" s="3">
        <v>0.3</v>
      </c>
      <c r="J215" s="3">
        <v>3.4</v>
      </c>
      <c r="K215" s="3">
        <v>70</v>
      </c>
      <c r="L215" s="3">
        <v>1</v>
      </c>
      <c r="S215" s="18">
        <f t="shared" si="3"/>
        <v>0.39559999999999995</v>
      </c>
      <c r="T215" s="3" t="s">
        <v>366</v>
      </c>
      <c r="U215" s="3" t="s">
        <v>1205</v>
      </c>
    </row>
    <row r="216" spans="1:21" x14ac:dyDescent="0.3">
      <c r="A216" s="16" t="s">
        <v>99</v>
      </c>
      <c r="B216" s="16" t="s">
        <v>28</v>
      </c>
      <c r="C216" s="16" t="s">
        <v>45</v>
      </c>
      <c r="D216" s="3">
        <f>378.3+245.4+50.8</f>
        <v>674.5</v>
      </c>
      <c r="E216" s="33">
        <f>(0.32*378.3+0.28*245.4+0.2*50.8)/D216</f>
        <v>0.29640919199406973</v>
      </c>
      <c r="S216" s="18">
        <f t="shared" si="3"/>
        <v>1.9992800000000002</v>
      </c>
      <c r="T216" s="3" t="s">
        <v>108</v>
      </c>
      <c r="U216" s="3" t="s">
        <v>1206</v>
      </c>
    </row>
    <row r="217" spans="1:21" x14ac:dyDescent="0.3">
      <c r="A217" s="16" t="s">
        <v>150</v>
      </c>
      <c r="B217" s="16" t="s">
        <v>28</v>
      </c>
      <c r="C217" s="16" t="s">
        <v>45</v>
      </c>
      <c r="D217" s="3">
        <v>11.75</v>
      </c>
      <c r="E217" s="3">
        <v>0.35899999999999999</v>
      </c>
      <c r="S217" s="18">
        <f t="shared" si="3"/>
        <v>4.2182499999999991E-2</v>
      </c>
      <c r="T217" s="3" t="s">
        <v>149</v>
      </c>
      <c r="U217" s="3" t="s">
        <v>1206</v>
      </c>
    </row>
    <row r="218" spans="1:21" x14ac:dyDescent="0.3">
      <c r="A218" s="16" t="s">
        <v>911</v>
      </c>
      <c r="B218" s="16" t="s">
        <v>28</v>
      </c>
      <c r="C218" s="16" t="s">
        <v>808</v>
      </c>
      <c r="D218" s="33">
        <f>4.516+8.307+0.081+0.449+0.409+0.036</f>
        <v>13.798</v>
      </c>
      <c r="E218" s="33">
        <f>(2.87*4.516+1.78*8.307+0.68*0.081+1.09*0.449+2.1*0.409+2.18*0.036)/D218</f>
        <v>2.1183686041455281</v>
      </c>
      <c r="J218" s="33">
        <f>(4.44*4.516+4.24*8.307+4.89*0.081+3.31*0.449+3.53*0.409+1.43*0.036)/D218</f>
        <v>4.2506341498767943</v>
      </c>
      <c r="K218" s="33">
        <f>(29.38*4.516+27.31*8.307+26.52*0.081+21.48*0.449+9.66*0.409+1.01*0.036)/D218</f>
        <v>27.20134729670967</v>
      </c>
      <c r="L218" s="33">
        <f>(2.27*4.516+1.79*8.307+1.61*0.081+1.44*0.449+2.06*0.409+1.17*0.036)/D218</f>
        <v>1.9410407305406583</v>
      </c>
      <c r="S218" s="18">
        <f t="shared" si="3"/>
        <v>0.29229249999999996</v>
      </c>
      <c r="T218" s="3" t="s">
        <v>925</v>
      </c>
      <c r="U218" s="3" t="s">
        <v>1206</v>
      </c>
    </row>
    <row r="219" spans="1:21" x14ac:dyDescent="0.3">
      <c r="A219" s="16" t="s">
        <v>912</v>
      </c>
      <c r="B219" s="16" t="s">
        <v>28</v>
      </c>
      <c r="C219" s="16" t="s">
        <v>808</v>
      </c>
      <c r="D219" s="33">
        <f>0.164+0.056+0.092+10.525</f>
        <v>10.837</v>
      </c>
      <c r="E219" s="33">
        <f>(0*0.164+0*0.056+1.72*0.092+0.64*10.525)/D219</f>
        <v>0.63617606348620481</v>
      </c>
      <c r="J219" s="33">
        <f>(8.77*0.164+10.6*0.056+3.67*0.092+8.31*10.525)/D219</f>
        <v>8.2894038940666253</v>
      </c>
      <c r="K219" s="33">
        <f>(0*0.164+0*0.056+31.56*0.092+21*10.525)/D219</f>
        <v>20.663331180215927</v>
      </c>
      <c r="L219" s="33">
        <f>(0*0.164+0*0.056+2.41*0.092+1.55*10.525)/D219</f>
        <v>1.5258346405831875</v>
      </c>
      <c r="S219" s="18">
        <f t="shared" si="3"/>
        <v>6.8942400000000015E-2</v>
      </c>
      <c r="T219" s="3" t="s">
        <v>925</v>
      </c>
      <c r="U219" s="3" t="s">
        <v>1206</v>
      </c>
    </row>
    <row r="220" spans="1:21" x14ac:dyDescent="0.3">
      <c r="A220" s="16" t="s">
        <v>910</v>
      </c>
      <c r="B220" s="16" t="s">
        <v>28</v>
      </c>
      <c r="C220" s="16" t="s">
        <v>1051</v>
      </c>
      <c r="D220" s="3">
        <f>2.55+0.17</f>
        <v>2.7199999999999998</v>
      </c>
      <c r="E220" s="33">
        <f>(4.52*2.55+4.26*0.17)/D220</f>
        <v>4.5037499999999993</v>
      </c>
      <c r="J220" s="33">
        <f>(0.91*2.55+0.52*0.17)/D220</f>
        <v>0.88562500000000011</v>
      </c>
      <c r="K220" s="33">
        <f>(7.86*2.55+4.55*0.17)/D220</f>
        <v>7.6531250000000002</v>
      </c>
      <c r="L220" s="33">
        <f>(0.64*2.55+0.38*0.17)/D220</f>
        <v>0.62375000000000003</v>
      </c>
      <c r="S220" s="18">
        <f t="shared" si="3"/>
        <v>0.12250199999999996</v>
      </c>
      <c r="T220" s="3" t="s">
        <v>925</v>
      </c>
      <c r="U220" s="3" t="s">
        <v>1206</v>
      </c>
    </row>
    <row r="221" spans="1:21" x14ac:dyDescent="0.3">
      <c r="A221" s="16" t="s">
        <v>1152</v>
      </c>
      <c r="B221" s="16" t="s">
        <v>28</v>
      </c>
      <c r="C221" s="16" t="s">
        <v>808</v>
      </c>
      <c r="D221" s="3">
        <v>4.5</v>
      </c>
      <c r="E221" s="3">
        <v>1.48</v>
      </c>
      <c r="F221" s="33"/>
      <c r="S221" s="18">
        <f t="shared" si="3"/>
        <v>6.6600000000000006E-2</v>
      </c>
      <c r="T221" s="3" t="s">
        <v>1146</v>
      </c>
      <c r="U221" s="3" t="s">
        <v>1236</v>
      </c>
    </row>
    <row r="222" spans="1:21" x14ac:dyDescent="0.3">
      <c r="A222" s="16" t="s">
        <v>549</v>
      </c>
      <c r="B222" s="16" t="s">
        <v>28</v>
      </c>
      <c r="C222" s="16" t="s">
        <v>808</v>
      </c>
      <c r="D222" s="3">
        <v>14.8</v>
      </c>
      <c r="E222" s="33">
        <v>2.5</v>
      </c>
      <c r="I222" s="3">
        <v>1.3</v>
      </c>
      <c r="J222" s="3">
        <v>12.8</v>
      </c>
      <c r="K222" s="3">
        <v>71</v>
      </c>
      <c r="S222" s="18">
        <f t="shared" si="3"/>
        <v>0.37</v>
      </c>
      <c r="T222" s="3" t="s">
        <v>366</v>
      </c>
      <c r="U222" s="3" t="s">
        <v>1205</v>
      </c>
    </row>
    <row r="223" spans="1:21" x14ac:dyDescent="0.3">
      <c r="A223" s="16" t="s">
        <v>1023</v>
      </c>
      <c r="B223" s="16" t="s">
        <v>28</v>
      </c>
      <c r="C223" s="16" t="s">
        <v>1069</v>
      </c>
      <c r="D223" s="3">
        <f>2.27*2</f>
        <v>4.54</v>
      </c>
      <c r="E223" s="33">
        <v>1.03</v>
      </c>
      <c r="K223" s="3">
        <v>18.5</v>
      </c>
      <c r="S223" s="18">
        <f t="shared" si="3"/>
        <v>4.6762000000000005E-2</v>
      </c>
      <c r="T223" s="3" t="s">
        <v>1024</v>
      </c>
      <c r="U223" s="3" t="s">
        <v>1206</v>
      </c>
    </row>
    <row r="224" spans="1:21" x14ac:dyDescent="0.3">
      <c r="A224" s="16" t="s">
        <v>445</v>
      </c>
      <c r="B224" s="16" t="s">
        <v>28</v>
      </c>
      <c r="C224" s="16" t="s">
        <v>45</v>
      </c>
      <c r="D224" s="33">
        <v>3.4950000000000001</v>
      </c>
      <c r="E224" s="3">
        <v>0.12</v>
      </c>
      <c r="L224" s="3">
        <v>0.24</v>
      </c>
      <c r="S224" s="18">
        <f t="shared" si="3"/>
        <v>4.1939999999999998E-3</v>
      </c>
      <c r="T224" s="3" t="s">
        <v>438</v>
      </c>
      <c r="U224" s="3" t="s">
        <v>1205</v>
      </c>
    </row>
    <row r="225" spans="1:21" x14ac:dyDescent="0.3">
      <c r="A225" s="16" t="s">
        <v>446</v>
      </c>
      <c r="B225" s="16" t="s">
        <v>28</v>
      </c>
      <c r="C225" s="16" t="s">
        <v>45</v>
      </c>
      <c r="D225" s="3">
        <f>136.5+6</f>
        <v>142.5</v>
      </c>
      <c r="E225" s="33">
        <f>(0.29*136.5+0.22*6)/(136.5+6)</f>
        <v>0.28705263157894734</v>
      </c>
      <c r="L225" s="33">
        <f>(0.56*136.5+0.42*6)/(136.5+6)</f>
        <v>0.55410526315789477</v>
      </c>
      <c r="S225" s="18">
        <f t="shared" si="3"/>
        <v>0.40904999999999991</v>
      </c>
      <c r="T225" s="3" t="s">
        <v>438</v>
      </c>
      <c r="U225" s="3" t="s">
        <v>1205</v>
      </c>
    </row>
    <row r="226" spans="1:21" x14ac:dyDescent="0.3">
      <c r="A226" s="16" t="s">
        <v>982</v>
      </c>
      <c r="B226" s="16" t="s">
        <v>28</v>
      </c>
      <c r="C226" s="16" t="s">
        <v>1049</v>
      </c>
      <c r="D226" s="33">
        <f>3.546+3.593+0.118</f>
        <v>7.2569999999999997</v>
      </c>
      <c r="E226" s="33">
        <f>(0.24*3.546+0.42*3.593+0.88*0.118)/D226</f>
        <v>0.33952597492076614</v>
      </c>
      <c r="F226" s="33">
        <f>(0.45*3.546+0.79*3.593+1.38*0.118)/D226</f>
        <v>0.63345872950254933</v>
      </c>
      <c r="M226" s="18">
        <f>(0.015*3.546+0.018*3.593+0.003*0.118)/D226</f>
        <v>1.6290202563042578E-2</v>
      </c>
      <c r="S226" s="18">
        <f t="shared" si="3"/>
        <v>2.4639399999999995E-2</v>
      </c>
      <c r="T226" s="3" t="s">
        <v>983</v>
      </c>
      <c r="U226" s="3" t="s">
        <v>1267</v>
      </c>
    </row>
    <row r="227" spans="1:21" x14ac:dyDescent="0.3">
      <c r="A227" s="16" t="s">
        <v>1139</v>
      </c>
      <c r="B227" s="16" t="s">
        <v>28</v>
      </c>
      <c r="C227" s="16" t="s">
        <v>808</v>
      </c>
      <c r="D227" s="3">
        <f>20.6+2.3+4.5</f>
        <v>27.400000000000002</v>
      </c>
      <c r="E227" s="33">
        <f>(2.12*20.6+1.55*2.3+1.7*4.5)/(20.6+2.3+4.5)</f>
        <v>2.0031751824817516</v>
      </c>
      <c r="I227" s="33">
        <f>(0.17*20.6+0.14*2.3+0.1*4.5)/(20.6+2.3+4.5)</f>
        <v>0.15598540145985404</v>
      </c>
      <c r="J227" s="33">
        <f>(4.76*20.6+5.36*2.3+6.3*4.5)/(20.6+2.3+4.5)</f>
        <v>5.0632846715328466</v>
      </c>
      <c r="K227" s="35">
        <f>(57*20.6+59*2.3+57*4.5)/(20.6+2.3+4.5)</f>
        <v>57.167883211678834</v>
      </c>
      <c r="S227" s="18">
        <f t="shared" si="3"/>
        <v>0.54886999999999997</v>
      </c>
      <c r="T227" s="3" t="s">
        <v>27</v>
      </c>
      <c r="U227" s="3" t="s">
        <v>1205</v>
      </c>
    </row>
    <row r="228" spans="1:21" x14ac:dyDescent="0.3">
      <c r="A228" s="16" t="s">
        <v>460</v>
      </c>
      <c r="B228" s="16" t="s">
        <v>28</v>
      </c>
      <c r="C228" s="16" t="s">
        <v>1052</v>
      </c>
      <c r="D228" s="36">
        <f>677.6+1069.5+199.3+241.2+361.7+551+160.5+91.5+297.3</f>
        <v>3649.6</v>
      </c>
      <c r="E228" s="33">
        <f>(0.17*677.6+0.17*1069.5+0.26*199.3+0.47*241.2+0.21*361.7+0.14*551+0.16*160.5+0.3*91.5+0.2*297.3)/D228</f>
        <v>0.19943993862341078</v>
      </c>
      <c r="K228" s="33">
        <f>(3.2*677.6+3.2*1069.5+0.7*199.3+1.2*241.2+5.4*361.7+3.1*551+1.1*160.5+0.7*91.5+3.9*297.3)/D228</f>
        <v>3.0362286277948267</v>
      </c>
      <c r="L228" s="33">
        <f>(0.64*677.6+0.59*1069.5+0.63*199.3+0.25*241.2+0.44*361.7+0.43*551+0.53*160.5+0.23*91.5+0.36*297.3)/D228</f>
        <v>0.50957474791758006</v>
      </c>
      <c r="N228" s="38">
        <f>(0.0058*677.6+0.006*1069.5+0.0059*199.3+0*241.2+0.0047*361.7+0.0047*551+0.0034*160.5+0*91.5+0.006*297.3)/D228</f>
        <v>4.9709940815431822E-3</v>
      </c>
      <c r="O228" s="38"/>
      <c r="P228" s="38"/>
      <c r="S228" s="18">
        <f t="shared" si="3"/>
        <v>7.2787600000000001</v>
      </c>
      <c r="T228" s="3" t="s">
        <v>461</v>
      </c>
      <c r="U228" s="3" t="s">
        <v>1236</v>
      </c>
    </row>
    <row r="229" spans="1:21" x14ac:dyDescent="0.3">
      <c r="A229" s="16" t="s">
        <v>1153</v>
      </c>
      <c r="B229" s="16" t="s">
        <v>28</v>
      </c>
      <c r="C229" s="16" t="s">
        <v>808</v>
      </c>
      <c r="D229" s="3">
        <v>12.8</v>
      </c>
      <c r="E229" s="3">
        <v>0.8</v>
      </c>
      <c r="F229" s="33"/>
      <c r="I229" s="3">
        <v>1.7</v>
      </c>
      <c r="J229" s="3">
        <v>5.9</v>
      </c>
      <c r="K229" s="3">
        <v>1.38</v>
      </c>
      <c r="L229" s="3">
        <v>1.4</v>
      </c>
      <c r="S229" s="18">
        <f t="shared" si="3"/>
        <v>0.10240000000000002</v>
      </c>
      <c r="T229" s="3" t="s">
        <v>108</v>
      </c>
      <c r="U229" s="3" t="s">
        <v>1250</v>
      </c>
    </row>
    <row r="230" spans="1:21" x14ac:dyDescent="0.3">
      <c r="A230" s="16" t="s">
        <v>77</v>
      </c>
      <c r="B230" s="16" t="s">
        <v>28</v>
      </c>
      <c r="C230" s="16" t="s">
        <v>808</v>
      </c>
      <c r="D230" s="3">
        <f>11.28+1.09</f>
        <v>12.37</v>
      </c>
      <c r="E230" s="33">
        <f>(2.19*11.28+1.74*1.09)/D230</f>
        <v>2.1503476151980596</v>
      </c>
      <c r="J230" s="33">
        <f>(3.28*11.28+2.04*1.09)/D230</f>
        <v>3.1707356507679867</v>
      </c>
      <c r="K230" s="35">
        <f>(36.7*11.28+30.7*1.09)/D230</f>
        <v>36.171301535974138</v>
      </c>
      <c r="L230" s="33">
        <f>(0.39*11.28+0.35*1.09)/D230</f>
        <v>0.38647534357316088</v>
      </c>
      <c r="S230" s="18">
        <f t="shared" si="3"/>
        <v>0.26599799999999996</v>
      </c>
      <c r="T230" s="3" t="s">
        <v>75</v>
      </c>
      <c r="U230" s="3" t="s">
        <v>1236</v>
      </c>
    </row>
    <row r="231" spans="1:21" x14ac:dyDescent="0.3">
      <c r="A231" s="16" t="s">
        <v>455</v>
      </c>
      <c r="B231" s="16" t="s">
        <v>28</v>
      </c>
      <c r="C231" s="16" t="s">
        <v>1049</v>
      </c>
      <c r="D231" s="33">
        <v>35.493000000000002</v>
      </c>
      <c r="E231" s="33">
        <v>6.0935959203223165E-2</v>
      </c>
      <c r="F231" s="33">
        <v>8.1871918406446337E-2</v>
      </c>
      <c r="G231" s="33">
        <v>3.5065021271800068</v>
      </c>
      <c r="H231" s="33">
        <v>0.2684236328290085</v>
      </c>
      <c r="L231" s="33">
        <v>0.21187191840644629</v>
      </c>
      <c r="S231" s="18">
        <f t="shared" si="3"/>
        <v>2.1627999999999998E-2</v>
      </c>
      <c r="T231" s="3" t="s">
        <v>439</v>
      </c>
      <c r="U231" s="3" t="s">
        <v>1208</v>
      </c>
    </row>
    <row r="232" spans="1:21" x14ac:dyDescent="0.3">
      <c r="A232" s="16" t="s">
        <v>988</v>
      </c>
      <c r="B232" s="16" t="s">
        <v>28</v>
      </c>
      <c r="C232" s="16" t="s">
        <v>1049</v>
      </c>
      <c r="D232" s="33">
        <f>0.285918+0.513813+0.439279</f>
        <v>1.2390099999999999</v>
      </c>
      <c r="E232" s="33">
        <f>(0.77*0.285918+0.62*0.513813+0.41*0.439279)/D232</f>
        <v>0.58016102372055112</v>
      </c>
      <c r="F232" s="33">
        <f>(1.23*0.285918+1.05*0.513813+0.65*0.439279)/D232</f>
        <v>0.94972126132960999</v>
      </c>
      <c r="G232" s="33"/>
      <c r="H232" s="33"/>
      <c r="L232" s="33"/>
      <c r="M232" s="18">
        <v>2.8899999999999999E-2</v>
      </c>
      <c r="S232" s="18">
        <f t="shared" si="3"/>
        <v>7.1882531000000008E-3</v>
      </c>
      <c r="T232" s="3" t="s">
        <v>989</v>
      </c>
      <c r="U232" s="3" t="s">
        <v>1267</v>
      </c>
    </row>
    <row r="233" spans="1:21" x14ac:dyDescent="0.3">
      <c r="A233" s="16" t="s">
        <v>146</v>
      </c>
      <c r="B233" s="16" t="s">
        <v>28</v>
      </c>
      <c r="C233" s="16" t="s">
        <v>808</v>
      </c>
      <c r="D233" s="3">
        <f>12.3+5</f>
        <v>17.3</v>
      </c>
      <c r="E233" s="33">
        <f>(12.3*0.66+5*0.57)/(12.3+5)</f>
        <v>0.6339884393063584</v>
      </c>
      <c r="S233" s="18">
        <f t="shared" si="3"/>
        <v>0.10968</v>
      </c>
      <c r="T233" s="3" t="s">
        <v>925</v>
      </c>
      <c r="U233" s="3" t="s">
        <v>1206</v>
      </c>
    </row>
    <row r="234" spans="1:21" x14ac:dyDescent="0.3">
      <c r="A234" s="16" t="s">
        <v>448</v>
      </c>
      <c r="B234" s="16" t="s">
        <v>28</v>
      </c>
      <c r="C234" s="16" t="s">
        <v>1051</v>
      </c>
      <c r="D234" s="33">
        <f>6.659+1.543</f>
        <v>8.202</v>
      </c>
      <c r="E234" s="33">
        <f>(0.7*6.659+0.5*1.543)/(6.659+1.543)</f>
        <v>0.66237503048037061</v>
      </c>
      <c r="J234" s="33">
        <f>(10*6.659+8*1.543)/(6.659+1.543)</f>
        <v>9.623750304803707</v>
      </c>
      <c r="K234" s="33">
        <f>(47*6.659+44*1.543)/(6.659+1.543)</f>
        <v>46.43562545720556</v>
      </c>
      <c r="L234" s="3">
        <v>0.1</v>
      </c>
      <c r="S234" s="18">
        <f t="shared" si="3"/>
        <v>5.4327999999999994E-2</v>
      </c>
      <c r="T234" s="3" t="s">
        <v>449</v>
      </c>
      <c r="U234" s="3" t="s">
        <v>1319</v>
      </c>
    </row>
    <row r="235" spans="1:21" x14ac:dyDescent="0.3">
      <c r="A235" s="16" t="s">
        <v>454</v>
      </c>
      <c r="B235" s="16" t="s">
        <v>28</v>
      </c>
      <c r="C235" s="16" t="s">
        <v>808</v>
      </c>
      <c r="D235" s="33">
        <f>4.838+29.892+6.933+11.526</f>
        <v>53.188999999999993</v>
      </c>
      <c r="E235" s="33">
        <f>(0.26*4.838+0.28*29.892+0.12*6.933+0.27*11.526)/(4.838+29.892+6.933+11.526)</f>
        <v>0.25515839741299901</v>
      </c>
      <c r="I235" s="33">
        <f>(0.32*4.838+0.07*29.892+0.13*6.933+0.05*11.526)/(4.838+29.892+6.933+11.526)</f>
        <v>9.6226475399048689E-2</v>
      </c>
      <c r="J235" s="33">
        <f>(2.78*4.838+0.9*29.892+1.36*6.933+0.48*11.526)/(4.838+29.892+6.933+11.526)</f>
        <v>1.0399481095715282</v>
      </c>
      <c r="K235" s="35">
        <f>(55.17*4.838+23.99*29.892+23.96*6.933+12.24*11.526)/(4.838+29.892+6.933+11.526)</f>
        <v>24.275967963300683</v>
      </c>
      <c r="L235" s="33">
        <f>(2.36*4.838+4.63*29.892+1.89*6.933+3.72*11.526)/(4.838+29.892+6.933+11.526)</f>
        <v>3.8691784015491923</v>
      </c>
      <c r="S235" s="18">
        <f t="shared" si="3"/>
        <v>0.13571620000000004</v>
      </c>
      <c r="T235" s="3" t="s">
        <v>442</v>
      </c>
      <c r="U235" s="3" t="s">
        <v>1320</v>
      </c>
    </row>
    <row r="236" spans="1:21" x14ac:dyDescent="0.3">
      <c r="A236" s="16" t="s">
        <v>451</v>
      </c>
      <c r="B236" s="16" t="s">
        <v>28</v>
      </c>
      <c r="C236" s="16" t="s">
        <v>1049</v>
      </c>
      <c r="D236" s="3">
        <f>1.84+0.58</f>
        <v>2.42</v>
      </c>
      <c r="E236" s="33">
        <f>(1.44*1.84+1.1*0.58)/(1.84+0.58)</f>
        <v>1.3585123966942148</v>
      </c>
      <c r="F236" s="3">
        <f>(2.33*1.84+1.88*0.58)/(1.84+0.58)</f>
        <v>2.2221487603305787</v>
      </c>
      <c r="M236" s="18">
        <f>(0.086*1.84+0.065*0.58)/(1.84+0.58)</f>
        <v>8.0966942148760337E-2</v>
      </c>
      <c r="S236" s="18">
        <f t="shared" si="3"/>
        <v>3.2875999999999996E-2</v>
      </c>
      <c r="T236" s="3" t="s">
        <v>440</v>
      </c>
      <c r="U236" s="3" t="s">
        <v>1236</v>
      </c>
    </row>
    <row r="237" spans="1:21" x14ac:dyDescent="0.3">
      <c r="A237" s="16" t="s">
        <v>992</v>
      </c>
      <c r="B237" s="16" t="s">
        <v>28</v>
      </c>
      <c r="C237" s="16" t="s">
        <v>1049</v>
      </c>
      <c r="D237" s="33">
        <f>10.275+1.669</f>
        <v>11.944000000000001</v>
      </c>
      <c r="E237" s="33">
        <f>(0.11*10.275+0.07*1.669)/D237</f>
        <v>0.10441058271935699</v>
      </c>
      <c r="F237" s="33">
        <f>(0.55*10.275+0.25*1.669)/D237</f>
        <v>0.50807937039517759</v>
      </c>
      <c r="M237" s="33">
        <f>(0.01*10.275+0.01*1.669)/D237</f>
        <v>0.01</v>
      </c>
      <c r="S237" s="18">
        <f t="shared" si="3"/>
        <v>1.2470799999999999E-2</v>
      </c>
      <c r="T237" s="3" t="s">
        <v>993</v>
      </c>
      <c r="U237" s="3" t="s">
        <v>1267</v>
      </c>
    </row>
    <row r="238" spans="1:21" x14ac:dyDescent="0.3">
      <c r="A238" s="16" t="s">
        <v>507</v>
      </c>
      <c r="B238" s="16" t="s">
        <v>28</v>
      </c>
      <c r="C238" s="16" t="s">
        <v>1049</v>
      </c>
      <c r="D238" s="35">
        <v>121</v>
      </c>
      <c r="E238" s="18">
        <v>0.23564297520661159</v>
      </c>
      <c r="G238" s="18">
        <v>0.75140909090909092</v>
      </c>
      <c r="H238" s="18">
        <v>0.22181570247933885</v>
      </c>
      <c r="L238" s="18">
        <v>8.1494214876033033E-2</v>
      </c>
      <c r="P238" s="18">
        <v>6.0000000000000001E-3</v>
      </c>
      <c r="S238" s="18">
        <f t="shared" si="3"/>
        <v>0.28512800000000005</v>
      </c>
      <c r="T238" s="3" t="s">
        <v>796</v>
      </c>
      <c r="U238" s="3" t="s">
        <v>1208</v>
      </c>
    </row>
    <row r="239" spans="1:21" x14ac:dyDescent="0.3">
      <c r="A239" s="16" t="s">
        <v>1155</v>
      </c>
      <c r="B239" s="16" t="s">
        <v>28</v>
      </c>
      <c r="C239" s="16" t="s">
        <v>1051</v>
      </c>
      <c r="D239" s="3">
        <f>1.72+4.8</f>
        <v>6.52</v>
      </c>
      <c r="E239" s="33">
        <f>(1.97*1.72+1.81*4.8)/D239</f>
        <v>1.8522085889570552</v>
      </c>
      <c r="F239" s="33"/>
      <c r="I239" s="33">
        <f>(2.4*1.72+2.28*4.8)/D239</f>
        <v>2.3116564417177914</v>
      </c>
      <c r="J239" s="33">
        <f>(4.59*1.72+4.64*4.8)/D239</f>
        <v>4.6268098159509199</v>
      </c>
      <c r="K239" s="35">
        <f>(59.7*1.72+55.4*4.8)/D239</f>
        <v>56.534355828220853</v>
      </c>
      <c r="L239" s="33">
        <f>(0.95*1.72+0.78*4.8)/D239</f>
        <v>0.82484662576687129</v>
      </c>
      <c r="S239" s="18">
        <f t="shared" si="3"/>
        <v>0.120764</v>
      </c>
      <c r="T239" s="3" t="s">
        <v>1346</v>
      </c>
      <c r="U239" s="3" t="s">
        <v>1218</v>
      </c>
    </row>
    <row r="240" spans="1:21" x14ac:dyDescent="0.3">
      <c r="A240" s="16" t="s">
        <v>232</v>
      </c>
      <c r="B240" s="16" t="s">
        <v>28</v>
      </c>
      <c r="C240" s="16" t="s">
        <v>1049</v>
      </c>
      <c r="D240" s="33">
        <f>1.909+1.8793+1.8281</f>
        <v>5.6164000000000005</v>
      </c>
      <c r="E240" s="33">
        <f>(1.24*1.909+0.26*1.8793+0.33*1.8281)/(1.909+1.8793+1.8281)</f>
        <v>0.61588401823231964</v>
      </c>
      <c r="F240" s="33">
        <f>(0.26*1.909+1.6*1.8793+1.69*1.8281)/(1.909+1.8793+1.8281)</f>
        <v>1.1738318139733637</v>
      </c>
      <c r="S240" s="18">
        <f t="shared" si="3"/>
        <v>3.4590510000000005E-2</v>
      </c>
      <c r="T240" s="3" t="s">
        <v>234</v>
      </c>
      <c r="U240" s="3" t="s">
        <v>1206</v>
      </c>
    </row>
    <row r="241" spans="1:21" x14ac:dyDescent="0.3">
      <c r="A241" s="16" t="s">
        <v>76</v>
      </c>
      <c r="B241" s="16" t="s">
        <v>28</v>
      </c>
      <c r="C241" s="16" t="s">
        <v>45</v>
      </c>
      <c r="D241" s="33">
        <f>36.386+7.429</f>
        <v>43.815000000000005</v>
      </c>
      <c r="E241" s="33">
        <f>(1.03*36.386+0.82*7.429)/D241</f>
        <v>0.99439370078740152</v>
      </c>
      <c r="K241" s="33">
        <f>(3.5*36.386+2.8*7.429)/D241</f>
        <v>3.3813123359580053</v>
      </c>
      <c r="L241" s="33">
        <f>(0.35*36.386+0.23*7.429)/D241</f>
        <v>0.32965354330708657</v>
      </c>
      <c r="S241" s="18">
        <f t="shared" si="3"/>
        <v>0.43569360000000001</v>
      </c>
      <c r="T241" s="3" t="s">
        <v>75</v>
      </c>
      <c r="U241" s="3" t="s">
        <v>1205</v>
      </c>
    </row>
    <row r="242" spans="1:21" x14ac:dyDescent="0.3">
      <c r="A242" s="16" t="s">
        <v>1001</v>
      </c>
      <c r="B242" s="16" t="s">
        <v>28</v>
      </c>
      <c r="C242" s="16" t="s">
        <v>45</v>
      </c>
      <c r="D242" s="35">
        <f>86.781029+31.263359</f>
        <v>118.044388</v>
      </c>
      <c r="E242" s="18">
        <f>(0.034*86.781029+0.0272*31.263359)/D242</f>
        <v>3.2199060160318677E-2</v>
      </c>
      <c r="F242" s="39"/>
      <c r="G242" s="39"/>
      <c r="H242" s="39"/>
      <c r="I242" s="39"/>
      <c r="J242" s="39"/>
      <c r="K242" s="39"/>
      <c r="L242" s="39"/>
      <c r="M242" s="39"/>
      <c r="N242" s="18">
        <f>(0.065*86.781029+0.056*31.263359)/D242</f>
        <v>6.2616403153362962E-2</v>
      </c>
      <c r="O242" s="39"/>
      <c r="P242" s="39"/>
      <c r="Q242" s="39"/>
      <c r="R242" s="39"/>
      <c r="S242" s="18">
        <f t="shared" si="3"/>
        <v>3.8009183507999998E-2</v>
      </c>
      <c r="T242" s="3" t="s">
        <v>165</v>
      </c>
      <c r="U242" s="3" t="s">
        <v>1205</v>
      </c>
    </row>
    <row r="243" spans="1:21" x14ac:dyDescent="0.3">
      <c r="A243" s="16" t="s">
        <v>236</v>
      </c>
      <c r="B243" s="16" t="s">
        <v>28</v>
      </c>
      <c r="C243" s="16" t="s">
        <v>1049</v>
      </c>
      <c r="D243" s="33">
        <f>5.973+1.35+1.099+0.82</f>
        <v>9.2420000000000009</v>
      </c>
      <c r="E243" s="33">
        <f>(1.08*5.973+8.66*1.35+0.88*1.099+3.76*0.82)/(5.973+1.35+1.099+0.82)</f>
        <v>2.4012291711750704</v>
      </c>
      <c r="F243" s="33">
        <f>(2.09*5.973+1.75*1.35+1.86*1.099+1.5*0.82)/(5.973+1.35+1.099+0.82)</f>
        <v>1.9606373079420036</v>
      </c>
      <c r="S243" s="18">
        <f t="shared" si="3"/>
        <v>0.22192160000000002</v>
      </c>
      <c r="T243" s="3" t="s">
        <v>234</v>
      </c>
      <c r="U243" s="3" t="s">
        <v>1206</v>
      </c>
    </row>
    <row r="244" spans="1:21" x14ac:dyDescent="0.3">
      <c r="A244" s="16" t="s">
        <v>954</v>
      </c>
      <c r="B244" s="16" t="s">
        <v>28</v>
      </c>
      <c r="C244" s="16" t="s">
        <v>45</v>
      </c>
      <c r="D244" s="33">
        <f>10.882+7.603</f>
        <v>18.484999999999999</v>
      </c>
      <c r="E244" s="33">
        <f>(0.11*10.882+0.09*7.603)/D244</f>
        <v>0.10177387070597782</v>
      </c>
      <c r="J244" s="33">
        <f>(0.67*10.882+0.99*7.603)/D244</f>
        <v>0.80161806870435492</v>
      </c>
      <c r="N244" s="33">
        <f>(0.06*10.882+0.05*7.603)/D244</f>
        <v>5.5886935352988908E-2</v>
      </c>
      <c r="S244" s="18">
        <f t="shared" si="3"/>
        <v>1.88129E-2</v>
      </c>
      <c r="T244" s="3" t="s">
        <v>955</v>
      </c>
      <c r="U244" s="3" t="s">
        <v>1265</v>
      </c>
    </row>
    <row r="245" spans="1:21" x14ac:dyDescent="0.3">
      <c r="A245" s="16" t="s">
        <v>148</v>
      </c>
      <c r="B245" s="16" t="s">
        <v>28</v>
      </c>
      <c r="C245" s="16" t="s">
        <v>45</v>
      </c>
      <c r="D245" s="3">
        <v>167.7</v>
      </c>
      <c r="E245" s="3">
        <v>0.317</v>
      </c>
      <c r="L245" s="3">
        <v>0.29299999999999998</v>
      </c>
      <c r="S245" s="18">
        <f t="shared" si="3"/>
        <v>0.531609</v>
      </c>
      <c r="T245" s="3" t="s">
        <v>149</v>
      </c>
      <c r="U245" s="3" t="s">
        <v>1206</v>
      </c>
    </row>
    <row r="246" spans="1:21" x14ac:dyDescent="0.3">
      <c r="A246" s="16" t="s">
        <v>447</v>
      </c>
      <c r="B246" s="16" t="s">
        <v>28</v>
      </c>
      <c r="C246" s="16" t="s">
        <v>808</v>
      </c>
      <c r="D246" s="3">
        <f>6.549+3.181</f>
        <v>9.73</v>
      </c>
      <c r="E246" s="33">
        <f>(1.2*6.549+1.1*3.181)/(6.549+3.181)</f>
        <v>1.1673072970195273</v>
      </c>
      <c r="I246" s="33">
        <f>(0.6*6.549+0.9*3.181)/(6.549+3.181)</f>
        <v>0.69807810894141831</v>
      </c>
      <c r="J246" s="33">
        <f>(6.5*6.549+8.1*3.181)/(6.549+3.181)</f>
        <v>7.0230832476875635</v>
      </c>
      <c r="K246" s="33">
        <f>(56*6.549+109*3.181)/(6.549+3.181)</f>
        <v>73.327132579650552</v>
      </c>
      <c r="L246" s="33">
        <f>(1.7*6.549+2.3*3.181)/(6.549+3.181)</f>
        <v>1.8961562178828366</v>
      </c>
      <c r="S246" s="18">
        <f t="shared" si="3"/>
        <v>0.11357900000000001</v>
      </c>
      <c r="T246" s="3" t="s">
        <v>449</v>
      </c>
      <c r="U246" s="3" t="s">
        <v>1319</v>
      </c>
    </row>
    <row r="247" spans="1:21" x14ac:dyDescent="0.3">
      <c r="A247" s="16" t="s">
        <v>499</v>
      </c>
      <c r="B247" s="16" t="s">
        <v>28</v>
      </c>
      <c r="C247" s="16" t="s">
        <v>45</v>
      </c>
      <c r="D247" s="3">
        <f>65+25.2</f>
        <v>90.2</v>
      </c>
      <c r="E247" s="33">
        <f>(1.07*65+0.66*25.2)/D247</f>
        <v>0.95545454545454545</v>
      </c>
      <c r="K247" s="33">
        <f>(2.6*65+1.7*25.2)/D247</f>
        <v>2.3485587583148559</v>
      </c>
      <c r="L247" s="33">
        <f>(0.8*65+0.54*25.2)/D247</f>
        <v>0.72736141906873619</v>
      </c>
      <c r="S247" s="18">
        <f t="shared" si="3"/>
        <v>0.86182000000000003</v>
      </c>
      <c r="T247" s="3" t="s">
        <v>500</v>
      </c>
      <c r="U247" s="3" t="s">
        <v>1265</v>
      </c>
    </row>
    <row r="248" spans="1:21" x14ac:dyDescent="0.3">
      <c r="A248" s="16" t="s">
        <v>793</v>
      </c>
      <c r="B248" s="16" t="s">
        <v>28</v>
      </c>
      <c r="C248" s="16" t="s">
        <v>1049</v>
      </c>
      <c r="D248" s="3">
        <v>1</v>
      </c>
      <c r="E248" s="3">
        <v>0.5</v>
      </c>
      <c r="F248" s="3">
        <v>1.2</v>
      </c>
      <c r="L248" s="33"/>
      <c r="S248" s="18">
        <f t="shared" si="3"/>
        <v>5.0000000000000001E-3</v>
      </c>
      <c r="T248" s="3" t="s">
        <v>757</v>
      </c>
      <c r="U248" s="3" t="s">
        <v>1265</v>
      </c>
    </row>
    <row r="249" spans="1:21" x14ac:dyDescent="0.3">
      <c r="A249" s="16" t="s">
        <v>506</v>
      </c>
      <c r="B249" s="16" t="s">
        <v>28</v>
      </c>
      <c r="C249" s="16" t="s">
        <v>1049</v>
      </c>
      <c r="D249" s="33">
        <v>27.145999999999997</v>
      </c>
      <c r="E249" s="33">
        <v>1.1045376851101452</v>
      </c>
      <c r="F249" s="33">
        <v>0.89136447358726889</v>
      </c>
      <c r="G249" s="33">
        <v>2.1530634347601856</v>
      </c>
      <c r="H249" s="33">
        <v>0.53544242245634721</v>
      </c>
      <c r="L249" s="33">
        <v>0.13724305606719223</v>
      </c>
      <c r="M249" s="33">
        <v>4.7861931776320636E-2</v>
      </c>
      <c r="S249" s="18">
        <f t="shared" si="3"/>
        <v>0.29983779999999993</v>
      </c>
      <c r="T249" s="3" t="s">
        <v>795</v>
      </c>
      <c r="U249" s="3" t="s">
        <v>1208</v>
      </c>
    </row>
    <row r="250" spans="1:21" x14ac:dyDescent="0.3">
      <c r="A250" s="16" t="s">
        <v>569</v>
      </c>
      <c r="B250" s="16" t="s">
        <v>28</v>
      </c>
      <c r="C250" s="16" t="s">
        <v>1049</v>
      </c>
      <c r="D250" s="3">
        <f>14.5+1.2</f>
        <v>15.7</v>
      </c>
      <c r="E250" s="33">
        <f>(14.5*1.25+1.2*1.2)/(14.5+1.2)</f>
        <v>1.2461783439490448</v>
      </c>
      <c r="F250" s="33">
        <f>(14.5*2.67+1.2*3.6)/(14.5+1.2)</f>
        <v>2.7410828025477705</v>
      </c>
      <c r="G250" s="33">
        <f>(14.5*0.52+1.2*0.5)/(14.5+1.2)</f>
        <v>0.51847133757961794</v>
      </c>
      <c r="H250" s="33">
        <f>(14.5*0.45+1.2*0.5)/(14.5+1.2)</f>
        <v>0.45382165605095542</v>
      </c>
      <c r="M250" s="18">
        <f>(14.5*0.06+1.2*0.1)/(14.5+1.2)</f>
        <v>6.3057324840764331E-2</v>
      </c>
      <c r="S250" s="18">
        <f t="shared" si="3"/>
        <v>0.19565000000000002</v>
      </c>
      <c r="T250" s="3" t="s">
        <v>27</v>
      </c>
      <c r="U250" s="3" t="s">
        <v>1205</v>
      </c>
    </row>
    <row r="251" spans="1:21" x14ac:dyDescent="0.3">
      <c r="A251" s="16" t="s">
        <v>505</v>
      </c>
      <c r="B251" s="16" t="s">
        <v>28</v>
      </c>
      <c r="C251" s="16" t="s">
        <v>1049</v>
      </c>
      <c r="D251" s="3">
        <v>0.35099999999999998</v>
      </c>
      <c r="E251" s="33">
        <v>0.68760683760683761</v>
      </c>
      <c r="F251" s="33">
        <v>0.59299145299145295</v>
      </c>
      <c r="G251" s="33">
        <v>0.86692307692307702</v>
      </c>
      <c r="H251" s="33">
        <v>0.75632478632478628</v>
      </c>
      <c r="L251" s="33">
        <v>0.30931623931623936</v>
      </c>
      <c r="M251" s="3">
        <v>0.03</v>
      </c>
      <c r="S251" s="18">
        <f t="shared" si="3"/>
        <v>2.4134999999999998E-3</v>
      </c>
      <c r="T251" s="3" t="s">
        <v>794</v>
      </c>
      <c r="U251" s="3" t="s">
        <v>1205</v>
      </c>
    </row>
    <row r="252" spans="1:21" x14ac:dyDescent="0.3">
      <c r="A252" s="16" t="s">
        <v>592</v>
      </c>
      <c r="B252" s="16" t="s">
        <v>28</v>
      </c>
      <c r="C252" s="16" t="s">
        <v>808</v>
      </c>
      <c r="D252" s="3">
        <v>3.2</v>
      </c>
      <c r="E252" s="3">
        <v>1.2</v>
      </c>
      <c r="J252" s="3">
        <v>13.8</v>
      </c>
      <c r="K252" s="3">
        <v>30</v>
      </c>
      <c r="L252" s="3">
        <v>0.4</v>
      </c>
      <c r="S252" s="18">
        <f t="shared" si="3"/>
        <v>3.8399999999999997E-2</v>
      </c>
      <c r="T252" s="3" t="s">
        <v>27</v>
      </c>
      <c r="U252" s="3" t="s">
        <v>1205</v>
      </c>
    </row>
    <row r="253" spans="1:21" x14ac:dyDescent="0.3">
      <c r="A253" s="16" t="s">
        <v>237</v>
      </c>
      <c r="B253" s="16" t="s">
        <v>28</v>
      </c>
      <c r="C253" s="16" t="s">
        <v>1049</v>
      </c>
      <c r="D253" s="33">
        <f>6.678+1.088+0.959</f>
        <v>8.7249999999999996</v>
      </c>
      <c r="E253" s="33">
        <f>(0.21*6.678+4.54*1.088+3.26*0.959)/(6.678+1.088+0.959)</f>
        <v>1.0851851002865331</v>
      </c>
      <c r="F253" s="33">
        <f>(0.75*6.678+0.38*1.088+0.32*0.959)/(6.678+1.088+0.959)</f>
        <v>0.65659828080229221</v>
      </c>
      <c r="S253" s="18">
        <f t="shared" si="3"/>
        <v>9.4682400000000014E-2</v>
      </c>
      <c r="T253" s="3" t="s">
        <v>234</v>
      </c>
      <c r="U253" s="3" t="s">
        <v>1206</v>
      </c>
    </row>
    <row r="254" spans="1:21" x14ac:dyDescent="0.3">
      <c r="A254" s="16" t="s">
        <v>1021</v>
      </c>
      <c r="B254" s="16" t="s">
        <v>28</v>
      </c>
      <c r="C254" s="16" t="s">
        <v>45</v>
      </c>
      <c r="D254" s="35">
        <v>372.29899999999998</v>
      </c>
      <c r="E254" s="3">
        <v>0.21</v>
      </c>
      <c r="N254" s="3">
        <v>5.0000000000000001E-3</v>
      </c>
      <c r="S254" s="18">
        <f t="shared" si="3"/>
        <v>0.78182790000000002</v>
      </c>
      <c r="T254" s="3" t="s">
        <v>1024</v>
      </c>
      <c r="U254" s="3" t="s">
        <v>1206</v>
      </c>
    </row>
    <row r="255" spans="1:21" x14ac:dyDescent="0.3">
      <c r="A255" s="16" t="s">
        <v>843</v>
      </c>
      <c r="B255" s="16" t="s">
        <v>28</v>
      </c>
      <c r="C255" s="16" t="s">
        <v>1119</v>
      </c>
      <c r="D255" s="33">
        <f>1.550041+4.290288+5.541576</f>
        <v>11.381905</v>
      </c>
      <c r="E255" s="33">
        <f>(0.282*1.550041+0.342*4.290288+0.514*5.541576)/D255</f>
        <v>0.4175715859515608</v>
      </c>
      <c r="I255" s="33">
        <f>(9.68*1.550041+9.98*4.290288+11.43*5.541576)/D255</f>
        <v>10.645114750123113</v>
      </c>
      <c r="J255" s="33">
        <f>(12.22*1.550041+10.16*4.290288+13.53*5.541576)/D255</f>
        <v>12.081312432321305</v>
      </c>
      <c r="K255" s="35">
        <f>(154.95*1.550041+163.34*4.290288+214.8*5.541576)/D255</f>
        <v>187.25204784875643</v>
      </c>
      <c r="S255" s="18">
        <f t="shared" si="3"/>
        <v>4.752760122E-2</v>
      </c>
      <c r="T255" s="3" t="s">
        <v>844</v>
      </c>
      <c r="U255" s="3" t="s">
        <v>1317</v>
      </c>
    </row>
    <row r="256" spans="1:21" x14ac:dyDescent="0.3">
      <c r="A256" s="16" t="s">
        <v>444</v>
      </c>
      <c r="B256" s="16" t="s">
        <v>28</v>
      </c>
      <c r="C256" s="16" t="s">
        <v>45</v>
      </c>
      <c r="D256" s="37">
        <v>1011</v>
      </c>
      <c r="E256" s="3">
        <v>0.24</v>
      </c>
      <c r="L256" s="3">
        <v>0.41</v>
      </c>
      <c r="S256" s="18">
        <f t="shared" si="3"/>
        <v>2.4263999999999997</v>
      </c>
      <c r="T256" s="3" t="s">
        <v>437</v>
      </c>
      <c r="U256" s="3" t="s">
        <v>1206</v>
      </c>
    </row>
    <row r="257" spans="1:21" x14ac:dyDescent="0.3">
      <c r="A257" s="16" t="s">
        <v>567</v>
      </c>
      <c r="B257" s="16" t="s">
        <v>28</v>
      </c>
      <c r="C257" s="16" t="s">
        <v>1049</v>
      </c>
      <c r="D257" s="3">
        <f>16.5+15</f>
        <v>31.5</v>
      </c>
      <c r="E257" s="33">
        <f>(16.5*0.88+15*0.9)/(16.5+15)</f>
        <v>0.88952380952380949</v>
      </c>
      <c r="F257" s="33">
        <f>(16.5*3.11+15*2.8)/(16.5+15)</f>
        <v>2.9623809523809523</v>
      </c>
      <c r="M257" s="18">
        <f>(16.5*0.07+15*0.1)/(16.5+15)</f>
        <v>8.4285714285714297E-2</v>
      </c>
      <c r="S257" s="18">
        <f t="shared" si="3"/>
        <v>0.2802</v>
      </c>
      <c r="T257" s="3" t="s">
        <v>27</v>
      </c>
      <c r="U257" s="3" t="s">
        <v>1205</v>
      </c>
    </row>
    <row r="258" spans="1:21" x14ac:dyDescent="0.3">
      <c r="A258" s="16" t="s">
        <v>151</v>
      </c>
      <c r="B258" s="16" t="s">
        <v>28</v>
      </c>
      <c r="C258" s="16" t="s">
        <v>45</v>
      </c>
      <c r="D258" s="36">
        <f>619.42+619.13</f>
        <v>1238.55</v>
      </c>
      <c r="E258" s="33">
        <f>(0.38*619.42+0.3*619.13)/(619.42+619.13)</f>
        <v>0.34000936579064228</v>
      </c>
      <c r="L258" s="33">
        <f>(0.36*619.42+0.32*619.13)/(619.42+619.13)</f>
        <v>0.34000468289532115</v>
      </c>
      <c r="S258" s="18">
        <f t="shared" si="3"/>
        <v>4.2111859999999997</v>
      </c>
      <c r="T258" s="3" t="s">
        <v>149</v>
      </c>
      <c r="U258" s="3" t="s">
        <v>1206</v>
      </c>
    </row>
    <row r="259" spans="1:21" x14ac:dyDescent="0.3">
      <c r="A259" s="16" t="s">
        <v>1148</v>
      </c>
      <c r="B259" s="16" t="s">
        <v>28</v>
      </c>
      <c r="C259" s="16" t="s">
        <v>1060</v>
      </c>
      <c r="D259" s="33">
        <f>0.599+0.737</f>
        <v>1.3359999999999999</v>
      </c>
      <c r="E259" s="33">
        <f>(0.02*0.599+0.03*0.737)/(0.599+0.737)</f>
        <v>2.5516467065868263E-2</v>
      </c>
      <c r="F259" s="33">
        <f>(0.51*0.599+1.47*0.737)/(0.599+0.737)</f>
        <v>1.0395808383233534</v>
      </c>
      <c r="S259" s="18">
        <f t="shared" ref="S259:S322" si="4">D259*E259/100</f>
        <v>3.4089999999999994E-4</v>
      </c>
      <c r="T259" s="3" t="s">
        <v>441</v>
      </c>
      <c r="U259" s="3" t="s">
        <v>1208</v>
      </c>
    </row>
    <row r="260" spans="1:21" x14ac:dyDescent="0.3">
      <c r="A260" s="16" t="s">
        <v>1147</v>
      </c>
      <c r="B260" s="16" t="s">
        <v>28</v>
      </c>
      <c r="C260" s="16" t="s">
        <v>1060</v>
      </c>
      <c r="D260" s="3">
        <v>34</v>
      </c>
      <c r="E260" s="3">
        <v>3.92</v>
      </c>
      <c r="F260" s="33"/>
      <c r="K260" s="3">
        <v>9</v>
      </c>
      <c r="S260" s="18">
        <f t="shared" si="4"/>
        <v>1.3328</v>
      </c>
      <c r="T260" s="3" t="s">
        <v>1146</v>
      </c>
      <c r="U260" s="3" t="s">
        <v>1236</v>
      </c>
    </row>
    <row r="261" spans="1:21" x14ac:dyDescent="0.3">
      <c r="A261" s="16" t="s">
        <v>511</v>
      </c>
      <c r="B261" s="16" t="s">
        <v>28</v>
      </c>
      <c r="C261" s="16" t="s">
        <v>1049</v>
      </c>
      <c r="D261" s="3">
        <f>16.5/0.5</f>
        <v>33</v>
      </c>
      <c r="E261" s="3">
        <v>0.1</v>
      </c>
      <c r="F261" s="3">
        <v>0.02</v>
      </c>
      <c r="S261" s="18">
        <f t="shared" si="4"/>
        <v>3.3000000000000002E-2</v>
      </c>
      <c r="T261" s="3" t="s">
        <v>483</v>
      </c>
      <c r="U261" s="3" t="s">
        <v>1205</v>
      </c>
    </row>
    <row r="262" spans="1:21" x14ac:dyDescent="0.3">
      <c r="A262" s="16" t="s">
        <v>1022</v>
      </c>
      <c r="B262" s="16" t="s">
        <v>28</v>
      </c>
      <c r="C262" s="16" t="s">
        <v>45</v>
      </c>
      <c r="D262" s="3">
        <f>446.1+268.7</f>
        <v>714.8</v>
      </c>
      <c r="E262" s="33">
        <f>(0.36*446.1+0.3*268.7)/D262</f>
        <v>0.33744543928371579</v>
      </c>
      <c r="L262" s="33">
        <f>(0.29*446.1+0.27*268.7)/D262</f>
        <v>0.28248181309457193</v>
      </c>
      <c r="S262" s="18">
        <f t="shared" si="4"/>
        <v>2.4120600000000003</v>
      </c>
      <c r="T262" s="3" t="s">
        <v>1024</v>
      </c>
      <c r="U262" s="3" t="s">
        <v>1206</v>
      </c>
    </row>
    <row r="263" spans="1:21" x14ac:dyDescent="0.3">
      <c r="A263" s="16" t="s">
        <v>577</v>
      </c>
      <c r="B263" s="16" t="s">
        <v>28</v>
      </c>
      <c r="C263" s="16" t="s">
        <v>1070</v>
      </c>
      <c r="D263" s="39">
        <v>0.11799999999999999</v>
      </c>
      <c r="E263" s="3">
        <v>0.86</v>
      </c>
      <c r="R263" s="3">
        <v>115.8</v>
      </c>
      <c r="S263" s="18">
        <f t="shared" si="4"/>
        <v>1.0147999999999999E-3</v>
      </c>
      <c r="T263" s="3" t="s">
        <v>578</v>
      </c>
      <c r="U263" s="3" t="s">
        <v>1236</v>
      </c>
    </row>
    <row r="264" spans="1:21" x14ac:dyDescent="0.3">
      <c r="A264" s="16" t="s">
        <v>945</v>
      </c>
      <c r="B264" s="16" t="s">
        <v>28</v>
      </c>
      <c r="C264" s="16" t="s">
        <v>808</v>
      </c>
      <c r="D264" s="33">
        <f>23.563309+59.016395</f>
        <v>82.579704000000007</v>
      </c>
      <c r="E264" s="33">
        <f>(1.07*23.563309+1.26*59.016395)/D264</f>
        <v>1.205785362587398</v>
      </c>
      <c r="J264" s="33">
        <f>(1.28*23.563309+1.39*59.016395)/D264</f>
        <v>1.3586125783400724</v>
      </c>
      <c r="S264" s="18">
        <f t="shared" si="4"/>
        <v>0.99573398330000007</v>
      </c>
      <c r="T264" s="3" t="s">
        <v>946</v>
      </c>
      <c r="U264" s="3" t="s">
        <v>1270</v>
      </c>
    </row>
    <row r="265" spans="1:21" x14ac:dyDescent="0.3">
      <c r="A265" s="16" t="s">
        <v>462</v>
      </c>
      <c r="B265" s="16" t="s">
        <v>28</v>
      </c>
      <c r="C265" s="16" t="s">
        <v>45</v>
      </c>
      <c r="D265" s="36">
        <f>463.526579+929.755592+186.838848</f>
        <v>1580.1210190000002</v>
      </c>
      <c r="E265" s="33">
        <f>(0.3*463.526579+0.23*929.755592+0.14*186.838848)/(463.526579+929.755592+186.838848)</f>
        <v>0.23989251077736592</v>
      </c>
      <c r="K265" s="33">
        <f>(1.55*463.526579+1.56*929.755592+1.61*186.838848)/(463.526579+929.755592+186.838848)</f>
        <v>1.5629786810968305</v>
      </c>
      <c r="L265" s="33">
        <f>(0.23*463.526579+0.15*929.755592+0.14*186.838848)/(463.526579+929.755592+186.838848)</f>
        <v>0.17228546890812543</v>
      </c>
      <c r="N265" s="18">
        <f>(0.23*463.526579+0.15*929.755592+0.09*186.838848)/(463.526579+929.755592+186.838848)</f>
        <v>0.16637329997443695</v>
      </c>
      <c r="O265" s="18"/>
      <c r="P265" s="18"/>
      <c r="S265" s="18">
        <f t="shared" si="4"/>
        <v>3.7905919857999999</v>
      </c>
      <c r="T265" s="3" t="s">
        <v>465</v>
      </c>
      <c r="U265" s="3" t="s">
        <v>1267</v>
      </c>
    </row>
    <row r="266" spans="1:21" x14ac:dyDescent="0.3">
      <c r="A266" s="16" t="s">
        <v>452</v>
      </c>
      <c r="B266" s="16" t="s">
        <v>28</v>
      </c>
      <c r="C266" s="47" t="s">
        <v>1049</v>
      </c>
      <c r="D266" s="33">
        <v>14.0199</v>
      </c>
      <c r="E266" s="33">
        <v>0.35998152625910312</v>
      </c>
      <c r="F266" s="33">
        <v>0.33765340694298818</v>
      </c>
      <c r="G266" s="33">
        <v>0.36213674847894772</v>
      </c>
      <c r="H266" s="33">
        <v>0.33340401857359897</v>
      </c>
      <c r="L266" s="33">
        <v>0.18490281671053288</v>
      </c>
      <c r="M266" s="18">
        <v>2.1768200914414511E-2</v>
      </c>
      <c r="S266" s="18">
        <f t="shared" si="4"/>
        <v>5.0469049999999994E-2</v>
      </c>
      <c r="T266" s="3" t="s">
        <v>1347</v>
      </c>
      <c r="U266" s="3" t="s">
        <v>1267</v>
      </c>
    </row>
    <row r="267" spans="1:21" x14ac:dyDescent="0.3">
      <c r="A267" s="16" t="s">
        <v>798</v>
      </c>
      <c r="B267" s="16" t="s">
        <v>28</v>
      </c>
      <c r="C267" s="16" t="s">
        <v>1051</v>
      </c>
      <c r="D267" s="33">
        <v>1.4630000000000001</v>
      </c>
      <c r="E267" s="33">
        <v>0.61626110731373884</v>
      </c>
      <c r="F267" s="33">
        <v>0.9346616541353383</v>
      </c>
      <c r="S267" s="18">
        <f t="shared" si="4"/>
        <v>9.0159000000000003E-3</v>
      </c>
      <c r="T267" s="3" t="s">
        <v>439</v>
      </c>
      <c r="U267" s="3" t="s">
        <v>1205</v>
      </c>
    </row>
    <row r="268" spans="1:21" x14ac:dyDescent="0.3">
      <c r="A268" s="16" t="s">
        <v>453</v>
      </c>
      <c r="B268" s="16" t="s">
        <v>28</v>
      </c>
      <c r="C268" s="47" t="s">
        <v>1049</v>
      </c>
      <c r="D268" s="3">
        <f>1.02+1.49</f>
        <v>2.5099999999999998</v>
      </c>
      <c r="E268" s="3">
        <v>0.36</v>
      </c>
      <c r="F268" s="33">
        <f>(0.71*1.02+0.67*1.49)/(1.02+1.49)</f>
        <v>0.68625498007968144</v>
      </c>
      <c r="M268" s="18">
        <f>(0.02*1.02+0.03*1.49)/(1.02+1.49)</f>
        <v>2.5936254980079679E-2</v>
      </c>
      <c r="S268" s="18">
        <f t="shared" si="4"/>
        <v>9.0359999999999989E-3</v>
      </c>
      <c r="T268" s="3" t="s">
        <v>1314</v>
      </c>
      <c r="U268" s="3" t="s">
        <v>1236</v>
      </c>
    </row>
    <row r="269" spans="1:21" x14ac:dyDescent="0.3">
      <c r="A269" s="16" t="s">
        <v>137</v>
      </c>
      <c r="B269" s="16" t="s">
        <v>28</v>
      </c>
      <c r="C269" s="16" t="s">
        <v>1066</v>
      </c>
      <c r="D269" s="18">
        <f>0.75115*0.907184</f>
        <v>0.6814312616</v>
      </c>
      <c r="E269" s="3">
        <v>1.7</v>
      </c>
      <c r="S269" s="18">
        <f t="shared" si="4"/>
        <v>1.1584331447200001E-2</v>
      </c>
      <c r="T269" s="3" t="s">
        <v>138</v>
      </c>
      <c r="U269" s="3" t="s">
        <v>1205</v>
      </c>
    </row>
    <row r="270" spans="1:21" x14ac:dyDescent="0.3">
      <c r="A270" s="16" t="s">
        <v>948</v>
      </c>
      <c r="B270" s="16" t="s">
        <v>28</v>
      </c>
      <c r="C270" s="16" t="s">
        <v>808</v>
      </c>
      <c r="D270" s="33">
        <v>5.5244999999999997</v>
      </c>
      <c r="E270" s="3">
        <v>0.4</v>
      </c>
      <c r="I270" s="3">
        <v>2.59</v>
      </c>
      <c r="J270" s="3">
        <v>6.11</v>
      </c>
      <c r="K270" s="3">
        <v>54.21</v>
      </c>
      <c r="L270" s="3">
        <v>0.62</v>
      </c>
      <c r="S270" s="18">
        <f t="shared" si="4"/>
        <v>2.2098E-2</v>
      </c>
      <c r="T270" s="3" t="s">
        <v>946</v>
      </c>
      <c r="U270" s="3" t="s">
        <v>1270</v>
      </c>
    </row>
    <row r="271" spans="1:21" x14ac:dyDescent="0.3">
      <c r="A271" s="16" t="s">
        <v>590</v>
      </c>
      <c r="B271" s="16" t="s">
        <v>28</v>
      </c>
      <c r="C271" s="16" t="s">
        <v>808</v>
      </c>
      <c r="D271" s="3">
        <v>2.0699999999999998</v>
      </c>
      <c r="E271" s="3">
        <v>2.5499999999999998</v>
      </c>
      <c r="I271" s="3">
        <v>1.21</v>
      </c>
      <c r="J271" s="3">
        <v>9.17</v>
      </c>
      <c r="K271" s="3">
        <v>164.2</v>
      </c>
      <c r="L271" s="3">
        <v>0.5</v>
      </c>
      <c r="S271" s="18">
        <f t="shared" si="4"/>
        <v>5.2784999999999992E-2</v>
      </c>
      <c r="T271" s="3" t="s">
        <v>138</v>
      </c>
      <c r="U271" s="3" t="s">
        <v>1205</v>
      </c>
    </row>
    <row r="272" spans="1:21" x14ac:dyDescent="0.3">
      <c r="A272" s="16" t="s">
        <v>659</v>
      </c>
      <c r="B272" s="16" t="s">
        <v>28</v>
      </c>
      <c r="C272" s="16" t="s">
        <v>1049</v>
      </c>
      <c r="D272" s="3">
        <v>112.3</v>
      </c>
      <c r="E272" s="3">
        <v>1.53</v>
      </c>
      <c r="G272" s="3">
        <v>1.1000000000000001</v>
      </c>
      <c r="H272" s="3">
        <v>0.9</v>
      </c>
      <c r="L272" s="3">
        <v>0.4</v>
      </c>
      <c r="M272" s="3">
        <v>0.04</v>
      </c>
      <c r="S272" s="18">
        <f t="shared" si="4"/>
        <v>1.7181899999999999</v>
      </c>
      <c r="T272" s="3" t="s">
        <v>128</v>
      </c>
      <c r="U272" s="3" t="s">
        <v>1222</v>
      </c>
    </row>
    <row r="273" spans="1:22" x14ac:dyDescent="0.3">
      <c r="A273" s="16" t="s">
        <v>658</v>
      </c>
      <c r="B273" s="16" t="s">
        <v>28</v>
      </c>
      <c r="C273" s="16" t="s">
        <v>1049</v>
      </c>
      <c r="D273" s="3">
        <f>14.9+13</f>
        <v>27.9</v>
      </c>
      <c r="E273" s="33">
        <f>(14.9*3.28+13*2.1)/(14.9+13)</f>
        <v>2.730179211469534</v>
      </c>
      <c r="F273" s="33">
        <f>(14.9*1.64+13*1.5)/(14.9+13)</f>
        <v>1.5747670250896058</v>
      </c>
      <c r="M273" s="18">
        <f>(14.9*0.03+13*0.1)/(14.9+13)</f>
        <v>6.2616487455197142E-2</v>
      </c>
      <c r="S273" s="18">
        <f t="shared" si="4"/>
        <v>0.76171999999999995</v>
      </c>
      <c r="T273" s="3" t="s">
        <v>27</v>
      </c>
      <c r="U273" s="3" t="s">
        <v>1205</v>
      </c>
    </row>
    <row r="274" spans="1:22" x14ac:dyDescent="0.3">
      <c r="A274" s="16" t="s">
        <v>125</v>
      </c>
      <c r="B274" s="16" t="s">
        <v>28</v>
      </c>
      <c r="C274" s="16" t="s">
        <v>1049</v>
      </c>
      <c r="D274" s="3">
        <v>26.7</v>
      </c>
      <c r="E274" s="3">
        <v>0.1</v>
      </c>
      <c r="S274" s="18">
        <f t="shared" si="4"/>
        <v>2.6699999999999998E-2</v>
      </c>
      <c r="T274" s="3" t="s">
        <v>128</v>
      </c>
      <c r="U274" s="3" t="s">
        <v>1222</v>
      </c>
    </row>
    <row r="275" spans="1:22" x14ac:dyDescent="0.3">
      <c r="A275" s="16" t="s">
        <v>791</v>
      </c>
      <c r="B275" s="16" t="s">
        <v>28</v>
      </c>
      <c r="C275" s="16" t="s">
        <v>1049</v>
      </c>
      <c r="D275" s="33">
        <v>10.786</v>
      </c>
      <c r="E275" s="33">
        <v>0.24400704617096239</v>
      </c>
      <c r="F275" s="33">
        <v>0.17717596884850734</v>
      </c>
      <c r="M275" s="18">
        <v>1.4183367328017801E-2</v>
      </c>
      <c r="S275" s="18">
        <f t="shared" si="4"/>
        <v>2.6318600000000001E-2</v>
      </c>
      <c r="T275" s="3" t="s">
        <v>792</v>
      </c>
      <c r="U275" s="3" t="s">
        <v>1205</v>
      </c>
    </row>
    <row r="276" spans="1:22" x14ac:dyDescent="0.3">
      <c r="A276" s="16" t="s">
        <v>91</v>
      </c>
      <c r="B276" s="16" t="s">
        <v>28</v>
      </c>
      <c r="C276" s="16" t="s">
        <v>45</v>
      </c>
      <c r="D276" s="33">
        <f>2.926+29.4</f>
        <v>32.326000000000001</v>
      </c>
      <c r="E276" s="33">
        <f>(2.926*0.1+29.4*0.2)/(2.926+29.4)</f>
        <v>0.19094846253789519</v>
      </c>
      <c r="L276" s="3">
        <v>1.5</v>
      </c>
      <c r="S276" s="18">
        <f t="shared" si="4"/>
        <v>6.1726000000000003E-2</v>
      </c>
      <c r="T276" s="3" t="s">
        <v>94</v>
      </c>
      <c r="U276" s="3" t="s">
        <v>1205</v>
      </c>
    </row>
    <row r="277" spans="1:22" x14ac:dyDescent="0.3">
      <c r="A277" s="16" t="s">
        <v>145</v>
      </c>
      <c r="B277" s="16" t="s">
        <v>28</v>
      </c>
      <c r="C277" s="16" t="s">
        <v>45</v>
      </c>
      <c r="D277" s="33">
        <f>0.701+0.292+0.178</f>
        <v>1.1709999999999998</v>
      </c>
      <c r="E277" s="33">
        <f>(2.1*0.701+2.29*0.292+2.8*0.178)/(0.701+0.292+0.178)</f>
        <v>2.2537830913748933</v>
      </c>
      <c r="S277" s="18">
        <f t="shared" si="4"/>
        <v>2.6391799999999997E-2</v>
      </c>
      <c r="T277" s="3" t="s">
        <v>925</v>
      </c>
      <c r="U277" s="3" t="s">
        <v>1206</v>
      </c>
    </row>
    <row r="278" spans="1:22" x14ac:dyDescent="0.3">
      <c r="A278" s="16" t="s">
        <v>756</v>
      </c>
      <c r="B278" s="16" t="s">
        <v>28</v>
      </c>
      <c r="C278" s="16" t="s">
        <v>1049</v>
      </c>
      <c r="D278" s="3">
        <v>24.1</v>
      </c>
      <c r="E278" s="3">
        <v>1.48</v>
      </c>
      <c r="M278" s="3">
        <v>0.12</v>
      </c>
      <c r="S278" s="18">
        <f t="shared" si="4"/>
        <v>0.35668</v>
      </c>
      <c r="T278" s="3" t="s">
        <v>128</v>
      </c>
      <c r="U278" s="3" t="s">
        <v>1222</v>
      </c>
    </row>
    <row r="279" spans="1:22" x14ac:dyDescent="0.3">
      <c r="A279" s="16" t="s">
        <v>1156</v>
      </c>
      <c r="B279" s="16" t="s">
        <v>28</v>
      </c>
      <c r="C279" s="16" t="s">
        <v>1049</v>
      </c>
      <c r="D279" s="3">
        <f>6.4+23.9</f>
        <v>30.299999999999997</v>
      </c>
      <c r="E279" s="33">
        <f>(0.45*6.4+0.28*23.9)/D279</f>
        <v>0.31590759075907598</v>
      </c>
      <c r="F279" s="33">
        <f>(0.43*6.4+0.29*23.9)/D279</f>
        <v>0.3195709570957096</v>
      </c>
      <c r="G279" s="33">
        <f>(0.309*6.4+0.274*23.9)/D279</f>
        <v>0.28139273927392744</v>
      </c>
      <c r="H279" s="33">
        <f>(0.377*6.4+0.377*23.9)/D279</f>
        <v>0.377</v>
      </c>
      <c r="S279" s="18">
        <f t="shared" si="4"/>
        <v>9.5720000000000013E-2</v>
      </c>
      <c r="T279" s="16" t="s">
        <v>1313</v>
      </c>
      <c r="U279" s="3" t="s">
        <v>1236</v>
      </c>
    </row>
    <row r="280" spans="1:22" x14ac:dyDescent="0.3">
      <c r="A280" s="16" t="s">
        <v>755</v>
      </c>
      <c r="B280" s="16" t="s">
        <v>28</v>
      </c>
      <c r="C280" s="16" t="s">
        <v>1049</v>
      </c>
      <c r="D280" s="33">
        <f>0.140131+0.040829+0.051456+0.869378+0.063517+0.172396</f>
        <v>1.337707</v>
      </c>
      <c r="E280" s="33">
        <f>(0.26*0.140131+0.43*0.040829+0.2*0.051456+0.28*0.869378+0.63*0.063517+0.26*0.172396)/D280</f>
        <v>0.29344710014973385</v>
      </c>
      <c r="L280" s="33">
        <f>31.1*(0.008*0.140131+0.03*0.040829+0.003*0.051456+0.011*0.869378+0*0.063517+0*0.172396)/D280</f>
        <v>0.28045985286763098</v>
      </c>
      <c r="M280" s="33">
        <f>(0.47*0.140131+0.25*0.040829+0.13*0.051456+0.29*0.869378+0.29*0.063517+0.02*0.172396)/D280</f>
        <v>0.26668438604268352</v>
      </c>
      <c r="S280" s="18">
        <f t="shared" si="4"/>
        <v>3.9254623999999995E-3</v>
      </c>
      <c r="T280" s="3" t="s">
        <v>757</v>
      </c>
      <c r="U280" s="3" t="s">
        <v>1327</v>
      </c>
      <c r="V280" s="55" t="s">
        <v>1312</v>
      </c>
    </row>
    <row r="281" spans="1:22" x14ac:dyDescent="0.3">
      <c r="A281" s="16" t="s">
        <v>450</v>
      </c>
      <c r="B281" s="16" t="s">
        <v>28</v>
      </c>
      <c r="C281" s="16" t="s">
        <v>1049</v>
      </c>
      <c r="D281" s="3">
        <f>8.55+2+0.27</f>
        <v>10.82</v>
      </c>
      <c r="E281" s="33">
        <f>(0.31*8.55+0.3*2+0.33*0.27)/(8.55+2+0.27)</f>
        <v>0.30865064695009242</v>
      </c>
      <c r="F281" s="33">
        <f>(0.45*8.55+0.38*2+0.57*0.27)/(8.55+2+0.27)</f>
        <v>0.44005545286506476</v>
      </c>
      <c r="G281" s="33">
        <f>(0.02*8.55+0.03*2+0.02*0.27)/(8.55+2+0.27)</f>
        <v>2.1848428835489833E-2</v>
      </c>
      <c r="H281" s="33">
        <f>(0.07*8.55+0.09*2+0.06*0.27)/(8.55+2+0.27)</f>
        <v>7.3447319778188552E-2</v>
      </c>
      <c r="K281" s="33">
        <f>(1.91*8.55+2.11*2+1.29*0.27)/(8.55+2+0.27)</f>
        <v>1.9314972273567468</v>
      </c>
      <c r="L281" s="33">
        <f>(0.03*8.55+0.04*2+0.03*0.27)/(8.55+2+0.27)</f>
        <v>3.1848428835489835E-2</v>
      </c>
      <c r="M281" s="33">
        <f>(0.01*8.55+0.01*2+0.02*0.27)/(8.55+2+0.27)</f>
        <v>1.0249537892791129E-2</v>
      </c>
      <c r="S281" s="18">
        <f t="shared" si="4"/>
        <v>3.3396000000000002E-2</v>
      </c>
      <c r="T281" s="3" t="s">
        <v>440</v>
      </c>
      <c r="U281" s="3" t="s">
        <v>1205</v>
      </c>
    </row>
    <row r="282" spans="1:22" x14ac:dyDescent="0.3">
      <c r="A282" s="16" t="s">
        <v>1025</v>
      </c>
      <c r="B282" s="16" t="s">
        <v>28</v>
      </c>
      <c r="C282" s="16" t="s">
        <v>808</v>
      </c>
      <c r="D282" s="33">
        <f>0.493+3.968+1.693</f>
        <v>6.1539999999999999</v>
      </c>
      <c r="E282" s="33">
        <f>(1.18*0.493+1.16*3.968+1.23*1.693)/D282</f>
        <v>1.1808596035099124</v>
      </c>
      <c r="I282" s="33">
        <f>(1.48*0.493+1.58*3.968+1.74*1.693)/D282</f>
        <v>1.6160058498537537</v>
      </c>
      <c r="J282" s="33">
        <f>(12.44*0.493+12.1*3.968+12.16*1.693)/D282</f>
        <v>12.143743906402339</v>
      </c>
      <c r="K282" s="35">
        <f>(298.8*0.493+361.8*3.968+385.4*1.693)/D282</f>
        <v>363.24553136171596</v>
      </c>
      <c r="L282" s="33">
        <f>(1.5*0.493+1.72*3.968+1.71*1.693)/D282</f>
        <v>1.6996246343841406</v>
      </c>
      <c r="S282" s="18">
        <f t="shared" si="4"/>
        <v>7.2670100000000015E-2</v>
      </c>
      <c r="T282" s="3" t="s">
        <v>1026</v>
      </c>
      <c r="U282" s="3" t="s">
        <v>1205</v>
      </c>
    </row>
    <row r="283" spans="1:22" x14ac:dyDescent="0.3">
      <c r="A283" s="16" t="s">
        <v>928</v>
      </c>
      <c r="B283" s="16" t="s">
        <v>28</v>
      </c>
      <c r="C283" s="16" t="s">
        <v>1051</v>
      </c>
      <c r="D283" s="33">
        <v>1.3</v>
      </c>
      <c r="E283" s="33">
        <v>1.03</v>
      </c>
      <c r="I283" s="3">
        <v>1.6</v>
      </c>
      <c r="J283" s="3">
        <v>4.96</v>
      </c>
      <c r="K283" s="35">
        <f>3.42*31.1</f>
        <v>106.36200000000001</v>
      </c>
      <c r="L283" s="33">
        <f>0.008*31.1</f>
        <v>0.24880000000000002</v>
      </c>
      <c r="M283" s="33"/>
      <c r="S283" s="18">
        <f t="shared" si="4"/>
        <v>1.3390000000000003E-2</v>
      </c>
      <c r="T283" s="3" t="s">
        <v>929</v>
      </c>
      <c r="U283" s="3" t="s">
        <v>1218</v>
      </c>
    </row>
    <row r="284" spans="1:22" x14ac:dyDescent="0.3">
      <c r="A284" s="16" t="s">
        <v>904</v>
      </c>
      <c r="B284" s="16" t="s">
        <v>22</v>
      </c>
      <c r="C284" s="16" t="s">
        <v>1056</v>
      </c>
      <c r="D284" s="3">
        <f>3.5+399.7+21.3+138.4+32.4</f>
        <v>595.29999999999995</v>
      </c>
      <c r="E284" s="33">
        <f>(0.37*3.5+0.38*399.7+0.31*21.3+0.28*138.4+0.28*32.4)/D284</f>
        <v>0.34874517050226778</v>
      </c>
      <c r="S284" s="18">
        <f t="shared" si="4"/>
        <v>2.0760800000000001</v>
      </c>
      <c r="T284" s="3" t="s">
        <v>108</v>
      </c>
      <c r="U284" s="3" t="s">
        <v>1206</v>
      </c>
    </row>
    <row r="285" spans="1:22" x14ac:dyDescent="0.3">
      <c r="A285" s="16" t="s">
        <v>59</v>
      </c>
      <c r="B285" s="16" t="s">
        <v>22</v>
      </c>
      <c r="C285" s="16" t="s">
        <v>45</v>
      </c>
      <c r="D285" s="37">
        <v>19162</v>
      </c>
      <c r="E285" s="3">
        <v>0.59299999999999997</v>
      </c>
      <c r="S285" s="18">
        <f t="shared" si="4"/>
        <v>113.63065999999999</v>
      </c>
      <c r="T285" s="3" t="s">
        <v>62</v>
      </c>
      <c r="U285" s="3" t="s">
        <v>1205</v>
      </c>
    </row>
    <row r="286" spans="1:22" x14ac:dyDescent="0.3">
      <c r="A286" s="16" t="s">
        <v>51</v>
      </c>
      <c r="B286" s="16" t="s">
        <v>22</v>
      </c>
      <c r="C286" s="16" t="s">
        <v>45</v>
      </c>
      <c r="D286" s="36">
        <v>1509.1</v>
      </c>
      <c r="E286" s="3">
        <v>0.27</v>
      </c>
      <c r="S286" s="18">
        <f t="shared" si="4"/>
        <v>4.0745699999999996</v>
      </c>
      <c r="T286" s="3" t="s">
        <v>54</v>
      </c>
      <c r="U286" s="3" t="s">
        <v>1205</v>
      </c>
    </row>
    <row r="287" spans="1:22" x14ac:dyDescent="0.3">
      <c r="A287" s="16" t="s">
        <v>53</v>
      </c>
      <c r="B287" s="16" t="s">
        <v>22</v>
      </c>
      <c r="C287" s="16" t="s">
        <v>45</v>
      </c>
      <c r="D287" s="36">
        <v>1128.9000000000001</v>
      </c>
      <c r="E287" s="3">
        <v>0.45</v>
      </c>
      <c r="K287" s="3">
        <v>0.18</v>
      </c>
      <c r="N287" s="3">
        <v>1.4999999999999999E-2</v>
      </c>
      <c r="S287" s="18">
        <f t="shared" si="4"/>
        <v>5.0800500000000008</v>
      </c>
      <c r="T287" s="3" t="s">
        <v>54</v>
      </c>
      <c r="U287" s="3" t="s">
        <v>1205</v>
      </c>
    </row>
    <row r="288" spans="1:22" x14ac:dyDescent="0.3">
      <c r="A288" s="16" t="s">
        <v>82</v>
      </c>
      <c r="B288" s="16" t="s">
        <v>22</v>
      </c>
      <c r="C288" s="16" t="s">
        <v>45</v>
      </c>
      <c r="D288" s="36">
        <f>(191.429+811.293+14.643+185.199+384.355)*0.9072</f>
        <v>1439.6529168000002</v>
      </c>
      <c r="E288" s="33">
        <f>(0.189*191.429+0.223*811.293+0.152*14.643+0.181*185.199+0.197*384.355)/(191.429+811.293+14.643+185.199+384.355)</f>
        <v>0.20704466327518925</v>
      </c>
      <c r="L288" s="33">
        <f>((0.019*191.429+0.017*811.293+0.011*14.643+0.012*185.199+0.011*384.355)/(191.429+811.293+14.643+185.199+384.355))*31.1/0.9072</f>
        <v>0.51933315250863799</v>
      </c>
      <c r="S288" s="18">
        <f t="shared" si="4"/>
        <v>2.9807245339200006</v>
      </c>
      <c r="T288" s="3" t="s">
        <v>80</v>
      </c>
      <c r="U288" s="3" t="s">
        <v>1205</v>
      </c>
    </row>
    <row r="289" spans="1:22" x14ac:dyDescent="0.3">
      <c r="A289" s="16" t="s">
        <v>767</v>
      </c>
      <c r="B289" s="16" t="s">
        <v>22</v>
      </c>
      <c r="C289" s="16" t="s">
        <v>45</v>
      </c>
      <c r="D289" s="3">
        <v>432</v>
      </c>
      <c r="E289" s="33">
        <v>0.65689814814814806</v>
      </c>
      <c r="S289" s="18">
        <f t="shared" si="4"/>
        <v>2.8377999999999997</v>
      </c>
      <c r="T289" s="3" t="s">
        <v>44</v>
      </c>
      <c r="U289" s="3" t="s">
        <v>1205</v>
      </c>
    </row>
    <row r="290" spans="1:22" s="16" customFormat="1" x14ac:dyDescent="0.3">
      <c r="A290" s="16" t="s">
        <v>226</v>
      </c>
      <c r="B290" s="16" t="s">
        <v>22</v>
      </c>
      <c r="C290" s="16" t="s">
        <v>131</v>
      </c>
      <c r="D290" s="16">
        <f>417+31+72</f>
        <v>520</v>
      </c>
      <c r="E290" s="40">
        <f>(0.54*417+0.56*31+0.5*72)/D290</f>
        <v>0.53565384615384615</v>
      </c>
      <c r="K290" s="40">
        <f>(1.94*417+2.18*31+1.5*72)/D290</f>
        <v>1.8933846153846154</v>
      </c>
      <c r="L290" s="40">
        <f>(0.11*417+0.13*31+0.11*72)/D290</f>
        <v>0.11119230769230769</v>
      </c>
      <c r="S290" s="41">
        <f t="shared" si="4"/>
        <v>2.7854000000000001</v>
      </c>
      <c r="T290" s="16" t="s">
        <v>228</v>
      </c>
      <c r="U290" s="3" t="s">
        <v>1205</v>
      </c>
      <c r="V290" s="57"/>
    </row>
    <row r="291" spans="1:22" x14ac:dyDescent="0.3">
      <c r="A291" s="16" t="s">
        <v>57</v>
      </c>
      <c r="B291" s="16" t="s">
        <v>22</v>
      </c>
      <c r="C291" s="16" t="s">
        <v>45</v>
      </c>
      <c r="D291" s="37">
        <f>10497+1134</f>
        <v>11631</v>
      </c>
      <c r="E291" s="18">
        <f>(0.546*10497+0.25*1134)/D291</f>
        <v>0.51714057260768631</v>
      </c>
      <c r="S291" s="18">
        <f t="shared" si="4"/>
        <v>60.148619999999994</v>
      </c>
      <c r="T291" s="3" t="s">
        <v>62</v>
      </c>
      <c r="U291" s="3" t="s">
        <v>1205</v>
      </c>
    </row>
    <row r="292" spans="1:22" x14ac:dyDescent="0.3">
      <c r="A292" s="16" t="s">
        <v>768</v>
      </c>
      <c r="B292" s="16" t="s">
        <v>22</v>
      </c>
      <c r="C292" s="16" t="s">
        <v>45</v>
      </c>
      <c r="D292" s="37">
        <v>9553.9999999999982</v>
      </c>
      <c r="E292" s="33">
        <v>0.81159901611890328</v>
      </c>
      <c r="S292" s="18">
        <f t="shared" si="4"/>
        <v>77.540170000000003</v>
      </c>
      <c r="T292" s="3" t="s">
        <v>1140</v>
      </c>
      <c r="U292" s="3" t="s">
        <v>1205</v>
      </c>
    </row>
    <row r="293" spans="1:22" s="16" customFormat="1" x14ac:dyDescent="0.3">
      <c r="A293" s="16" t="s">
        <v>225</v>
      </c>
      <c r="B293" s="16" t="s">
        <v>22</v>
      </c>
      <c r="C293" s="16" t="s">
        <v>45</v>
      </c>
      <c r="D293" s="37">
        <f>427+223+141+149+920+340</f>
        <v>2200</v>
      </c>
      <c r="E293" s="40">
        <f>(0.56*427+0.31*223+0.49*141+0.29*149+0.45*920+0.26*340)/D293</f>
        <v>0.41952272727272727</v>
      </c>
      <c r="S293" s="41">
        <f t="shared" si="4"/>
        <v>9.2294999999999998</v>
      </c>
      <c r="T293" s="16" t="s">
        <v>228</v>
      </c>
      <c r="U293" s="3" t="s">
        <v>1205</v>
      </c>
      <c r="V293" s="57"/>
    </row>
    <row r="294" spans="1:22" x14ac:dyDescent="0.3">
      <c r="A294" s="16" t="s">
        <v>501</v>
      </c>
      <c r="B294" s="16" t="s">
        <v>22</v>
      </c>
      <c r="C294" s="16" t="s">
        <v>45</v>
      </c>
      <c r="D294" s="35">
        <f>531.123+137.555</f>
        <v>668.67800000000011</v>
      </c>
      <c r="E294" s="33">
        <f>(0.52*531.123+0.7*137.555)/D294</f>
        <v>0.55702813611334601</v>
      </c>
      <c r="L294" s="33">
        <f>(0.48*531.123+0.99*137.555)/D294</f>
        <v>0.58491305232114699</v>
      </c>
      <c r="S294" s="18">
        <f t="shared" si="4"/>
        <v>3.7247246000000005</v>
      </c>
      <c r="T294" s="3" t="s">
        <v>502</v>
      </c>
      <c r="U294" s="3" t="s">
        <v>1205</v>
      </c>
    </row>
    <row r="295" spans="1:22" x14ac:dyDescent="0.3">
      <c r="A295" s="16" t="s">
        <v>197</v>
      </c>
      <c r="B295" s="16" t="s">
        <v>22</v>
      </c>
      <c r="C295" s="16" t="s">
        <v>45</v>
      </c>
      <c r="D295" s="37">
        <f>2715+1248</f>
        <v>3963</v>
      </c>
      <c r="E295" s="18">
        <f>(0.444*2715+0.182*1248)/D295</f>
        <v>0.36149280847842541</v>
      </c>
      <c r="S295" s="18">
        <f t="shared" si="4"/>
        <v>14.32596</v>
      </c>
      <c r="T295" s="3" t="s">
        <v>62</v>
      </c>
      <c r="U295" s="3" t="s">
        <v>1205</v>
      </c>
    </row>
    <row r="296" spans="1:22" x14ac:dyDescent="0.3">
      <c r="A296" s="16" t="s">
        <v>24</v>
      </c>
      <c r="B296" s="16" t="s">
        <v>22</v>
      </c>
      <c r="C296" s="16" t="s">
        <v>131</v>
      </c>
      <c r="D296" s="3">
        <f>44.8+39.8+0.5+0.7+136.6+5.4</f>
        <v>227.79999999999998</v>
      </c>
      <c r="E296" s="33">
        <f>(0.71*44.8+0.7*39.8+0.5*0.8+0.7*0.72+0.93*136.6+0.62*5.4)/(44.8+39.8+0.5+0.7+136.6+5.4)</f>
        <v>0.8382704126426691</v>
      </c>
      <c r="S296" s="18">
        <f t="shared" si="4"/>
        <v>1.9095800000000001</v>
      </c>
      <c r="T296" s="3" t="s">
        <v>23</v>
      </c>
      <c r="U296" s="3" t="s">
        <v>1205</v>
      </c>
    </row>
    <row r="297" spans="1:22" x14ac:dyDescent="0.3">
      <c r="A297" s="16" t="s">
        <v>536</v>
      </c>
      <c r="B297" s="16" t="s">
        <v>22</v>
      </c>
      <c r="C297" s="16" t="s">
        <v>45</v>
      </c>
      <c r="D297" s="37">
        <f>16756+2284</f>
        <v>19040</v>
      </c>
      <c r="E297" s="18">
        <f>(0.558*16756+0.541*2284)/D297</f>
        <v>0.55596071428571425</v>
      </c>
      <c r="S297" s="18">
        <f t="shared" si="4"/>
        <v>105.85492000000001</v>
      </c>
      <c r="T297" s="3" t="s">
        <v>62</v>
      </c>
      <c r="U297" s="3" t="s">
        <v>1205</v>
      </c>
    </row>
    <row r="298" spans="1:22" x14ac:dyDescent="0.3">
      <c r="A298" s="16" t="s">
        <v>49</v>
      </c>
      <c r="B298" s="16" t="s">
        <v>22</v>
      </c>
      <c r="C298" s="16" t="s">
        <v>45</v>
      </c>
      <c r="D298" s="3">
        <v>276.3</v>
      </c>
      <c r="E298" s="3">
        <v>0.59</v>
      </c>
      <c r="S298" s="18">
        <f t="shared" si="4"/>
        <v>1.6301699999999999</v>
      </c>
      <c r="T298" s="3" t="s">
        <v>1143</v>
      </c>
      <c r="U298" s="3" t="s">
        <v>1205</v>
      </c>
    </row>
    <row r="299" spans="1:22" x14ac:dyDescent="0.3">
      <c r="A299" s="16" t="s">
        <v>1015</v>
      </c>
      <c r="B299" s="16" t="s">
        <v>22</v>
      </c>
      <c r="C299" s="16" t="s">
        <v>45</v>
      </c>
      <c r="D299" s="3">
        <v>420.6</v>
      </c>
      <c r="E299" s="3">
        <v>0.41</v>
      </c>
      <c r="K299" s="3">
        <v>1.24</v>
      </c>
      <c r="L299" s="3">
        <v>0.05</v>
      </c>
      <c r="N299" s="18">
        <v>6.1390000000000004E-3</v>
      </c>
      <c r="S299" s="18">
        <f t="shared" si="4"/>
        <v>1.7244599999999999</v>
      </c>
      <c r="T299" s="3" t="s">
        <v>1016</v>
      </c>
      <c r="U299" s="3" t="s">
        <v>1205</v>
      </c>
    </row>
    <row r="300" spans="1:22" x14ac:dyDescent="0.3">
      <c r="A300" s="16" t="s">
        <v>773</v>
      </c>
      <c r="B300" s="16" t="s">
        <v>22</v>
      </c>
      <c r="C300" s="16" t="s">
        <v>45</v>
      </c>
      <c r="D300" s="37">
        <v>8509</v>
      </c>
      <c r="E300" s="33">
        <v>0.61269361852156534</v>
      </c>
      <c r="S300" s="18">
        <f t="shared" si="4"/>
        <v>52.134099999999997</v>
      </c>
      <c r="T300" s="3" t="s">
        <v>775</v>
      </c>
      <c r="U300" s="3" t="s">
        <v>1205</v>
      </c>
    </row>
    <row r="301" spans="1:22" x14ac:dyDescent="0.3">
      <c r="A301" s="16" t="s">
        <v>48</v>
      </c>
      <c r="B301" s="16" t="s">
        <v>22</v>
      </c>
      <c r="C301" s="16" t="s">
        <v>45</v>
      </c>
      <c r="D301" s="36">
        <v>1922.6</v>
      </c>
      <c r="E301" s="3">
        <v>0.39</v>
      </c>
      <c r="L301" s="3">
        <v>0.11</v>
      </c>
      <c r="N301" s="3">
        <v>0.01</v>
      </c>
      <c r="S301" s="18">
        <f t="shared" si="4"/>
        <v>7.4981399999999994</v>
      </c>
      <c r="T301" s="3" t="s">
        <v>54</v>
      </c>
      <c r="U301" s="3" t="s">
        <v>1205</v>
      </c>
    </row>
    <row r="302" spans="1:22" x14ac:dyDescent="0.3">
      <c r="A302" s="16" t="s">
        <v>61</v>
      </c>
      <c r="B302" s="16" t="s">
        <v>22</v>
      </c>
      <c r="C302" s="16" t="s">
        <v>45</v>
      </c>
      <c r="D302" s="37">
        <v>1068</v>
      </c>
      <c r="E302" s="3">
        <v>0.30499999999999999</v>
      </c>
      <c r="S302" s="18">
        <f t="shared" si="4"/>
        <v>3.2574000000000001</v>
      </c>
      <c r="T302" s="3" t="s">
        <v>62</v>
      </c>
      <c r="U302" s="3" t="s">
        <v>1205</v>
      </c>
    </row>
    <row r="303" spans="1:22" x14ac:dyDescent="0.3">
      <c r="A303" s="16" t="s">
        <v>235</v>
      </c>
      <c r="B303" s="16" t="s">
        <v>22</v>
      </c>
      <c r="C303" s="16" t="s">
        <v>131</v>
      </c>
      <c r="D303" s="33">
        <f>48.919+16.175+2.062</f>
        <v>67.155999999999992</v>
      </c>
      <c r="E303" s="33">
        <f>(0.69*48.919+0.62*16.175+0.63*2.062)/(48.919+16.175+2.062)</f>
        <v>0.67129772470069693</v>
      </c>
      <c r="S303" s="18">
        <f t="shared" si="4"/>
        <v>0.45081669999999996</v>
      </c>
      <c r="T303" s="3" t="s">
        <v>234</v>
      </c>
      <c r="U303" s="3" t="s">
        <v>1206</v>
      </c>
    </row>
    <row r="304" spans="1:22" x14ac:dyDescent="0.3">
      <c r="A304" s="16" t="s">
        <v>60</v>
      </c>
      <c r="B304" s="16" t="s">
        <v>22</v>
      </c>
      <c r="C304" s="16" t="s">
        <v>45</v>
      </c>
      <c r="D304" s="37">
        <v>1191</v>
      </c>
      <c r="E304" s="3">
        <v>0.36299999999999999</v>
      </c>
      <c r="S304" s="18">
        <f t="shared" si="4"/>
        <v>4.3233299999999995</v>
      </c>
      <c r="T304" s="3" t="s">
        <v>62</v>
      </c>
      <c r="U304" s="3" t="s">
        <v>1205</v>
      </c>
    </row>
    <row r="305" spans="1:21" x14ac:dyDescent="0.3">
      <c r="A305" s="16" t="s">
        <v>188</v>
      </c>
      <c r="B305" s="16" t="s">
        <v>22</v>
      </c>
      <c r="C305" s="16" t="s">
        <v>45</v>
      </c>
      <c r="D305" s="3">
        <f>86.5+769.7</f>
        <v>856.2</v>
      </c>
      <c r="E305" s="33">
        <f>(0.63*86.5+0.36*769.7)/D305</f>
        <v>0.38727750525578131</v>
      </c>
      <c r="L305" s="33">
        <f>(0.13*86.5+0.1*769.7)/D305</f>
        <v>0.10303083391730905</v>
      </c>
      <c r="N305" s="18">
        <f>(0.004*86.5+0.01*769.7)/D305</f>
        <v>9.3938332165381926E-3</v>
      </c>
      <c r="S305" s="18">
        <f t="shared" si="4"/>
        <v>3.3158699999999999</v>
      </c>
      <c r="T305" s="3" t="s">
        <v>191</v>
      </c>
      <c r="U305" s="3" t="s">
        <v>1205</v>
      </c>
    </row>
    <row r="306" spans="1:21" x14ac:dyDescent="0.3">
      <c r="A306" s="16" t="s">
        <v>774</v>
      </c>
      <c r="B306" s="16" t="s">
        <v>22</v>
      </c>
      <c r="C306" s="16" t="s">
        <v>45</v>
      </c>
      <c r="D306" s="37">
        <v>1501</v>
      </c>
      <c r="E306" s="33">
        <v>0.29604263824117255</v>
      </c>
      <c r="S306" s="18">
        <f t="shared" si="4"/>
        <v>4.4436</v>
      </c>
      <c r="T306" s="3" t="s">
        <v>27</v>
      </c>
      <c r="U306" s="3" t="s">
        <v>1205</v>
      </c>
    </row>
    <row r="307" spans="1:21" x14ac:dyDescent="0.3">
      <c r="A307" s="16" t="s">
        <v>21</v>
      </c>
      <c r="B307" s="16" t="s">
        <v>22</v>
      </c>
      <c r="C307" s="16" t="s">
        <v>45</v>
      </c>
      <c r="D307" s="36">
        <f>1148.1+2921.4+108.4+1507.4+734.5</f>
        <v>6419.7999999999993</v>
      </c>
      <c r="E307" s="33">
        <f>(0.43*1148.1+0.38*2921.4+0.26*108.4+0.64*1507.4+0.33*734.5)/(1148.1+2921.4+108.4+1507.4+734.5)</f>
        <v>0.44224430667622056</v>
      </c>
      <c r="N307" s="18">
        <f>(0.007*1148.1+0.007*2921.4+0.007*108.4+0.014*1507.4+0.014*734.5)/(1148.1+2921.4+108.4+1507.4+734.5)</f>
        <v>9.4445154054643467E-3</v>
      </c>
      <c r="S307" s="18">
        <f t="shared" si="4"/>
        <v>28.391200000000005</v>
      </c>
      <c r="T307" s="3" t="s">
        <v>23</v>
      </c>
      <c r="U307" s="3" t="s">
        <v>1205</v>
      </c>
    </row>
    <row r="308" spans="1:21" x14ac:dyDescent="0.3">
      <c r="A308" s="16" t="s">
        <v>47</v>
      </c>
      <c r="B308" s="16" t="s">
        <v>22</v>
      </c>
      <c r="C308" s="16" t="s">
        <v>45</v>
      </c>
      <c r="D308" s="36">
        <v>5818.4</v>
      </c>
      <c r="E308" s="3">
        <v>0.53</v>
      </c>
      <c r="L308" s="3">
        <v>0.04</v>
      </c>
      <c r="N308" s="3">
        <v>0.01</v>
      </c>
      <c r="S308" s="18">
        <f t="shared" si="4"/>
        <v>30.837519999999998</v>
      </c>
      <c r="T308" s="3" t="s">
        <v>1143</v>
      </c>
      <c r="U308" s="3" t="s">
        <v>1205</v>
      </c>
    </row>
    <row r="309" spans="1:21" x14ac:dyDescent="0.3">
      <c r="A309" s="16" t="s">
        <v>193</v>
      </c>
      <c r="B309" s="16" t="s">
        <v>22</v>
      </c>
      <c r="C309" s="16" t="s">
        <v>45</v>
      </c>
      <c r="D309" s="37">
        <v>1200</v>
      </c>
      <c r="E309" s="33">
        <v>1.46</v>
      </c>
      <c r="S309" s="18">
        <f t="shared" si="4"/>
        <v>17.52</v>
      </c>
      <c r="T309" s="3" t="s">
        <v>23</v>
      </c>
      <c r="U309" s="3" t="s">
        <v>1205</v>
      </c>
    </row>
    <row r="310" spans="1:21" x14ac:dyDescent="0.3">
      <c r="A310" s="16" t="s">
        <v>25</v>
      </c>
      <c r="B310" s="16" t="s">
        <v>22</v>
      </c>
      <c r="C310" s="16" t="s">
        <v>131</v>
      </c>
      <c r="D310" s="3">
        <f>118.2+9.1+22.4+4.1+13.3+45.8+21.8+59.5</f>
        <v>294.2</v>
      </c>
      <c r="E310" s="33">
        <f>(0.65*118.2+0.59*9.1+0.42*22.4+0.43*4.1+0.24*13.3+0.85*45.8+0.37*21.8+0.23*59.5)/(118.2+9.1+22.4+4.1+13.3+45.8+21.8+59.5)</f>
        <v>0.53447654656696131</v>
      </c>
      <c r="S310" s="18">
        <f t="shared" si="4"/>
        <v>1.5724300000000002</v>
      </c>
      <c r="T310" s="3" t="s">
        <v>23</v>
      </c>
      <c r="U310" s="3" t="s">
        <v>1205</v>
      </c>
    </row>
    <row r="311" spans="1:21" x14ac:dyDescent="0.3">
      <c r="A311" s="16" t="s">
        <v>776</v>
      </c>
      <c r="B311" s="16" t="s">
        <v>22</v>
      </c>
      <c r="C311" s="16" t="s">
        <v>131</v>
      </c>
      <c r="D311" s="3">
        <v>328.7</v>
      </c>
      <c r="E311" s="33">
        <v>0.53302099178582296</v>
      </c>
      <c r="S311" s="18">
        <f t="shared" si="4"/>
        <v>1.75204</v>
      </c>
      <c r="T311" s="3" t="s">
        <v>23</v>
      </c>
      <c r="U311" s="3" t="s">
        <v>1205</v>
      </c>
    </row>
    <row r="312" spans="1:21" x14ac:dyDescent="0.3">
      <c r="A312" s="16" t="s">
        <v>50</v>
      </c>
      <c r="B312" s="16" t="s">
        <v>22</v>
      </c>
      <c r="C312" s="16" t="s">
        <v>1073</v>
      </c>
      <c r="D312" s="3">
        <v>56.2</v>
      </c>
      <c r="E312" s="3">
        <v>1.78</v>
      </c>
      <c r="S312" s="18">
        <f t="shared" si="4"/>
        <v>1.0003599999999999</v>
      </c>
      <c r="T312" s="3" t="s">
        <v>1143</v>
      </c>
      <c r="U312" s="3" t="s">
        <v>1205</v>
      </c>
    </row>
    <row r="313" spans="1:21" x14ac:dyDescent="0.3">
      <c r="A313" s="16" t="s">
        <v>530</v>
      </c>
      <c r="B313" s="16" t="s">
        <v>22</v>
      </c>
      <c r="C313" s="16" t="s">
        <v>1067</v>
      </c>
      <c r="D313" s="3">
        <v>0.66500000000000004</v>
      </c>
      <c r="E313" s="3">
        <v>0.49</v>
      </c>
      <c r="L313" s="3">
        <v>1.48</v>
      </c>
      <c r="S313" s="18">
        <f t="shared" si="4"/>
        <v>3.2585000000000001E-3</v>
      </c>
      <c r="T313" s="3" t="s">
        <v>535</v>
      </c>
      <c r="U313" s="3" t="s">
        <v>1246</v>
      </c>
    </row>
    <row r="314" spans="1:21" x14ac:dyDescent="0.3">
      <c r="A314" s="16" t="s">
        <v>533</v>
      </c>
      <c r="B314" s="16" t="s">
        <v>22</v>
      </c>
      <c r="C314" s="16" t="s">
        <v>1067</v>
      </c>
      <c r="D314" s="18">
        <v>0.87265899999999996</v>
      </c>
      <c r="E314" s="3">
        <v>0.65</v>
      </c>
      <c r="L314" s="3">
        <v>1.1000000000000001</v>
      </c>
      <c r="S314" s="18">
        <f t="shared" si="4"/>
        <v>5.6722835000000008E-3</v>
      </c>
      <c r="T314" s="3" t="s">
        <v>535</v>
      </c>
      <c r="U314" s="3" t="s">
        <v>1246</v>
      </c>
    </row>
    <row r="315" spans="1:21" x14ac:dyDescent="0.3">
      <c r="A315" s="16" t="s">
        <v>531</v>
      </c>
      <c r="B315" s="16" t="s">
        <v>22</v>
      </c>
      <c r="C315" s="16" t="s">
        <v>1067</v>
      </c>
      <c r="D315" s="33">
        <v>3.4464399999999999</v>
      </c>
      <c r="E315" s="3">
        <v>0.42</v>
      </c>
      <c r="L315" s="3">
        <v>1.32</v>
      </c>
      <c r="S315" s="18">
        <f t="shared" si="4"/>
        <v>1.4475047999999999E-2</v>
      </c>
      <c r="T315" s="3" t="s">
        <v>535</v>
      </c>
      <c r="U315" s="3" t="s">
        <v>1246</v>
      </c>
    </row>
    <row r="316" spans="1:21" x14ac:dyDescent="0.3">
      <c r="A316" s="16" t="s">
        <v>529</v>
      </c>
      <c r="B316" s="16" t="s">
        <v>22</v>
      </c>
      <c r="C316" s="16" t="s">
        <v>1067</v>
      </c>
      <c r="D316" s="33">
        <v>3.0721699999999998</v>
      </c>
      <c r="E316" s="3">
        <v>0.6</v>
      </c>
      <c r="L316" s="3">
        <v>1.7</v>
      </c>
      <c r="S316" s="18">
        <f t="shared" si="4"/>
        <v>1.8433019999999998E-2</v>
      </c>
      <c r="T316" s="3" t="s">
        <v>535</v>
      </c>
      <c r="U316" s="3" t="s">
        <v>1246</v>
      </c>
    </row>
    <row r="317" spans="1:21" x14ac:dyDescent="0.3">
      <c r="A317" s="16" t="s">
        <v>534</v>
      </c>
      <c r="B317" s="16" t="s">
        <v>22</v>
      </c>
      <c r="C317" s="16" t="s">
        <v>1067</v>
      </c>
      <c r="D317" s="33">
        <v>1.3197099999999999</v>
      </c>
      <c r="E317" s="3">
        <v>0.5</v>
      </c>
      <c r="L317" s="3">
        <v>1.55</v>
      </c>
      <c r="S317" s="18">
        <f t="shared" si="4"/>
        <v>6.5985499999999999E-3</v>
      </c>
      <c r="T317" s="3" t="s">
        <v>535</v>
      </c>
      <c r="U317" s="3" t="s">
        <v>1246</v>
      </c>
    </row>
    <row r="318" spans="1:21" x14ac:dyDescent="0.3">
      <c r="A318" s="16" t="s">
        <v>532</v>
      </c>
      <c r="B318" s="16" t="s">
        <v>22</v>
      </c>
      <c r="C318" s="16" t="s">
        <v>1067</v>
      </c>
      <c r="D318" s="33">
        <v>4.6544819999999998</v>
      </c>
      <c r="E318" s="3">
        <v>0.54</v>
      </c>
      <c r="L318" s="3">
        <v>1.64</v>
      </c>
      <c r="S318" s="18">
        <f t="shared" si="4"/>
        <v>2.5134202800000002E-2</v>
      </c>
      <c r="T318" s="3" t="s">
        <v>535</v>
      </c>
      <c r="U318" s="3" t="s">
        <v>1246</v>
      </c>
    </row>
    <row r="319" spans="1:21" x14ac:dyDescent="0.3">
      <c r="A319" s="16" t="s">
        <v>58</v>
      </c>
      <c r="B319" s="16" t="s">
        <v>22</v>
      </c>
      <c r="C319" s="16" t="s">
        <v>45</v>
      </c>
      <c r="D319" s="37">
        <v>1339</v>
      </c>
      <c r="E319" s="3">
        <v>0.94399999999999995</v>
      </c>
      <c r="S319" s="18">
        <f t="shared" si="4"/>
        <v>12.640159999999998</v>
      </c>
      <c r="T319" s="3" t="s">
        <v>62</v>
      </c>
      <c r="U319" s="3" t="s">
        <v>1205</v>
      </c>
    </row>
    <row r="320" spans="1:21" x14ac:dyDescent="0.3">
      <c r="A320" s="16" t="s">
        <v>498</v>
      </c>
      <c r="B320" s="16" t="s">
        <v>22</v>
      </c>
      <c r="C320" s="16" t="s">
        <v>45</v>
      </c>
      <c r="D320" s="3">
        <f>7.2+9.8</f>
        <v>17</v>
      </c>
      <c r="E320" s="33">
        <f>(0.56*7.2+0.52*9.8)/D320</f>
        <v>0.53694117647058837</v>
      </c>
      <c r="S320" s="18">
        <f t="shared" si="4"/>
        <v>9.1280000000000014E-2</v>
      </c>
      <c r="T320" s="3" t="s">
        <v>497</v>
      </c>
      <c r="U320" s="3" t="s">
        <v>1205</v>
      </c>
    </row>
    <row r="321" spans="1:22" x14ac:dyDescent="0.3">
      <c r="A321" s="16" t="s">
        <v>1142</v>
      </c>
      <c r="B321" s="16" t="s">
        <v>22</v>
      </c>
      <c r="C321" s="16" t="s">
        <v>131</v>
      </c>
      <c r="D321" s="3">
        <f>4+2</f>
        <v>6</v>
      </c>
      <c r="E321" s="33">
        <f>(1.12*4+1.1*2)/D321</f>
        <v>1.1133333333333335</v>
      </c>
      <c r="K321" s="3">
        <f>(0.28*4+0.28*2)/D321</f>
        <v>0.28000000000000003</v>
      </c>
      <c r="L321" s="33">
        <f>(3.65*4+3.4*2)/D321</f>
        <v>3.5666666666666664</v>
      </c>
      <c r="S321" s="18">
        <f t="shared" si="4"/>
        <v>6.6800000000000012E-2</v>
      </c>
      <c r="T321" s="3" t="s">
        <v>228</v>
      </c>
      <c r="U321" s="3" t="s">
        <v>1205</v>
      </c>
    </row>
    <row r="322" spans="1:22" x14ac:dyDescent="0.3">
      <c r="A322" s="16" t="s">
        <v>83</v>
      </c>
      <c r="B322" s="16" t="s">
        <v>22</v>
      </c>
      <c r="C322" s="16" t="s">
        <v>1063</v>
      </c>
      <c r="D322" s="35">
        <f>43.395+380.536+19.956+211.634+32.29</f>
        <v>687.81099999999992</v>
      </c>
      <c r="E322" s="33">
        <f>(0.096*43.395+0.075*380.536+0.067*19.956+0.056*211.634+0.046*32.29)/(43.395+380.536+19.956+211.634+32.29)</f>
        <v>6.8885225737884401E-2</v>
      </c>
      <c r="S322" s="18">
        <f t="shared" si="4"/>
        <v>0.47380016000000003</v>
      </c>
      <c r="T322" s="3" t="s">
        <v>80</v>
      </c>
      <c r="U322" s="3" t="s">
        <v>1205</v>
      </c>
    </row>
    <row r="323" spans="1:22" x14ac:dyDescent="0.3">
      <c r="A323" s="16" t="s">
        <v>579</v>
      </c>
      <c r="B323" s="16" t="s">
        <v>22</v>
      </c>
      <c r="C323" s="16" t="s">
        <v>131</v>
      </c>
      <c r="D323" s="3">
        <v>89.4</v>
      </c>
      <c r="E323" s="3">
        <v>0.6</v>
      </c>
      <c r="L323" s="3">
        <v>0.1</v>
      </c>
      <c r="N323" s="18">
        <v>1.4200000000000001E-2</v>
      </c>
      <c r="S323" s="18">
        <f t="shared" ref="S323:S345" si="5">D323*E323/100</f>
        <v>0.53639999999999999</v>
      </c>
      <c r="T323" s="3" t="s">
        <v>580</v>
      </c>
      <c r="U323" s="3" t="s">
        <v>1205</v>
      </c>
    </row>
    <row r="324" spans="1:22" x14ac:dyDescent="0.3">
      <c r="A324" s="16" t="s">
        <v>100</v>
      </c>
      <c r="B324" s="16" t="s">
        <v>22</v>
      </c>
      <c r="C324" s="16" t="s">
        <v>45</v>
      </c>
      <c r="D324" s="36">
        <f>20.1+116.4+1.8+1.4+0.3+28+21.9+13.7+37.1+629.4+719.6</f>
        <v>1589.7</v>
      </c>
      <c r="E324" s="33">
        <f>(0.83*20.1+0.33*116.4+0.84*1.8+0.78*1.4+0.79*0.3+0.31*28+0.31*21.9+0.28*13.7+0.55*37.1+0.52*629.4+0.44*719.6)/D324</f>
        <v>0.46647669371579542</v>
      </c>
      <c r="S324" s="18">
        <f t="shared" si="5"/>
        <v>7.4155800000000003</v>
      </c>
      <c r="T324" s="3" t="s">
        <v>108</v>
      </c>
      <c r="U324" s="3" t="s">
        <v>1206</v>
      </c>
    </row>
    <row r="325" spans="1:22" x14ac:dyDescent="0.3">
      <c r="A325" s="16" t="s">
        <v>56</v>
      </c>
      <c r="B325" s="16" t="s">
        <v>22</v>
      </c>
      <c r="C325" s="16" t="s">
        <v>45</v>
      </c>
      <c r="D325" s="37">
        <v>7247</v>
      </c>
      <c r="E325" s="3">
        <v>0.36799999999999999</v>
      </c>
      <c r="S325" s="18">
        <f t="shared" si="5"/>
        <v>26.668959999999998</v>
      </c>
      <c r="T325" s="3" t="s">
        <v>62</v>
      </c>
      <c r="U325" s="3" t="s">
        <v>1205</v>
      </c>
    </row>
    <row r="326" spans="1:22" x14ac:dyDescent="0.3">
      <c r="A326" s="16" t="s">
        <v>801</v>
      </c>
      <c r="B326" s="16" t="s">
        <v>22</v>
      </c>
      <c r="C326" s="16" t="s">
        <v>45</v>
      </c>
      <c r="D326" s="3">
        <f>648+36</f>
        <v>684</v>
      </c>
      <c r="E326" s="33">
        <f>(0.47*648+0.37*36)/D326</f>
        <v>0.46473684210526317</v>
      </c>
      <c r="N326" s="3">
        <v>4.7E-2</v>
      </c>
      <c r="S326" s="18">
        <f t="shared" si="5"/>
        <v>3.1787999999999998</v>
      </c>
      <c r="T326" s="3" t="s">
        <v>108</v>
      </c>
      <c r="U326" s="3" t="s">
        <v>1206</v>
      </c>
    </row>
    <row r="327" spans="1:22" x14ac:dyDescent="0.3">
      <c r="A327" s="16" t="s">
        <v>194</v>
      </c>
      <c r="B327" s="16" t="s">
        <v>22</v>
      </c>
      <c r="C327" s="16" t="s">
        <v>45</v>
      </c>
      <c r="D327" s="3">
        <v>900</v>
      </c>
      <c r="E327" s="33">
        <v>0.81</v>
      </c>
      <c r="S327" s="18">
        <f t="shared" si="5"/>
        <v>7.29</v>
      </c>
      <c r="T327" s="3" t="s">
        <v>23</v>
      </c>
      <c r="U327" s="3" t="s">
        <v>1205</v>
      </c>
    </row>
    <row r="328" spans="1:22" x14ac:dyDescent="0.3">
      <c r="A328" s="16" t="s">
        <v>78</v>
      </c>
      <c r="B328" s="16" t="s">
        <v>22</v>
      </c>
      <c r="C328" s="16" t="s">
        <v>131</v>
      </c>
      <c r="D328" s="3">
        <f>517+64</f>
        <v>581</v>
      </c>
      <c r="E328" s="33">
        <f>(0.33*517+0.2*64)/D328</f>
        <v>0.31567986230636835</v>
      </c>
      <c r="L328" s="18">
        <f>(0.044*517+0.026*64)/D328</f>
        <v>4.2017211703958689E-2</v>
      </c>
      <c r="S328" s="18">
        <f t="shared" si="5"/>
        <v>1.8341000000000003</v>
      </c>
      <c r="T328" s="3" t="s">
        <v>75</v>
      </c>
      <c r="U328" s="3" t="s">
        <v>1205</v>
      </c>
    </row>
    <row r="329" spans="1:22" x14ac:dyDescent="0.3">
      <c r="A329" s="16" t="s">
        <v>233</v>
      </c>
      <c r="B329" s="16" t="s">
        <v>22</v>
      </c>
      <c r="C329" s="16" t="s">
        <v>45</v>
      </c>
      <c r="D329" s="36">
        <f>2236.1+681.6</f>
        <v>2917.7</v>
      </c>
      <c r="E329" s="33">
        <f>(0.37*2236.1+0.31*681.6)/(2236.1+681.6)</f>
        <v>0.35598348013846526</v>
      </c>
      <c r="L329" s="33">
        <f>(0.059*2236.1+0.035*681.6)/(2236.1+681.6)</f>
        <v>5.3393392055386082E-2</v>
      </c>
      <c r="N329" s="18">
        <f>(0.021*2236.1+0.009*681.6)/(2236.1+681.6)</f>
        <v>1.8196696027693048E-2</v>
      </c>
      <c r="S329" s="18">
        <f t="shared" si="5"/>
        <v>10.38653</v>
      </c>
      <c r="T329" s="3" t="s">
        <v>234</v>
      </c>
      <c r="U329" s="3" t="s">
        <v>1206</v>
      </c>
    </row>
    <row r="330" spans="1:22" x14ac:dyDescent="0.3">
      <c r="A330" s="16" t="s">
        <v>777</v>
      </c>
      <c r="B330" s="16" t="s">
        <v>22</v>
      </c>
      <c r="C330" s="16" t="s">
        <v>45</v>
      </c>
      <c r="D330" s="39">
        <v>358</v>
      </c>
      <c r="E330" s="33">
        <v>0.88424581005586589</v>
      </c>
      <c r="S330" s="18">
        <f t="shared" si="5"/>
        <v>3.1656</v>
      </c>
      <c r="T330" s="3" t="s">
        <v>44</v>
      </c>
      <c r="U330" s="3" t="s">
        <v>1205</v>
      </c>
    </row>
    <row r="331" spans="1:22" x14ac:dyDescent="0.3">
      <c r="A331" s="16" t="s">
        <v>52</v>
      </c>
      <c r="B331" s="16" t="s">
        <v>22</v>
      </c>
      <c r="C331" s="16" t="s">
        <v>45</v>
      </c>
      <c r="D331" s="36">
        <v>2727.9</v>
      </c>
      <c r="E331" s="3">
        <v>0.35</v>
      </c>
      <c r="S331" s="18">
        <f t="shared" si="5"/>
        <v>9.5476499999999991</v>
      </c>
      <c r="T331" s="3" t="s">
        <v>54</v>
      </c>
      <c r="U331" s="3" t="s">
        <v>1205</v>
      </c>
    </row>
    <row r="332" spans="1:22" x14ac:dyDescent="0.3">
      <c r="A332" s="16" t="s">
        <v>1224</v>
      </c>
      <c r="B332" s="16" t="s">
        <v>22</v>
      </c>
      <c r="C332" s="16" t="s">
        <v>1083</v>
      </c>
      <c r="D332" s="3">
        <v>30</v>
      </c>
      <c r="E332" s="3">
        <v>1.5</v>
      </c>
      <c r="S332" s="18">
        <f t="shared" si="5"/>
        <v>0.45</v>
      </c>
      <c r="T332" s="3" t="s">
        <v>128</v>
      </c>
      <c r="U332" s="3" t="s">
        <v>1222</v>
      </c>
      <c r="V332" s="8" t="s">
        <v>1223</v>
      </c>
    </row>
    <row r="333" spans="1:22" x14ac:dyDescent="0.3">
      <c r="A333" s="16" t="s">
        <v>195</v>
      </c>
      <c r="B333" s="16" t="s">
        <v>22</v>
      </c>
      <c r="C333" s="16" t="s">
        <v>45</v>
      </c>
      <c r="D333" s="3">
        <v>750</v>
      </c>
      <c r="E333" s="33">
        <v>0.54</v>
      </c>
      <c r="S333" s="18">
        <f t="shared" si="5"/>
        <v>4.05</v>
      </c>
      <c r="T333" s="3" t="s">
        <v>23</v>
      </c>
      <c r="U333" s="3" t="s">
        <v>1205</v>
      </c>
    </row>
    <row r="334" spans="1:22" x14ac:dyDescent="0.3">
      <c r="A334" s="16" t="s">
        <v>79</v>
      </c>
      <c r="B334" s="16" t="s">
        <v>22</v>
      </c>
      <c r="C334" s="16" t="s">
        <v>45</v>
      </c>
      <c r="D334" s="35">
        <f>403.813+209.024+80.445+66.148+69.308</f>
        <v>828.73799999999994</v>
      </c>
      <c r="E334" s="33">
        <f>(0.544*403.813+0.507*209.024+0.433*80.445+0.443*66.148+0.545*69.308)/(403.813+209.024+80.445+66.148+69.308)</f>
        <v>0.51591522169853443</v>
      </c>
      <c r="S334" s="18">
        <f t="shared" si="5"/>
        <v>4.2755854900000001</v>
      </c>
      <c r="T334" s="3" t="s">
        <v>80</v>
      </c>
      <c r="U334" s="3" t="s">
        <v>1205</v>
      </c>
    </row>
    <row r="335" spans="1:22" x14ac:dyDescent="0.3">
      <c r="A335" s="16" t="s">
        <v>601</v>
      </c>
      <c r="B335" s="16" t="s">
        <v>86</v>
      </c>
      <c r="C335" s="16" t="s">
        <v>1063</v>
      </c>
      <c r="D335" s="35">
        <f>0.565+4.36+127.77+8.2</f>
        <v>140.89499999999998</v>
      </c>
      <c r="E335" s="33">
        <f>(0.565*1.01+4.36*0.98+0.31*127.77+0.5*8.2)/(0.565+4.36+127.77+8.2)</f>
        <v>0.34459810497178756</v>
      </c>
      <c r="L335" s="33">
        <f>(0.565*1.93+4.36*2.01+0.19*127.77+0*8.2)/(0.565+4.36+127.77+8.2)</f>
        <v>0.24223961105788</v>
      </c>
      <c r="S335" s="18">
        <f t="shared" si="5"/>
        <v>0.48552150000000005</v>
      </c>
      <c r="T335" s="3" t="s">
        <v>381</v>
      </c>
      <c r="U335" s="3" t="s">
        <v>1205</v>
      </c>
    </row>
    <row r="336" spans="1:22" x14ac:dyDescent="0.3">
      <c r="A336" s="16" t="s">
        <v>571</v>
      </c>
      <c r="B336" s="16" t="s">
        <v>86</v>
      </c>
      <c r="C336" s="16" t="s">
        <v>808</v>
      </c>
      <c r="D336" s="33">
        <v>10.571</v>
      </c>
      <c r="E336" s="3">
        <v>1.42</v>
      </c>
      <c r="J336" s="3">
        <v>0.99</v>
      </c>
      <c r="K336" s="3">
        <v>23.7</v>
      </c>
      <c r="L336" s="3">
        <v>0.8</v>
      </c>
      <c r="S336" s="18">
        <f t="shared" si="5"/>
        <v>0.1501082</v>
      </c>
      <c r="T336" s="3" t="s">
        <v>381</v>
      </c>
      <c r="U336" s="3" t="s">
        <v>1205</v>
      </c>
    </row>
    <row r="337" spans="1:22" x14ac:dyDescent="0.3">
      <c r="A337" s="16" t="s">
        <v>81</v>
      </c>
      <c r="B337" s="16" t="s">
        <v>86</v>
      </c>
      <c r="C337" s="16" t="s">
        <v>1063</v>
      </c>
      <c r="D337" s="35">
        <f>8.864+159.553+2.692+94.115+5.191</f>
        <v>270.41499999999996</v>
      </c>
      <c r="E337" s="33">
        <f>(0.12*8.864+0.093*159.553+0.1*2.692+0.082*94.115+0.098*5.191)/(8.864+159.553+2.692+94.115+5.191)</f>
        <v>9.0222276870735738E-2</v>
      </c>
      <c r="S337" s="18">
        <f t="shared" si="5"/>
        <v>0.24397457000000003</v>
      </c>
      <c r="T337" s="3" t="s">
        <v>80</v>
      </c>
      <c r="U337" s="3" t="s">
        <v>1205</v>
      </c>
    </row>
    <row r="338" spans="1:22" x14ac:dyDescent="0.3">
      <c r="A338" s="16" t="s">
        <v>711</v>
      </c>
      <c r="B338" s="16" t="s">
        <v>474</v>
      </c>
      <c r="C338" s="16" t="s">
        <v>1061</v>
      </c>
      <c r="D338" s="33">
        <f>0.51+0.241+0.361+0.715</f>
        <v>1.827</v>
      </c>
      <c r="E338" s="33">
        <f>(7.81*0.51+5.81*0.241+7.11*0.361+1.5*0.715)/D338</f>
        <v>4.9384345922276962</v>
      </c>
      <c r="S338" s="18">
        <f t="shared" si="5"/>
        <v>9.0225200000000005E-2</v>
      </c>
      <c r="T338" s="3" t="s">
        <v>712</v>
      </c>
      <c r="U338" s="3" t="s">
        <v>1205</v>
      </c>
    </row>
    <row r="339" spans="1:22" x14ac:dyDescent="0.3">
      <c r="A339" s="16" t="s">
        <v>702</v>
      </c>
      <c r="B339" s="16" t="s">
        <v>474</v>
      </c>
      <c r="C339" s="16" t="s">
        <v>1061</v>
      </c>
      <c r="D339" s="3">
        <v>14.7</v>
      </c>
      <c r="E339" s="3">
        <v>3.63</v>
      </c>
      <c r="M339" s="3">
        <v>0.63</v>
      </c>
      <c r="S339" s="18">
        <f t="shared" si="5"/>
        <v>0.53360999999999992</v>
      </c>
      <c r="T339" s="3" t="s">
        <v>704</v>
      </c>
      <c r="U339" s="3" t="s">
        <v>1316</v>
      </c>
    </row>
    <row r="340" spans="1:22" x14ac:dyDescent="0.3">
      <c r="A340" s="16" t="s">
        <v>703</v>
      </c>
      <c r="B340" s="16" t="s">
        <v>474</v>
      </c>
      <c r="C340" s="16" t="s">
        <v>1061</v>
      </c>
      <c r="D340" s="35">
        <v>263.79000000000002</v>
      </c>
      <c r="E340" s="3">
        <v>1.17</v>
      </c>
      <c r="S340" s="18">
        <f t="shared" si="5"/>
        <v>3.0863429999999998</v>
      </c>
      <c r="T340" s="3" t="s">
        <v>19</v>
      </c>
      <c r="U340" s="3" t="s">
        <v>1205</v>
      </c>
    </row>
    <row r="341" spans="1:22" x14ac:dyDescent="0.3">
      <c r="A341" s="16" t="s">
        <v>850</v>
      </c>
      <c r="B341" s="16" t="s">
        <v>474</v>
      </c>
      <c r="C341" s="16" t="s">
        <v>1061</v>
      </c>
      <c r="D341" s="3">
        <v>13.4</v>
      </c>
      <c r="E341" s="3">
        <v>1.7</v>
      </c>
      <c r="M341" s="3">
        <v>0.4</v>
      </c>
      <c r="S341" s="18">
        <f t="shared" si="5"/>
        <v>0.2278</v>
      </c>
      <c r="T341" s="3" t="s">
        <v>849</v>
      </c>
      <c r="U341" s="3" t="s">
        <v>1205</v>
      </c>
    </row>
    <row r="342" spans="1:22" x14ac:dyDescent="0.3">
      <c r="A342" s="16" t="s">
        <v>829</v>
      </c>
      <c r="B342" s="16" t="s">
        <v>474</v>
      </c>
      <c r="C342" s="16" t="s">
        <v>1061</v>
      </c>
      <c r="D342" s="3">
        <f>23.2+8.7</f>
        <v>31.9</v>
      </c>
      <c r="E342" s="33">
        <f>(2.62*23.2+2.21*8.7)/D342</f>
        <v>2.5081818181818183</v>
      </c>
      <c r="M342" s="33">
        <f>(0.17*23.2+0.18*8.7)/D342</f>
        <v>0.17272727272727273</v>
      </c>
      <c r="S342" s="18">
        <f t="shared" si="5"/>
        <v>0.80010999999999999</v>
      </c>
      <c r="T342" s="3" t="s">
        <v>1315</v>
      </c>
      <c r="U342" s="3" t="s">
        <v>1208</v>
      </c>
    </row>
    <row r="343" spans="1:22" x14ac:dyDescent="0.3">
      <c r="A343" s="16" t="s">
        <v>828</v>
      </c>
      <c r="B343" s="16" t="s">
        <v>474</v>
      </c>
      <c r="C343" s="16" t="s">
        <v>1061</v>
      </c>
      <c r="D343" s="3">
        <v>18.5</v>
      </c>
      <c r="E343" s="33">
        <v>1.2</v>
      </c>
      <c r="M343" s="3">
        <v>0.15</v>
      </c>
      <c r="S343" s="18">
        <f t="shared" si="5"/>
        <v>0.222</v>
      </c>
      <c r="T343" s="3" t="s">
        <v>1315</v>
      </c>
      <c r="U343" s="3" t="s">
        <v>1208</v>
      </c>
    </row>
    <row r="344" spans="1:22" x14ac:dyDescent="0.3">
      <c r="A344" s="16" t="s">
        <v>705</v>
      </c>
      <c r="B344" s="16" t="s">
        <v>474</v>
      </c>
      <c r="C344" s="16" t="s">
        <v>1061</v>
      </c>
      <c r="D344" s="3">
        <v>27.18</v>
      </c>
      <c r="E344" s="3">
        <v>2.54</v>
      </c>
      <c r="S344" s="18">
        <f t="shared" si="5"/>
        <v>0.69037199999999999</v>
      </c>
      <c r="T344" s="3" t="s">
        <v>706</v>
      </c>
      <c r="U344" s="3" t="s">
        <v>1260</v>
      </c>
    </row>
    <row r="345" spans="1:22" x14ac:dyDescent="0.3">
      <c r="A345" s="16" t="s">
        <v>600</v>
      </c>
      <c r="B345" s="16" t="s">
        <v>474</v>
      </c>
      <c r="C345" s="16" t="s">
        <v>1061</v>
      </c>
      <c r="D345" s="3">
        <f>30.7+4.2+25.1+4.4+5.5+2.6+1.1</f>
        <v>73.599999999999994</v>
      </c>
      <c r="E345" s="33">
        <f>(2.53*30.7+2.33*4.2+1.4*25.1+1.64*4.4+1.8*5.5+2.25*2.6+4.15*1.1)/(30.7+4.2+25.1+4.4+5.5+2.6+1.1)</f>
        <v>2.0397826086956523</v>
      </c>
      <c r="S345" s="18">
        <f t="shared" si="5"/>
        <v>1.5012799999999999</v>
      </c>
      <c r="T345" s="3" t="s">
        <v>598</v>
      </c>
      <c r="U345" s="3" t="s">
        <v>1205</v>
      </c>
    </row>
    <row r="346" spans="1:22" x14ac:dyDescent="0.3">
      <c r="A346" s="16" t="s">
        <v>715</v>
      </c>
      <c r="B346" s="16" t="s">
        <v>474</v>
      </c>
      <c r="C346" s="16" t="s">
        <v>1061</v>
      </c>
      <c r="D346" s="3">
        <f>30.7+256.7+180.2</f>
        <v>467.59999999999997</v>
      </c>
      <c r="E346" s="33">
        <f>(4.54*30.7+3.95*256.7+2.32*180.2)/D346</f>
        <v>3.3605795551753643</v>
      </c>
      <c r="M346" s="33">
        <f>(0.54*30.7+0.45*256.7+0.32*180.2)/D346</f>
        <v>0.40581052181351579</v>
      </c>
      <c r="S346" s="18">
        <f t="shared" ref="S346:S409" si="6">D346*E346/100</f>
        <v>15.714070000000001</v>
      </c>
      <c r="T346" s="3" t="s">
        <v>707</v>
      </c>
      <c r="U346" s="3" t="s">
        <v>1208</v>
      </c>
    </row>
    <row r="347" spans="1:22" x14ac:dyDescent="0.3">
      <c r="A347" s="16" t="s">
        <v>709</v>
      </c>
      <c r="B347" s="16" t="s">
        <v>474</v>
      </c>
      <c r="C347" s="16" t="s">
        <v>1061</v>
      </c>
      <c r="D347" s="3">
        <v>2.3199999999999998</v>
      </c>
      <c r="E347" s="33">
        <v>2.58</v>
      </c>
      <c r="S347" s="18">
        <f t="shared" si="6"/>
        <v>5.9855999999999999E-2</v>
      </c>
      <c r="T347" s="3" t="s">
        <v>708</v>
      </c>
      <c r="U347" s="3" t="s">
        <v>1205</v>
      </c>
      <c r="V347" s="55" t="s">
        <v>1311</v>
      </c>
    </row>
    <row r="348" spans="1:22" x14ac:dyDescent="0.3">
      <c r="A348" s="16" t="s">
        <v>710</v>
      </c>
      <c r="B348" s="16" t="s">
        <v>474</v>
      </c>
      <c r="C348" s="16" t="s">
        <v>1061</v>
      </c>
      <c r="D348" s="3">
        <v>6</v>
      </c>
      <c r="E348" s="33">
        <v>3.34</v>
      </c>
      <c r="S348" s="18">
        <f t="shared" si="6"/>
        <v>0.20039999999999999</v>
      </c>
      <c r="T348" s="3" t="s">
        <v>708</v>
      </c>
      <c r="U348" s="3" t="s">
        <v>1205</v>
      </c>
      <c r="V348" s="55" t="s">
        <v>1311</v>
      </c>
    </row>
    <row r="349" spans="1:22" x14ac:dyDescent="0.3">
      <c r="A349" s="16" t="s">
        <v>121</v>
      </c>
      <c r="B349" s="16" t="s">
        <v>474</v>
      </c>
      <c r="C349" s="16" t="s">
        <v>1061</v>
      </c>
      <c r="D349" s="3">
        <v>40.82</v>
      </c>
      <c r="E349" s="3">
        <v>3.33</v>
      </c>
      <c r="S349" s="18">
        <f t="shared" si="6"/>
        <v>1.3593059999999999</v>
      </c>
      <c r="T349" s="3" t="s">
        <v>122</v>
      </c>
      <c r="U349" s="3" t="s">
        <v>1208</v>
      </c>
      <c r="V349" s="55" t="s">
        <v>1311</v>
      </c>
    </row>
    <row r="350" spans="1:22" x14ac:dyDescent="0.3">
      <c r="A350" s="16" t="s">
        <v>713</v>
      </c>
      <c r="B350" s="16" t="s">
        <v>474</v>
      </c>
      <c r="C350" s="16" t="s">
        <v>1061</v>
      </c>
      <c r="D350" s="3">
        <f>35.48+5.3+9.5</f>
        <v>50.279999999999994</v>
      </c>
      <c r="E350" s="33">
        <f>(0.85*35.48+1.36*5.3+1.4*9.5)/D350</f>
        <v>1.0076770087509945</v>
      </c>
      <c r="S350" s="18">
        <f t="shared" si="6"/>
        <v>0.50666</v>
      </c>
      <c r="T350" s="3" t="s">
        <v>714</v>
      </c>
      <c r="U350" s="3" t="s">
        <v>1205</v>
      </c>
    </row>
    <row r="351" spans="1:22" x14ac:dyDescent="0.3">
      <c r="A351" s="16" t="s">
        <v>227</v>
      </c>
      <c r="B351" s="16" t="s">
        <v>474</v>
      </c>
      <c r="C351" s="16" t="s">
        <v>1074</v>
      </c>
      <c r="D351" s="3">
        <v>105</v>
      </c>
      <c r="E351" s="3">
        <v>2.64</v>
      </c>
      <c r="S351" s="18">
        <f t="shared" si="6"/>
        <v>2.7719999999999998</v>
      </c>
      <c r="T351" s="3" t="s">
        <v>228</v>
      </c>
      <c r="U351" s="3" t="s">
        <v>1205</v>
      </c>
    </row>
    <row r="352" spans="1:22" x14ac:dyDescent="0.3">
      <c r="A352" s="16" t="s">
        <v>716</v>
      </c>
      <c r="B352" s="16" t="s">
        <v>474</v>
      </c>
      <c r="C352" s="16" t="s">
        <v>1061</v>
      </c>
      <c r="D352" s="3">
        <v>5.8</v>
      </c>
      <c r="E352" s="3">
        <v>1.3</v>
      </c>
      <c r="M352" s="3">
        <v>0.4</v>
      </c>
      <c r="S352" s="18">
        <f t="shared" si="6"/>
        <v>7.5399999999999995E-2</v>
      </c>
      <c r="T352" s="3" t="s">
        <v>1209</v>
      </c>
      <c r="U352" s="3" t="s">
        <v>1210</v>
      </c>
    </row>
    <row r="353" spans="1:22" x14ac:dyDescent="0.3">
      <c r="A353" s="16" t="s">
        <v>169</v>
      </c>
      <c r="B353" s="16" t="s">
        <v>474</v>
      </c>
      <c r="C353" s="16" t="s">
        <v>1061</v>
      </c>
      <c r="D353" s="3">
        <v>115.2</v>
      </c>
      <c r="E353" s="3">
        <v>2.4</v>
      </c>
      <c r="S353" s="18">
        <f t="shared" si="6"/>
        <v>2.7648000000000001</v>
      </c>
      <c r="T353" s="3" t="s">
        <v>166</v>
      </c>
      <c r="U353" s="3" t="s">
        <v>1205</v>
      </c>
    </row>
    <row r="354" spans="1:22" x14ac:dyDescent="0.3">
      <c r="A354" s="16" t="s">
        <v>848</v>
      </c>
      <c r="B354" s="16" t="s">
        <v>474</v>
      </c>
      <c r="C354" s="16" t="s">
        <v>1061</v>
      </c>
      <c r="D354" s="3">
        <v>5.9</v>
      </c>
      <c r="E354" s="3">
        <v>1.6</v>
      </c>
      <c r="M354" s="3">
        <v>1.1000000000000001</v>
      </c>
      <c r="S354" s="18">
        <f t="shared" si="6"/>
        <v>9.4400000000000012E-2</v>
      </c>
      <c r="T354" s="3" t="s">
        <v>849</v>
      </c>
      <c r="U354" s="3" t="s">
        <v>1205</v>
      </c>
    </row>
    <row r="355" spans="1:22" x14ac:dyDescent="0.3">
      <c r="A355" s="16" t="s">
        <v>718</v>
      </c>
      <c r="B355" s="16" t="s">
        <v>474</v>
      </c>
      <c r="C355" s="16" t="s">
        <v>1061</v>
      </c>
      <c r="D355" s="3">
        <v>19.100000000000001</v>
      </c>
      <c r="E355" s="3">
        <v>2.9</v>
      </c>
      <c r="M355" s="3">
        <v>0.89</v>
      </c>
      <c r="S355" s="18">
        <f t="shared" si="6"/>
        <v>0.55390000000000006</v>
      </c>
      <c r="T355" s="3" t="s">
        <v>717</v>
      </c>
      <c r="U355" s="3" t="s">
        <v>1205</v>
      </c>
    </row>
    <row r="356" spans="1:22" x14ac:dyDescent="0.3">
      <c r="A356" s="16" t="s">
        <v>832</v>
      </c>
      <c r="B356" s="16" t="s">
        <v>474</v>
      </c>
      <c r="C356" s="16" t="s">
        <v>1061</v>
      </c>
      <c r="D356" s="3">
        <v>299.5</v>
      </c>
      <c r="E356" s="3">
        <v>1.48</v>
      </c>
      <c r="M356" s="3">
        <v>0.59</v>
      </c>
      <c r="S356" s="18">
        <f t="shared" si="6"/>
        <v>4.4325999999999999</v>
      </c>
      <c r="T356" s="3" t="s">
        <v>833</v>
      </c>
      <c r="U356" s="3" t="s">
        <v>1205</v>
      </c>
    </row>
    <row r="357" spans="1:22" x14ac:dyDescent="0.3">
      <c r="A357" s="16" t="s">
        <v>831</v>
      </c>
      <c r="B357" s="16" t="s">
        <v>474</v>
      </c>
      <c r="C357" s="16" t="s">
        <v>1061</v>
      </c>
      <c r="D357" s="3">
        <f>36.8+15.8</f>
        <v>52.599999999999994</v>
      </c>
      <c r="E357" s="33">
        <f>(2.2*36.8+2.9*15.8)/D357</f>
        <v>2.4102661596958179</v>
      </c>
      <c r="M357" s="3">
        <f>(0.3*36.8+0.3*15.8)/D357</f>
        <v>0.30000000000000004</v>
      </c>
      <c r="S357" s="18">
        <f t="shared" si="6"/>
        <v>1.2678000000000003</v>
      </c>
      <c r="T357" s="3" t="s">
        <v>717</v>
      </c>
      <c r="U357" s="3" t="s">
        <v>1205</v>
      </c>
    </row>
    <row r="358" spans="1:22" x14ac:dyDescent="0.3">
      <c r="A358" s="16" t="s">
        <v>162</v>
      </c>
      <c r="B358" s="16" t="s">
        <v>474</v>
      </c>
      <c r="C358" s="16" t="s">
        <v>1061</v>
      </c>
      <c r="D358" s="35">
        <f>119.349+336.361+218.172</f>
        <v>673.88199999999995</v>
      </c>
      <c r="E358" s="33">
        <f>(3*119.349+2.6*336.361+2*218.172)/D358</f>
        <v>2.4765902635773029</v>
      </c>
      <c r="M358" s="33">
        <f>(0.3*119.349+0.2*336.361+0.2*218.172)/D358</f>
        <v>0.21771066744622947</v>
      </c>
      <c r="S358" s="18">
        <f t="shared" si="6"/>
        <v>16.689295999999999</v>
      </c>
      <c r="T358" s="3" t="s">
        <v>720</v>
      </c>
      <c r="U358" s="3" t="s">
        <v>1205</v>
      </c>
    </row>
    <row r="359" spans="1:22" x14ac:dyDescent="0.3">
      <c r="A359" s="16" t="s">
        <v>939</v>
      </c>
      <c r="B359" s="16" t="s">
        <v>938</v>
      </c>
      <c r="C359" s="16" t="s">
        <v>808</v>
      </c>
      <c r="D359" s="33">
        <f>0.623+2.499</f>
        <v>3.1219999999999999</v>
      </c>
      <c r="E359" s="33">
        <f>(3.7*0.623+3.24*2.499)/D359</f>
        <v>3.3317937219730944</v>
      </c>
      <c r="I359" s="33">
        <f>(0.41*0.623+0.37*2.499)/D359</f>
        <v>0.37798206278026913</v>
      </c>
      <c r="J359" s="33">
        <f>(4.16*0.623+4.28*2.499)/D359</f>
        <v>4.2560538116591937</v>
      </c>
      <c r="K359" s="33">
        <f>(98*0.623+79.5*2.499)/D359</f>
        <v>83.191704035874452</v>
      </c>
      <c r="L359" s="33">
        <f>(3*0.623+4.3*2.499)/D359</f>
        <v>4.0405829596412559</v>
      </c>
      <c r="S359" s="18">
        <f t="shared" si="6"/>
        <v>0.10401860000000002</v>
      </c>
      <c r="T359" s="3" t="s">
        <v>940</v>
      </c>
      <c r="U359" s="3" t="s">
        <v>1236</v>
      </c>
    </row>
    <row r="360" spans="1:22" x14ac:dyDescent="0.3">
      <c r="A360" s="16" t="s">
        <v>855</v>
      </c>
      <c r="B360" s="16" t="s">
        <v>719</v>
      </c>
      <c r="C360" s="16" t="s">
        <v>808</v>
      </c>
      <c r="D360" s="3">
        <v>2.73</v>
      </c>
      <c r="E360" s="33">
        <v>1.39</v>
      </c>
      <c r="J360" s="33">
        <v>8.3800000000000008</v>
      </c>
      <c r="K360" s="35">
        <v>99.3</v>
      </c>
      <c r="L360" s="33">
        <v>2.85</v>
      </c>
      <c r="S360" s="18">
        <f t="shared" si="6"/>
        <v>3.7946999999999995E-2</v>
      </c>
      <c r="T360" s="3" t="s">
        <v>721</v>
      </c>
      <c r="U360" s="3" t="s">
        <v>1267</v>
      </c>
    </row>
    <row r="361" spans="1:22" x14ac:dyDescent="0.3">
      <c r="A361" s="16" t="s">
        <v>853</v>
      </c>
      <c r="B361" s="16" t="s">
        <v>719</v>
      </c>
      <c r="C361" s="16" t="s">
        <v>808</v>
      </c>
      <c r="D361" s="3">
        <f>20.545+38.425</f>
        <v>58.97</v>
      </c>
      <c r="E361" s="33">
        <f>(0.28*20.545+1.02*38.425)/D361</f>
        <v>0.76218585721553334</v>
      </c>
      <c r="J361" s="33">
        <f>(2.35*20.545+0.99*38.425)/D361</f>
        <v>1.4638205867390199</v>
      </c>
      <c r="K361" s="35">
        <f>(12.13*20.545+9.31*38.425)/D361</f>
        <v>10.292480922502968</v>
      </c>
      <c r="L361" s="33">
        <f>(0.39*20.545+0.18*38.425)/D361</f>
        <v>0.25316347295234864</v>
      </c>
      <c r="S361" s="18">
        <f t="shared" si="6"/>
        <v>0.449461</v>
      </c>
      <c r="T361" s="3" t="s">
        <v>721</v>
      </c>
      <c r="U361" s="3" t="s">
        <v>1267</v>
      </c>
    </row>
    <row r="362" spans="1:22" x14ac:dyDescent="0.3">
      <c r="A362" s="16" t="s">
        <v>722</v>
      </c>
      <c r="B362" s="16" t="s">
        <v>719</v>
      </c>
      <c r="C362" s="16" t="s">
        <v>808</v>
      </c>
      <c r="D362" s="33">
        <v>28.312999999999999</v>
      </c>
      <c r="E362" s="3">
        <v>1.6</v>
      </c>
      <c r="J362" s="3">
        <v>3.15</v>
      </c>
      <c r="K362" s="3">
        <v>38.9</v>
      </c>
      <c r="L362" s="3">
        <v>1.78</v>
      </c>
      <c r="S362" s="18">
        <f t="shared" si="6"/>
        <v>0.45300800000000002</v>
      </c>
      <c r="T362" s="3" t="s">
        <v>856</v>
      </c>
      <c r="U362" s="3" t="s">
        <v>1236</v>
      </c>
    </row>
    <row r="363" spans="1:22" x14ac:dyDescent="0.3">
      <c r="A363" s="16" t="s">
        <v>1041</v>
      </c>
      <c r="B363" s="16" t="s">
        <v>719</v>
      </c>
      <c r="C363" s="16" t="s">
        <v>1075</v>
      </c>
      <c r="D363" s="3">
        <v>28</v>
      </c>
      <c r="E363" s="3">
        <v>0.9</v>
      </c>
      <c r="J363" s="3">
        <v>1.9</v>
      </c>
      <c r="K363" s="3">
        <v>6.3</v>
      </c>
      <c r="L363" s="3">
        <v>0.2</v>
      </c>
      <c r="S363" s="18">
        <f t="shared" si="6"/>
        <v>0.252</v>
      </c>
      <c r="T363" s="3" t="s">
        <v>1042</v>
      </c>
      <c r="U363" s="3" t="s">
        <v>1205</v>
      </c>
    </row>
    <row r="364" spans="1:22" x14ac:dyDescent="0.3">
      <c r="A364" s="16" t="s">
        <v>854</v>
      </c>
      <c r="B364" s="16" t="s">
        <v>719</v>
      </c>
      <c r="C364" s="16" t="s">
        <v>808</v>
      </c>
      <c r="D364" s="33">
        <f>0.0003+0.103+0.321+0.007+0.368+0.617+1.068+0.767+0.058+0.239+0.138+0.144+0.154+0.006+0.155</f>
        <v>4.1452999999999998</v>
      </c>
      <c r="E364" s="33">
        <f>(0.01*0.0003+0.07*0.103+11.63*0.321+2.39*0.007+0.06*0.368+0.08*0.617+3.21*1.068+2.34*0.767+0.36*0.058+0.01*0.239+0.01*0.138+2.7*0.144+1.2*0.154+0.4*0.006+14.8*0.155)/$D364</f>
        <v>2.8818958820833229</v>
      </c>
      <c r="J364" s="33">
        <f>(0.01*0.0003+0.03*0.103+0.007*0.321+5.97*0.007+0.05*0.368+0.06*0.617+0.08*1.068+3.9*0.767+3.05*0.058+0.1*0.239+0*0.138+0.1*0.144+3.6*0.154+3.3*0.006+0.06*0.155)/$D364</f>
        <v>0.95963862687863366</v>
      </c>
      <c r="K364" s="35">
        <f>(4*0.0003+90*0.103+65*0.321+26*0.007+6*0.368+17*0.617+23*1.068+29*0.767+22*0.058+5*0.239+22*0.138+31*0.144+41*0.154+21*0.006+74*0.155)/$D364</f>
        <v>28.394374351675395</v>
      </c>
      <c r="L364" s="33">
        <f>(1.03*0.0003+4.59*0.103+2.58*0.321+1.32*0.007+1.47*0.368+2.55*0.617+1.04*1.068+1.3*0.767+1.24*0.058+1.1*0.239+1.4*0.138+0.6*0.144+2.6*0.154+1.1*0.006+2.88*0.155)/$D364</f>
        <v>1.6887677610788123</v>
      </c>
      <c r="S364" s="18">
        <f t="shared" si="6"/>
        <v>0.11946322999999998</v>
      </c>
      <c r="T364" s="3" t="s">
        <v>721</v>
      </c>
      <c r="U364" s="3" t="s">
        <v>1236</v>
      </c>
    </row>
    <row r="365" spans="1:22" x14ac:dyDescent="0.3">
      <c r="A365" s="16" t="s">
        <v>624</v>
      </c>
      <c r="B365" s="16" t="s">
        <v>177</v>
      </c>
      <c r="C365" s="16" t="s">
        <v>45</v>
      </c>
      <c r="D365" s="36">
        <f>1600/0.6994</f>
        <v>2287.6751501286817</v>
      </c>
      <c r="E365" s="3">
        <v>0.35</v>
      </c>
      <c r="L365" s="3">
        <v>0.11</v>
      </c>
      <c r="S365" s="18">
        <f t="shared" si="6"/>
        <v>8.0068630254503859</v>
      </c>
      <c r="T365" s="3" t="s">
        <v>174</v>
      </c>
      <c r="U365" s="3" t="s">
        <v>1205</v>
      </c>
    </row>
    <row r="366" spans="1:22" x14ac:dyDescent="0.3">
      <c r="A366" s="16" t="s">
        <v>748</v>
      </c>
      <c r="B366" s="16" t="s">
        <v>36</v>
      </c>
      <c r="C366" s="16" t="s">
        <v>1049</v>
      </c>
      <c r="D366" s="35">
        <f>38.197+114.816+34.757</f>
        <v>187.77</v>
      </c>
      <c r="E366" s="33">
        <f>(0.161*38.197+0.181*114.816+0.17*34.757)/D366</f>
        <v>0.17489536667199232</v>
      </c>
      <c r="F366" s="33">
        <f>(0.061*38.197+0.071*114.816+0.07*34.757)/D366</f>
        <v>6.8780651861319694E-2</v>
      </c>
      <c r="G366" s="33">
        <f>(0.707*38.197+0.851*114.816+0.867*34.757)/D366</f>
        <v>0.82466855195185595</v>
      </c>
      <c r="H366" s="33">
        <f>(0.141*38.197+0.175*114.816+0.867*34.757)/D366</f>
        <v>0.29617561910848378</v>
      </c>
      <c r="L366" s="33">
        <f>(0.086*38.197+0.104*114.816+0.103*34.757)/D366</f>
        <v>0.1001532566437663</v>
      </c>
      <c r="S366" s="18">
        <f t="shared" si="6"/>
        <v>0.32840102999999998</v>
      </c>
      <c r="T366" s="3" t="s">
        <v>144</v>
      </c>
      <c r="U366" s="3" t="s">
        <v>1218</v>
      </c>
      <c r="V366" s="8" t="s">
        <v>750</v>
      </c>
    </row>
    <row r="367" spans="1:22" x14ac:dyDescent="0.3">
      <c r="A367" s="16" t="s">
        <v>749</v>
      </c>
      <c r="B367" s="16" t="s">
        <v>36</v>
      </c>
      <c r="C367" s="16" t="s">
        <v>1049</v>
      </c>
      <c r="D367" s="3">
        <f>26.031+37.571+11.638</f>
        <v>75.239999999999995</v>
      </c>
      <c r="E367" s="33">
        <f>(0.1*26.031+0.095*37.571+0.097*11.638)/D367</f>
        <v>9.7039221158958008E-2</v>
      </c>
      <c r="F367" s="33">
        <f>(0.059*26.031+0.043*37.571+0.027*11.638)/D367</f>
        <v>4.6060712387028177E-2</v>
      </c>
      <c r="G367" s="33">
        <f>(1.064*26.031+0.902*37.571+0.867*11.638)/D367</f>
        <v>0.95263386496544389</v>
      </c>
      <c r="H367" s="33">
        <f>(0.307*26.031+0.255*37.571+0.241*11.638)/D367</f>
        <v>0.27082509303561936</v>
      </c>
      <c r="L367" s="33">
        <f>(0.081*26.031+0.071*37.571+0.062*11.638)/D367</f>
        <v>7.3067623604465712E-2</v>
      </c>
      <c r="S367" s="18">
        <f t="shared" si="6"/>
        <v>7.3012310000000011E-2</v>
      </c>
      <c r="T367" s="3" t="s">
        <v>144</v>
      </c>
      <c r="U367" s="3" t="s">
        <v>1218</v>
      </c>
      <c r="V367" s="8" t="s">
        <v>750</v>
      </c>
    </row>
    <row r="368" spans="1:22" x14ac:dyDescent="0.3">
      <c r="A368" s="16" t="s">
        <v>900</v>
      </c>
      <c r="B368" s="16" t="s">
        <v>36</v>
      </c>
      <c r="C368" s="16" t="s">
        <v>1049</v>
      </c>
      <c r="D368" s="3">
        <v>1.2</v>
      </c>
      <c r="E368" s="3">
        <v>0.31</v>
      </c>
      <c r="F368" s="3">
        <v>0.47</v>
      </c>
      <c r="S368" s="18">
        <f t="shared" si="6"/>
        <v>3.7199999999999998E-3</v>
      </c>
      <c r="U368" s="3" t="s">
        <v>884</v>
      </c>
      <c r="V368" s="8" t="s">
        <v>897</v>
      </c>
    </row>
    <row r="369" spans="1:22" x14ac:dyDescent="0.3">
      <c r="A369" s="16" t="s">
        <v>883</v>
      </c>
      <c r="B369" s="16" t="s">
        <v>36</v>
      </c>
      <c r="C369" s="16" t="s">
        <v>1076</v>
      </c>
      <c r="D369" s="3">
        <v>4.68</v>
      </c>
      <c r="E369" s="3">
        <v>0.34</v>
      </c>
      <c r="M369" s="3">
        <v>0.17</v>
      </c>
      <c r="S369" s="18">
        <f t="shared" si="6"/>
        <v>1.5911999999999999E-2</v>
      </c>
      <c r="U369" s="3" t="s">
        <v>884</v>
      </c>
      <c r="V369" s="8" t="s">
        <v>892</v>
      </c>
    </row>
    <row r="370" spans="1:22" x14ac:dyDescent="0.3">
      <c r="A370" s="16" t="s">
        <v>606</v>
      </c>
      <c r="B370" s="16" t="s">
        <v>36</v>
      </c>
      <c r="C370" s="16" t="s">
        <v>1049</v>
      </c>
      <c r="D370" s="33">
        <f>0.972+0.35+1.336+1.086+2.422</f>
        <v>6.1660000000000004</v>
      </c>
      <c r="E370" s="33">
        <f>(0.24*0.972+0.23*0.35+0.23*1.336+0.2*1.086+0.29*2.422)/D370</f>
        <v>0.24986052546221216</v>
      </c>
      <c r="F370" s="33">
        <f>(0.69*0.972+0.62*0.35+0.71*1.336+0.6*1.086+0.67*2.422)/D370</f>
        <v>0.66665261109309115</v>
      </c>
      <c r="S370" s="18">
        <f t="shared" si="6"/>
        <v>1.5406400000000002E-2</v>
      </c>
      <c r="T370" s="3" t="s">
        <v>607</v>
      </c>
      <c r="U370" s="3" t="s">
        <v>1208</v>
      </c>
    </row>
    <row r="371" spans="1:22" x14ac:dyDescent="0.3">
      <c r="A371" s="16" t="s">
        <v>885</v>
      </c>
      <c r="B371" s="16" t="s">
        <v>36</v>
      </c>
      <c r="C371" s="16" t="s">
        <v>808</v>
      </c>
      <c r="D371" s="3">
        <v>0.2</v>
      </c>
      <c r="E371" s="3">
        <v>0.5</v>
      </c>
      <c r="F371" s="3">
        <v>0.15</v>
      </c>
      <c r="M371" s="3">
        <v>0.04</v>
      </c>
      <c r="S371" s="18">
        <f t="shared" si="6"/>
        <v>1E-3</v>
      </c>
      <c r="U371" s="3" t="s">
        <v>884</v>
      </c>
      <c r="V371" s="8" t="s">
        <v>892</v>
      </c>
    </row>
    <row r="372" spans="1:22" x14ac:dyDescent="0.3">
      <c r="A372" s="16" t="s">
        <v>960</v>
      </c>
      <c r="B372" s="16" t="s">
        <v>36</v>
      </c>
      <c r="C372" s="56" t="s">
        <v>1121</v>
      </c>
      <c r="D372" s="3">
        <v>21</v>
      </c>
      <c r="E372" s="3">
        <v>0.1</v>
      </c>
      <c r="F372" s="3">
        <v>0.21</v>
      </c>
      <c r="J372" s="3">
        <v>0.45</v>
      </c>
      <c r="M372" s="3">
        <v>0.02</v>
      </c>
      <c r="S372" s="18">
        <f t="shared" si="6"/>
        <v>2.1000000000000001E-2</v>
      </c>
      <c r="T372" s="3" t="s">
        <v>959</v>
      </c>
      <c r="U372" s="3" t="s">
        <v>884</v>
      </c>
      <c r="V372" s="8" t="s">
        <v>897</v>
      </c>
    </row>
    <row r="373" spans="1:22" x14ac:dyDescent="0.3">
      <c r="A373" s="16" t="s">
        <v>886</v>
      </c>
      <c r="B373" s="16" t="s">
        <v>36</v>
      </c>
      <c r="C373" s="16" t="s">
        <v>1051</v>
      </c>
      <c r="D373" s="3">
        <v>0.37</v>
      </c>
      <c r="E373" s="3">
        <v>1.02</v>
      </c>
      <c r="S373" s="18">
        <f t="shared" si="6"/>
        <v>3.774E-3</v>
      </c>
      <c r="U373" s="3" t="s">
        <v>884</v>
      </c>
      <c r="V373" s="8" t="s">
        <v>892</v>
      </c>
    </row>
    <row r="374" spans="1:22" x14ac:dyDescent="0.3">
      <c r="A374" s="16" t="s">
        <v>903</v>
      </c>
      <c r="B374" s="16" t="s">
        <v>36</v>
      </c>
      <c r="C374" s="16" t="s">
        <v>808</v>
      </c>
      <c r="D374" s="3">
        <v>1.22</v>
      </c>
      <c r="E374" s="3">
        <v>0.45</v>
      </c>
      <c r="F374" s="3">
        <v>0.47</v>
      </c>
      <c r="M374" s="3">
        <v>0.12</v>
      </c>
      <c r="S374" s="18">
        <f t="shared" si="6"/>
        <v>5.4900000000000001E-3</v>
      </c>
      <c r="U374" s="3" t="s">
        <v>884</v>
      </c>
      <c r="V374" s="8" t="s">
        <v>897</v>
      </c>
    </row>
    <row r="375" spans="1:22" x14ac:dyDescent="0.3">
      <c r="A375" s="16" t="s">
        <v>887</v>
      </c>
      <c r="B375" s="16" t="s">
        <v>36</v>
      </c>
      <c r="C375" s="16" t="s">
        <v>808</v>
      </c>
      <c r="D375" s="3">
        <v>0.4</v>
      </c>
      <c r="E375" s="3">
        <v>0.44</v>
      </c>
      <c r="F375" s="3">
        <v>0.18</v>
      </c>
      <c r="J375" s="3">
        <v>0.1</v>
      </c>
      <c r="M375" s="3">
        <v>7.0000000000000007E-2</v>
      </c>
      <c r="S375" s="18">
        <f t="shared" si="6"/>
        <v>1.7600000000000003E-3</v>
      </c>
      <c r="U375" s="3" t="s">
        <v>884</v>
      </c>
      <c r="V375" s="8" t="s">
        <v>892</v>
      </c>
    </row>
    <row r="376" spans="1:22" x14ac:dyDescent="0.3">
      <c r="A376" s="16" t="s">
        <v>141</v>
      </c>
      <c r="B376" s="16" t="s">
        <v>36</v>
      </c>
      <c r="C376" s="16" t="s">
        <v>1049</v>
      </c>
      <c r="D376" s="3">
        <f>241+34</f>
        <v>275</v>
      </c>
      <c r="E376" s="33">
        <f>(0.41*241+0.37*34)/(241+34)</f>
        <v>0.40505454545454539</v>
      </c>
      <c r="F376" s="33">
        <f>(0.31*241+0.29*34)/(241+34)</f>
        <v>0.3075272727272727</v>
      </c>
      <c r="G376" s="33">
        <f>(0.27*241+0.1*34)/(241+34)</f>
        <v>0.24898181818181822</v>
      </c>
      <c r="H376" s="33">
        <f>(0.21*241+0.14*34)/(241+34)</f>
        <v>0.20134545454545455</v>
      </c>
      <c r="L376" s="33">
        <f>(0.12*241+0.09*34)/(241+34)</f>
        <v>0.11629090909090908</v>
      </c>
      <c r="S376" s="18">
        <f t="shared" si="6"/>
        <v>1.1138999999999999</v>
      </c>
      <c r="T376" s="3" t="s">
        <v>19</v>
      </c>
      <c r="U376" s="3" t="s">
        <v>1205</v>
      </c>
    </row>
    <row r="377" spans="1:22" x14ac:dyDescent="0.3">
      <c r="A377" s="16" t="s">
        <v>604</v>
      </c>
      <c r="B377" s="16" t="s">
        <v>36</v>
      </c>
      <c r="C377" s="56" t="s">
        <v>1121</v>
      </c>
      <c r="D377" s="3">
        <v>660</v>
      </c>
      <c r="E377" s="3">
        <v>0.14000000000000001</v>
      </c>
      <c r="F377" s="3">
        <v>0.23</v>
      </c>
      <c r="J377" s="3">
        <v>0.49</v>
      </c>
      <c r="M377" s="3">
        <v>0.02</v>
      </c>
      <c r="R377" s="18">
        <f>0.0018*1.179*10</f>
        <v>2.1221999999999998E-2</v>
      </c>
      <c r="S377" s="18">
        <f t="shared" si="6"/>
        <v>0.92400000000000004</v>
      </c>
      <c r="T377" s="3" t="s">
        <v>588</v>
      </c>
      <c r="U377" s="3" t="s">
        <v>1205</v>
      </c>
    </row>
    <row r="378" spans="1:22" x14ac:dyDescent="0.3">
      <c r="A378" s="16" t="s">
        <v>608</v>
      </c>
      <c r="B378" s="16" t="s">
        <v>36</v>
      </c>
      <c r="C378" s="16" t="s">
        <v>1055</v>
      </c>
      <c r="D378" s="3">
        <f>2.62+0.14+0.4+0.09+0.85+0.24+0.17</f>
        <v>4.51</v>
      </c>
      <c r="E378" s="33">
        <f>(0.04*2.62+0.04*0.14+0.29*0.4+0.23*0.09+0.44*0.85+0.27*0.24+0.01*0.17)/D378</f>
        <v>0.15246119733924612</v>
      </c>
      <c r="F378" s="33">
        <f>(0.49*2.62+0.45*0.14+0.63*0.4+0.48*0.09+0.85*0.85+0.59*0.24+0.66*0.17)/D378</f>
        <v>0.58055432372505533</v>
      </c>
      <c r="G378" s="33">
        <f>(0.28*2.62+0.24*0.14+0.62*0.4+0.42*0.09+1.25*0.85+0.89*0.24+0*0.17)/D378</f>
        <v>0.51643015521064306</v>
      </c>
      <c r="H378" s="33">
        <f>(0.11*2.62+0.1*0.14+0.28*0.4+0.21*0.09+0.53*0.85+0.34*0.24+0*0.17)/D378</f>
        <v>0.21401330376940136</v>
      </c>
      <c r="M378" s="33">
        <f>(0.01*2.62+0.01*0.14+0.04*0.4+0.03*0.09+0.06*0.85+0.04*0.24+0*0.17)/D378</f>
        <v>2.370288248337029E-2</v>
      </c>
      <c r="S378" s="18">
        <f t="shared" si="6"/>
        <v>6.8760000000000002E-3</v>
      </c>
      <c r="T378" s="3" t="s">
        <v>37</v>
      </c>
      <c r="U378" s="3" t="s">
        <v>1205</v>
      </c>
    </row>
    <row r="379" spans="1:22" x14ac:dyDescent="0.3">
      <c r="A379" s="16" t="s">
        <v>896</v>
      </c>
      <c r="B379" s="16" t="s">
        <v>36</v>
      </c>
      <c r="C379" s="16" t="s">
        <v>1049</v>
      </c>
      <c r="D379" s="3">
        <v>6.98</v>
      </c>
      <c r="E379" s="3">
        <v>0.38</v>
      </c>
      <c r="F379" s="3">
        <v>0.24</v>
      </c>
      <c r="G379" s="3">
        <v>0.6</v>
      </c>
      <c r="H379" s="3">
        <v>0.2</v>
      </c>
      <c r="L379" s="3">
        <v>0.2</v>
      </c>
      <c r="S379" s="18">
        <f t="shared" si="6"/>
        <v>2.6524000000000002E-2</v>
      </c>
      <c r="U379" s="3" t="s">
        <v>884</v>
      </c>
      <c r="V379" s="8" t="s">
        <v>897</v>
      </c>
    </row>
    <row r="380" spans="1:22" x14ac:dyDescent="0.3">
      <c r="A380" s="16" t="s">
        <v>603</v>
      </c>
      <c r="B380" s="16" t="s">
        <v>36</v>
      </c>
      <c r="C380" s="56" t="s">
        <v>1121</v>
      </c>
      <c r="D380" s="3">
        <v>890</v>
      </c>
      <c r="E380" s="3">
        <v>0.13</v>
      </c>
      <c r="F380" s="3">
        <v>0.22</v>
      </c>
      <c r="J380" s="3">
        <v>0.49</v>
      </c>
      <c r="M380" s="3">
        <v>0.02</v>
      </c>
      <c r="R380" s="18">
        <f>0.0017*1.179*10</f>
        <v>2.0043000000000002E-2</v>
      </c>
      <c r="S380" s="18">
        <f t="shared" si="6"/>
        <v>1.157</v>
      </c>
      <c r="T380" s="3" t="s">
        <v>588</v>
      </c>
      <c r="U380" s="3" t="s">
        <v>1205</v>
      </c>
    </row>
    <row r="381" spans="1:22" x14ac:dyDescent="0.3">
      <c r="A381" s="16" t="s">
        <v>35</v>
      </c>
      <c r="B381" s="16" t="s">
        <v>36</v>
      </c>
      <c r="C381" s="16" t="s">
        <v>808</v>
      </c>
      <c r="D381" s="3">
        <v>8.4</v>
      </c>
      <c r="E381" s="3">
        <v>1.25</v>
      </c>
      <c r="F381" s="3">
        <v>0.2</v>
      </c>
      <c r="J381" s="3">
        <v>0.54</v>
      </c>
      <c r="L381" s="3">
        <v>0.68</v>
      </c>
      <c r="M381" s="3">
        <v>0.24</v>
      </c>
      <c r="S381" s="18">
        <f t="shared" si="6"/>
        <v>0.105</v>
      </c>
      <c r="T381" s="3" t="s">
        <v>37</v>
      </c>
      <c r="U381" s="3" t="s">
        <v>1205</v>
      </c>
    </row>
    <row r="382" spans="1:22" x14ac:dyDescent="0.3">
      <c r="A382" s="16" t="s">
        <v>898</v>
      </c>
      <c r="B382" s="16" t="s">
        <v>36</v>
      </c>
      <c r="C382" s="16" t="s">
        <v>1049</v>
      </c>
      <c r="D382" s="3">
        <v>0.85</v>
      </c>
      <c r="E382" s="3">
        <v>0.49</v>
      </c>
      <c r="F382" s="3">
        <v>0.67</v>
      </c>
      <c r="G382" s="3">
        <v>0.68</v>
      </c>
      <c r="H382" s="3">
        <v>0.27</v>
      </c>
      <c r="S382" s="18">
        <f t="shared" si="6"/>
        <v>4.1649999999999994E-3</v>
      </c>
      <c r="U382" s="3" t="s">
        <v>884</v>
      </c>
      <c r="V382" s="8" t="s">
        <v>897</v>
      </c>
    </row>
    <row r="383" spans="1:22" x14ac:dyDescent="0.3">
      <c r="A383" s="16" t="s">
        <v>899</v>
      </c>
      <c r="B383" s="16" t="s">
        <v>36</v>
      </c>
      <c r="C383" s="16" t="s">
        <v>1049</v>
      </c>
      <c r="D383" s="3">
        <v>1.3</v>
      </c>
      <c r="E383" s="3">
        <v>0.16</v>
      </c>
      <c r="F383" s="3">
        <v>0.95</v>
      </c>
      <c r="M383" s="3">
        <v>0.05</v>
      </c>
      <c r="S383" s="18">
        <f t="shared" si="6"/>
        <v>2.0800000000000003E-3</v>
      </c>
      <c r="U383" s="3" t="s">
        <v>884</v>
      </c>
      <c r="V383" s="8" t="s">
        <v>897</v>
      </c>
    </row>
    <row r="384" spans="1:22" x14ac:dyDescent="0.3">
      <c r="A384" s="16" t="s">
        <v>609</v>
      </c>
      <c r="B384" s="16" t="s">
        <v>36</v>
      </c>
      <c r="C384" s="16" t="s">
        <v>808</v>
      </c>
      <c r="D384" s="3">
        <f>8.4+3.4+0.76+1.03+1.23+0.9+0.14+1.54+0.1+0.19+0.08+0.02</f>
        <v>17.790000000000003</v>
      </c>
      <c r="E384" s="33">
        <f>(1.25*8.4+0.71*3.4+1.76*0.76+0.47*1.03+0.3*1.23+0.3*0.9+1.69*0.14+0.29*1.54+0.35*0.1+0.33*0.19+0.33*0.08+0.32*0.02)/D384</f>
        <v>0.90997189432265269</v>
      </c>
      <c r="F384" s="33">
        <f>(0.2*8.4+0.05*3.4+0*0.76+0.47*1.03+0.42*1.23+0.4*0.9+0.16*0.14+0.71*1.54+0.7*0.1+1.02*0.19+1.13*0.08+0.89*0.02)/D384</f>
        <v>0.2641090500281057</v>
      </c>
      <c r="M384" s="33">
        <f>(0.24*8.4+0.09*3.4+0.14*0.76+0.13*1.03+0.11*1.23+0.1*0.9+0.04*0.14+0.03*1.54+0.05*0.1+0*0.19+0.04*0.08+0.03*0.02)/D384</f>
        <v>0.16010118043844851</v>
      </c>
      <c r="S384" s="18">
        <f t="shared" si="6"/>
        <v>0.16188399999999994</v>
      </c>
      <c r="T384" s="3" t="s">
        <v>37</v>
      </c>
      <c r="U384" s="3" t="s">
        <v>1205</v>
      </c>
    </row>
    <row r="385" spans="1:22" x14ac:dyDescent="0.3">
      <c r="A385" s="16" t="s">
        <v>888</v>
      </c>
      <c r="B385" s="16" t="s">
        <v>36</v>
      </c>
      <c r="C385" s="16" t="s">
        <v>808</v>
      </c>
      <c r="D385" s="3">
        <v>1.32</v>
      </c>
      <c r="E385" s="3">
        <v>2.15</v>
      </c>
      <c r="F385" s="3">
        <v>0.15</v>
      </c>
      <c r="J385" s="3">
        <v>1.89</v>
      </c>
      <c r="M385" s="3">
        <v>0.16</v>
      </c>
      <c r="S385" s="18">
        <f t="shared" si="6"/>
        <v>2.8380000000000002E-2</v>
      </c>
      <c r="U385" s="3" t="s">
        <v>884</v>
      </c>
      <c r="V385" s="8" t="s">
        <v>892</v>
      </c>
    </row>
    <row r="386" spans="1:22" x14ac:dyDescent="0.3">
      <c r="A386" s="16" t="s">
        <v>889</v>
      </c>
      <c r="B386" s="16" t="s">
        <v>36</v>
      </c>
      <c r="C386" s="16" t="s">
        <v>1119</v>
      </c>
      <c r="D386" s="3">
        <v>0.15</v>
      </c>
      <c r="E386" s="3">
        <v>1.31</v>
      </c>
      <c r="L386" s="3">
        <v>1</v>
      </c>
      <c r="S386" s="18">
        <f t="shared" si="6"/>
        <v>1.9650000000000002E-3</v>
      </c>
      <c r="T386" s="3" t="s">
        <v>959</v>
      </c>
      <c r="U386" s="3" t="s">
        <v>1205</v>
      </c>
      <c r="V386" s="8" t="s">
        <v>892</v>
      </c>
    </row>
    <row r="387" spans="1:22" x14ac:dyDescent="0.3">
      <c r="A387" s="16" t="s">
        <v>589</v>
      </c>
      <c r="B387" s="16" t="s">
        <v>36</v>
      </c>
      <c r="C387" s="16" t="s">
        <v>1049</v>
      </c>
      <c r="D387" s="33">
        <v>2.6960000000000002</v>
      </c>
      <c r="E387" s="3">
        <v>0.34</v>
      </c>
      <c r="F387" s="3">
        <v>0.47</v>
      </c>
      <c r="S387" s="18">
        <f t="shared" si="6"/>
        <v>9.1664000000000016E-3</v>
      </c>
      <c r="T387" s="3" t="s">
        <v>605</v>
      </c>
      <c r="U387" s="3" t="s">
        <v>1205</v>
      </c>
    </row>
    <row r="388" spans="1:22" x14ac:dyDescent="0.3">
      <c r="A388" s="16" t="s">
        <v>90</v>
      </c>
      <c r="B388" s="16" t="s">
        <v>36</v>
      </c>
      <c r="C388" s="16" t="s">
        <v>808</v>
      </c>
      <c r="D388" s="33">
        <f>11.781+7.996</f>
        <v>19.777000000000001</v>
      </c>
      <c r="E388" s="33">
        <f>(11.781*1.1+7.996*0.6)/(11.781+7.996)</f>
        <v>0.89784598270718519</v>
      </c>
      <c r="J388" s="33">
        <f>(11.781*2.2+7.996*0.4)/(11.781+7.996)</f>
        <v>1.4722455377458665</v>
      </c>
      <c r="L388" s="3">
        <v>0.4</v>
      </c>
      <c r="S388" s="18">
        <f t="shared" si="6"/>
        <v>0.17756700000000003</v>
      </c>
      <c r="T388" s="3" t="s">
        <v>94</v>
      </c>
      <c r="U388" s="3" t="s">
        <v>1205</v>
      </c>
    </row>
    <row r="389" spans="1:22" x14ac:dyDescent="0.3">
      <c r="A389" s="16" t="s">
        <v>890</v>
      </c>
      <c r="B389" s="16" t="s">
        <v>36</v>
      </c>
      <c r="C389" s="16" t="s">
        <v>808</v>
      </c>
      <c r="D389" s="3">
        <v>0.7</v>
      </c>
      <c r="E389" s="3">
        <v>0.72</v>
      </c>
      <c r="F389" s="3">
        <v>0.03</v>
      </c>
      <c r="J389" s="3">
        <v>0.09</v>
      </c>
      <c r="L389" s="3">
        <v>0.3</v>
      </c>
      <c r="M389" s="3">
        <v>0.09</v>
      </c>
      <c r="S389" s="18">
        <f t="shared" si="6"/>
        <v>5.0400000000000002E-3</v>
      </c>
      <c r="U389" s="3" t="s">
        <v>884</v>
      </c>
      <c r="V389" s="8" t="s">
        <v>892</v>
      </c>
    </row>
    <row r="390" spans="1:22" ht="14.4" customHeight="1" x14ac:dyDescent="0.3">
      <c r="A390" s="16" t="s">
        <v>901</v>
      </c>
      <c r="B390" s="16" t="s">
        <v>36</v>
      </c>
      <c r="C390" s="16" t="s">
        <v>1049</v>
      </c>
      <c r="D390" s="3">
        <v>0.9</v>
      </c>
      <c r="E390" s="3">
        <v>0.25</v>
      </c>
      <c r="F390" s="3">
        <v>0.75</v>
      </c>
      <c r="M390" s="3">
        <v>0.03</v>
      </c>
      <c r="S390" s="18">
        <f t="shared" si="6"/>
        <v>2.2500000000000003E-3</v>
      </c>
      <c r="U390" s="3" t="s">
        <v>884</v>
      </c>
      <c r="V390" s="8" t="s">
        <v>897</v>
      </c>
    </row>
    <row r="391" spans="1:22" x14ac:dyDescent="0.3">
      <c r="A391" s="16" t="s">
        <v>902</v>
      </c>
      <c r="B391" s="16" t="s">
        <v>36</v>
      </c>
      <c r="C391" s="16" t="s">
        <v>1049</v>
      </c>
      <c r="D391" s="3">
        <v>0.65</v>
      </c>
      <c r="E391" s="3">
        <v>0.31</v>
      </c>
      <c r="F391" s="3">
        <v>0.97</v>
      </c>
      <c r="S391" s="18">
        <f t="shared" si="6"/>
        <v>2.0150000000000003E-3</v>
      </c>
      <c r="U391" s="3" t="s">
        <v>884</v>
      </c>
      <c r="V391" s="8" t="s">
        <v>897</v>
      </c>
    </row>
    <row r="392" spans="1:22" x14ac:dyDescent="0.3">
      <c r="A392" s="16" t="s">
        <v>891</v>
      </c>
      <c r="B392" s="16" t="s">
        <v>36</v>
      </c>
      <c r="C392" s="16" t="s">
        <v>808</v>
      </c>
      <c r="D392" s="3">
        <v>3.4</v>
      </c>
      <c r="E392" s="3">
        <v>0.71</v>
      </c>
      <c r="F392" s="3">
        <v>0.05</v>
      </c>
      <c r="J392" s="3">
        <v>0.63</v>
      </c>
      <c r="M392" s="3">
        <v>0.09</v>
      </c>
      <c r="S392" s="18">
        <f t="shared" si="6"/>
        <v>2.4139999999999998E-2</v>
      </c>
      <c r="U392" s="3" t="s">
        <v>884</v>
      </c>
      <c r="V392" s="8" t="s">
        <v>892</v>
      </c>
    </row>
    <row r="393" spans="1:22" x14ac:dyDescent="0.3">
      <c r="A393" s="16" t="s">
        <v>958</v>
      </c>
      <c r="B393" s="16" t="s">
        <v>36</v>
      </c>
      <c r="C393" s="16" t="s">
        <v>1055</v>
      </c>
      <c r="D393" s="35">
        <f>4.4*0.9072</f>
        <v>3.9916800000000006</v>
      </c>
      <c r="E393" s="3">
        <v>1.4</v>
      </c>
      <c r="S393" s="18">
        <f t="shared" si="6"/>
        <v>5.5883520000000006E-2</v>
      </c>
      <c r="T393" s="3" t="s">
        <v>959</v>
      </c>
      <c r="U393" s="3" t="s">
        <v>1205</v>
      </c>
      <c r="V393" s="8"/>
    </row>
    <row r="394" spans="1:22" x14ac:dyDescent="0.3">
      <c r="A394" s="16" t="s">
        <v>893</v>
      </c>
      <c r="B394" s="16" t="s">
        <v>36</v>
      </c>
      <c r="C394" s="16" t="s">
        <v>1048</v>
      </c>
      <c r="D394" s="3">
        <v>0.2</v>
      </c>
      <c r="E394" s="3">
        <v>1.95</v>
      </c>
      <c r="J394" s="3">
        <v>0.25</v>
      </c>
      <c r="K394" s="3">
        <v>52</v>
      </c>
      <c r="S394" s="18">
        <f t="shared" si="6"/>
        <v>3.9000000000000003E-3</v>
      </c>
      <c r="U394" s="3" t="s">
        <v>884</v>
      </c>
      <c r="V394" s="8" t="s">
        <v>892</v>
      </c>
    </row>
    <row r="395" spans="1:22" x14ac:dyDescent="0.3">
      <c r="A395" s="16" t="s">
        <v>894</v>
      </c>
      <c r="B395" s="16" t="s">
        <v>36</v>
      </c>
      <c r="C395" s="16" t="s">
        <v>1076</v>
      </c>
      <c r="D395" s="3">
        <v>0.2</v>
      </c>
      <c r="E395" s="3">
        <v>0.2</v>
      </c>
      <c r="S395" s="18">
        <f t="shared" si="6"/>
        <v>4.0000000000000007E-4</v>
      </c>
      <c r="U395" s="3" t="s">
        <v>884</v>
      </c>
      <c r="V395" s="8" t="s">
        <v>892</v>
      </c>
    </row>
    <row r="396" spans="1:22" x14ac:dyDescent="0.3">
      <c r="A396" s="16" t="s">
        <v>895</v>
      </c>
      <c r="B396" s="16" t="s">
        <v>36</v>
      </c>
      <c r="C396" s="16" t="s">
        <v>131</v>
      </c>
      <c r="D396" s="3">
        <v>0.6</v>
      </c>
      <c r="E396" s="3">
        <v>0.23</v>
      </c>
      <c r="S396" s="18">
        <f t="shared" si="6"/>
        <v>1.3800000000000002E-3</v>
      </c>
      <c r="U396" s="3" t="s">
        <v>884</v>
      </c>
      <c r="V396" s="8" t="s">
        <v>892</v>
      </c>
    </row>
    <row r="397" spans="1:22" x14ac:dyDescent="0.3">
      <c r="A397" s="16" t="s">
        <v>746</v>
      </c>
      <c r="B397" s="16" t="s">
        <v>745</v>
      </c>
      <c r="C397" s="16" t="s">
        <v>1063</v>
      </c>
      <c r="D397" s="3">
        <f>0.71+0.28</f>
        <v>0.99</v>
      </c>
      <c r="E397" s="33">
        <f>(0.4*0.71+0.35*0.28)/D397</f>
        <v>0.38585858585858585</v>
      </c>
      <c r="K397" s="33">
        <f>(11.5*0.71+9*0.28)/D397</f>
        <v>10.792929292929292</v>
      </c>
      <c r="L397" s="33">
        <f>(22.2*0.71+19.5*0.28)/D397</f>
        <v>21.436363636363637</v>
      </c>
      <c r="S397" s="18">
        <f t="shared" si="6"/>
        <v>3.82E-3</v>
      </c>
      <c r="T397" s="3" t="s">
        <v>747</v>
      </c>
      <c r="U397" s="3" t="s">
        <v>1310</v>
      </c>
    </row>
    <row r="398" spans="1:22" x14ac:dyDescent="0.3">
      <c r="A398" s="16" t="s">
        <v>956</v>
      </c>
      <c r="B398" s="16" t="s">
        <v>745</v>
      </c>
      <c r="C398" s="16" t="s">
        <v>45</v>
      </c>
      <c r="D398" s="3">
        <v>191.2</v>
      </c>
      <c r="E398" s="3">
        <v>0.55000000000000004</v>
      </c>
      <c r="L398" s="3">
        <v>0.82</v>
      </c>
      <c r="S398" s="18">
        <f t="shared" si="6"/>
        <v>1.0515999999999999</v>
      </c>
      <c r="T398" s="3" t="s">
        <v>1309</v>
      </c>
      <c r="U398" s="3" t="s">
        <v>1236</v>
      </c>
    </row>
    <row r="399" spans="1:22" x14ac:dyDescent="0.3">
      <c r="A399" s="16" t="s">
        <v>858</v>
      </c>
      <c r="B399" s="16" t="s">
        <v>552</v>
      </c>
      <c r="C399" s="16" t="s">
        <v>1077</v>
      </c>
      <c r="D399" s="33">
        <v>8.2479999999999993</v>
      </c>
      <c r="E399" s="33">
        <v>1.4890882638215326</v>
      </c>
      <c r="S399" s="18">
        <f t="shared" si="6"/>
        <v>0.12282</v>
      </c>
      <c r="T399" s="3" t="s">
        <v>647</v>
      </c>
      <c r="U399" s="3" t="s">
        <v>1248</v>
      </c>
    </row>
    <row r="400" spans="1:22" x14ac:dyDescent="0.3">
      <c r="A400" s="16" t="s">
        <v>859</v>
      </c>
      <c r="B400" s="16" t="s">
        <v>552</v>
      </c>
      <c r="C400" s="16" t="s">
        <v>1067</v>
      </c>
      <c r="D400" s="3">
        <v>13.06</v>
      </c>
      <c r="E400" s="33">
        <v>1.5972434915773355</v>
      </c>
      <c r="S400" s="18">
        <f t="shared" si="6"/>
        <v>0.20860000000000004</v>
      </c>
      <c r="T400" s="3" t="s">
        <v>647</v>
      </c>
      <c r="U400" s="3" t="s">
        <v>1248</v>
      </c>
    </row>
    <row r="401" spans="1:21" x14ac:dyDescent="0.3">
      <c r="A401" s="16" t="s">
        <v>860</v>
      </c>
      <c r="B401" s="16" t="s">
        <v>552</v>
      </c>
      <c r="C401" s="16" t="s">
        <v>1067</v>
      </c>
      <c r="D401" s="3">
        <v>17.23</v>
      </c>
      <c r="E401" s="33">
        <v>0.32977365060940222</v>
      </c>
      <c r="S401" s="18">
        <f t="shared" si="6"/>
        <v>5.6820000000000002E-2</v>
      </c>
      <c r="T401" s="3" t="s">
        <v>647</v>
      </c>
      <c r="U401" s="3" t="s">
        <v>1248</v>
      </c>
    </row>
    <row r="402" spans="1:21" x14ac:dyDescent="0.3">
      <c r="A402" s="16" t="s">
        <v>861</v>
      </c>
      <c r="B402" s="16" t="s">
        <v>552</v>
      </c>
      <c r="C402" s="16" t="s">
        <v>1067</v>
      </c>
      <c r="D402" s="35">
        <v>226.08199999999999</v>
      </c>
      <c r="E402" s="33">
        <v>1.0628886864058174</v>
      </c>
      <c r="S402" s="18">
        <f t="shared" si="6"/>
        <v>2.403</v>
      </c>
      <c r="T402" s="3" t="s">
        <v>647</v>
      </c>
      <c r="U402" s="3" t="s">
        <v>1248</v>
      </c>
    </row>
    <row r="403" spans="1:21" x14ac:dyDescent="0.3">
      <c r="A403" s="16" t="s">
        <v>862</v>
      </c>
      <c r="B403" s="16" t="s">
        <v>552</v>
      </c>
      <c r="C403" s="16" t="s">
        <v>1067</v>
      </c>
      <c r="D403" s="33">
        <v>34.404000000000003</v>
      </c>
      <c r="E403" s="33">
        <v>0.65852807813044989</v>
      </c>
      <c r="S403" s="18">
        <f t="shared" si="6"/>
        <v>0.22655999999999998</v>
      </c>
      <c r="T403" s="3" t="s">
        <v>647</v>
      </c>
      <c r="U403" s="3" t="s">
        <v>1248</v>
      </c>
    </row>
    <row r="404" spans="1:21" x14ac:dyDescent="0.3">
      <c r="A404" s="16" t="s">
        <v>863</v>
      </c>
      <c r="B404" s="16" t="s">
        <v>552</v>
      </c>
      <c r="C404" s="16" t="s">
        <v>1067</v>
      </c>
      <c r="D404" s="35">
        <v>404.34800000000001</v>
      </c>
      <c r="E404" s="33">
        <v>1.0276445042389231</v>
      </c>
      <c r="S404" s="18">
        <f t="shared" si="6"/>
        <v>4.1552600000000011</v>
      </c>
      <c r="T404" s="3" t="s">
        <v>647</v>
      </c>
      <c r="U404" s="3" t="s">
        <v>1248</v>
      </c>
    </row>
    <row r="405" spans="1:21" x14ac:dyDescent="0.3">
      <c r="A405" s="16" t="s">
        <v>864</v>
      </c>
      <c r="B405" s="16" t="s">
        <v>552</v>
      </c>
      <c r="C405" s="16" t="s">
        <v>1067</v>
      </c>
      <c r="D405" s="33">
        <v>9.5809999999999995</v>
      </c>
      <c r="E405" s="33">
        <v>1.0567790418536689</v>
      </c>
      <c r="S405" s="18">
        <f t="shared" si="6"/>
        <v>0.10125000000000002</v>
      </c>
      <c r="T405" s="3" t="s">
        <v>647</v>
      </c>
      <c r="U405" s="3" t="s">
        <v>1248</v>
      </c>
    </row>
    <row r="406" spans="1:21" x14ac:dyDescent="0.3">
      <c r="A406" s="16" t="s">
        <v>865</v>
      </c>
      <c r="B406" s="16" t="s">
        <v>552</v>
      </c>
      <c r="C406" s="16" t="s">
        <v>1067</v>
      </c>
      <c r="D406" s="3">
        <v>0.88</v>
      </c>
      <c r="E406" s="33">
        <v>1.0227272727272727</v>
      </c>
      <c r="S406" s="18">
        <f t="shared" si="6"/>
        <v>9.0000000000000011E-3</v>
      </c>
      <c r="T406" s="3" t="s">
        <v>647</v>
      </c>
      <c r="U406" s="3" t="s">
        <v>1248</v>
      </c>
    </row>
    <row r="407" spans="1:21" x14ac:dyDescent="0.3">
      <c r="A407" s="16" t="s">
        <v>866</v>
      </c>
      <c r="B407" s="16" t="s">
        <v>552</v>
      </c>
      <c r="C407" s="16" t="s">
        <v>1067</v>
      </c>
      <c r="D407" s="33">
        <v>6.0510000000000002</v>
      </c>
      <c r="E407" s="33">
        <v>1.0649479424888448</v>
      </c>
      <c r="S407" s="18">
        <f t="shared" si="6"/>
        <v>6.4439999999999997E-2</v>
      </c>
      <c r="T407" s="3" t="s">
        <v>647</v>
      </c>
      <c r="U407" s="3" t="s">
        <v>1248</v>
      </c>
    </row>
    <row r="408" spans="1:21" x14ac:dyDescent="0.3">
      <c r="A408" s="16" t="s">
        <v>867</v>
      </c>
      <c r="B408" s="16" t="s">
        <v>552</v>
      </c>
      <c r="C408" s="16" t="s">
        <v>1067</v>
      </c>
      <c r="D408" s="35">
        <v>668.45699999999999</v>
      </c>
      <c r="E408" s="33">
        <v>0.5957122148470283</v>
      </c>
      <c r="S408" s="18">
        <f t="shared" si="6"/>
        <v>3.9820799999999998</v>
      </c>
      <c r="T408" s="3" t="s">
        <v>647</v>
      </c>
      <c r="U408" s="3" t="s">
        <v>1248</v>
      </c>
    </row>
    <row r="409" spans="1:21" x14ac:dyDescent="0.3">
      <c r="A409" s="16" t="s">
        <v>868</v>
      </c>
      <c r="B409" s="16" t="s">
        <v>552</v>
      </c>
      <c r="C409" s="16" t="s">
        <v>1067</v>
      </c>
      <c r="D409" s="3">
        <v>0.96099999999999997</v>
      </c>
      <c r="E409" s="33">
        <v>2.2247658688865766</v>
      </c>
      <c r="S409" s="18">
        <f t="shared" si="6"/>
        <v>2.138E-2</v>
      </c>
      <c r="T409" s="3" t="s">
        <v>647</v>
      </c>
      <c r="U409" s="3" t="s">
        <v>1248</v>
      </c>
    </row>
    <row r="410" spans="1:21" x14ac:dyDescent="0.3">
      <c r="A410" s="16" t="s">
        <v>869</v>
      </c>
      <c r="B410" s="16" t="s">
        <v>552</v>
      </c>
      <c r="C410" s="16" t="s">
        <v>1067</v>
      </c>
      <c r="D410" s="3">
        <v>0.79</v>
      </c>
      <c r="E410" s="33">
        <v>0.48227848101265824</v>
      </c>
      <c r="S410" s="18">
        <f t="shared" ref="S410:S472" si="7">D410*E410/100</f>
        <v>3.81E-3</v>
      </c>
      <c r="T410" s="3" t="s">
        <v>647</v>
      </c>
      <c r="U410" s="3" t="s">
        <v>1248</v>
      </c>
    </row>
    <row r="411" spans="1:21" x14ac:dyDescent="0.3">
      <c r="A411" s="16" t="s">
        <v>870</v>
      </c>
      <c r="B411" s="16" t="s">
        <v>552</v>
      </c>
      <c r="C411" s="16" t="s">
        <v>1067</v>
      </c>
      <c r="D411" s="3">
        <v>4.22</v>
      </c>
      <c r="E411" s="33">
        <v>1.4227488151658769</v>
      </c>
      <c r="S411" s="18">
        <f t="shared" si="7"/>
        <v>6.0040000000000003E-2</v>
      </c>
      <c r="T411" s="3" t="s">
        <v>647</v>
      </c>
      <c r="U411" s="3" t="s">
        <v>1248</v>
      </c>
    </row>
    <row r="412" spans="1:21" x14ac:dyDescent="0.3">
      <c r="A412" s="16" t="s">
        <v>871</v>
      </c>
      <c r="B412" s="16" t="s">
        <v>552</v>
      </c>
      <c r="C412" s="16" t="s">
        <v>1067</v>
      </c>
      <c r="D412" s="3">
        <v>0.113</v>
      </c>
      <c r="E412" s="33">
        <v>1.8495575221238938</v>
      </c>
      <c r="S412" s="18">
        <f t="shared" si="7"/>
        <v>2.0899999999999998E-3</v>
      </c>
      <c r="T412" s="3" t="s">
        <v>647</v>
      </c>
      <c r="U412" s="3" t="s">
        <v>1248</v>
      </c>
    </row>
    <row r="413" spans="1:21" x14ac:dyDescent="0.3">
      <c r="A413" s="16" t="s">
        <v>475</v>
      </c>
      <c r="B413" s="16" t="s">
        <v>473</v>
      </c>
      <c r="C413" s="16" t="s">
        <v>45</v>
      </c>
      <c r="D413" s="36">
        <f>(464.1+23.8+130.5+47.7)/0.9072/0.485</f>
        <v>1513.8911616574851</v>
      </c>
      <c r="E413" s="33">
        <f>(0.4*464.1+0.42*23.8+0.32*130.5+0.26*47.7)/(464.1+23.8+130.5+47.7)</f>
        <v>0.37501576339888898</v>
      </c>
      <c r="L413" s="33">
        <f>((0.008*464.1+0.017*23.8+0.007*130.5+0.002*47.7)/(464.1+23.8+130.5+47.7))*31.1/0.9072</f>
        <v>0.26382863595431771</v>
      </c>
      <c r="S413" s="18">
        <f t="shared" si="7"/>
        <v>5.6773304969181266</v>
      </c>
      <c r="T413" s="3" t="s">
        <v>363</v>
      </c>
      <c r="U413" s="3" t="s">
        <v>1205</v>
      </c>
    </row>
    <row r="414" spans="1:21" x14ac:dyDescent="0.3">
      <c r="A414" s="16" t="s">
        <v>1144</v>
      </c>
      <c r="B414" s="16" t="s">
        <v>473</v>
      </c>
      <c r="C414" s="16" t="s">
        <v>45</v>
      </c>
      <c r="D414" s="37">
        <f>207+73+12+317+154+62+131+159+44+699+269+448+2280</f>
        <v>4855</v>
      </c>
      <c r="E414" s="33">
        <f>(0.9*207+0.57*73+2.64*12+1.2*317+1.3*154+0.95*62+0.75*131+0.56*159+2.25*44+0.91*699+1.2*269+0.83*448+0.64*2280)/D414</f>
        <v>0.81880741503604537</v>
      </c>
      <c r="K414" s="33">
        <f>(2.3*207+2.56*73+17.3*12+3.49*317+7.84*154+4.7*62+1.98*131+2.42*159+14.35*44+3.21*699+6.58*269+4.13*448+3.4*2280)/D414</f>
        <v>3.7831678681771366</v>
      </c>
      <c r="L414" s="33">
        <f>(1.05*207+0.66*73+1.2*12+1.08*317+1.14*154+0.76*62+0.74*131+0.67*159+1.08*44+0.63*699+1.07*269+0.71*448+0.58*2280)/D414</f>
        <v>0.71362306900102979</v>
      </c>
      <c r="S414" s="18">
        <f t="shared" si="7"/>
        <v>39.753100000000003</v>
      </c>
      <c r="T414" s="3" t="s">
        <v>543</v>
      </c>
      <c r="U414" s="3" t="s">
        <v>1205</v>
      </c>
    </row>
    <row r="415" spans="1:21" x14ac:dyDescent="0.3">
      <c r="A415" s="16" t="s">
        <v>546</v>
      </c>
      <c r="B415" s="16" t="s">
        <v>473</v>
      </c>
      <c r="C415" s="16" t="s">
        <v>45</v>
      </c>
      <c r="D415" s="36">
        <v>990</v>
      </c>
      <c r="E415" s="33">
        <v>0.4</v>
      </c>
      <c r="L415" s="33">
        <v>0.45</v>
      </c>
      <c r="N415" s="3">
        <v>9.7999999999999997E-3</v>
      </c>
      <c r="S415" s="18">
        <f t="shared" si="7"/>
        <v>3.96</v>
      </c>
      <c r="T415" s="3" t="s">
        <v>547</v>
      </c>
      <c r="U415" s="3" t="s">
        <v>1205</v>
      </c>
    </row>
    <row r="416" spans="1:21" x14ac:dyDescent="0.3">
      <c r="A416" s="16" t="s">
        <v>544</v>
      </c>
      <c r="B416" s="16" t="s">
        <v>473</v>
      </c>
      <c r="C416" s="16" t="s">
        <v>808</v>
      </c>
      <c r="D416" s="36">
        <v>6.3</v>
      </c>
      <c r="E416" s="33">
        <v>2.52</v>
      </c>
      <c r="L416" s="33"/>
      <c r="S416" s="18">
        <f t="shared" si="7"/>
        <v>0.15875999999999998</v>
      </c>
      <c r="T416" s="3" t="s">
        <v>542</v>
      </c>
      <c r="U416" s="3" t="s">
        <v>1205</v>
      </c>
    </row>
    <row r="417" spans="1:21" x14ac:dyDescent="0.3">
      <c r="A417" s="16" t="s">
        <v>545</v>
      </c>
      <c r="B417" s="16" t="s">
        <v>473</v>
      </c>
      <c r="C417" s="16" t="s">
        <v>808</v>
      </c>
      <c r="D417" s="36">
        <v>2.7</v>
      </c>
      <c r="E417" s="33">
        <v>2.2999999999999998</v>
      </c>
      <c r="L417" s="33"/>
      <c r="S417" s="18">
        <f t="shared" si="7"/>
        <v>6.2100000000000002E-2</v>
      </c>
      <c r="T417" s="3" t="s">
        <v>542</v>
      </c>
      <c r="U417" s="3" t="s">
        <v>1205</v>
      </c>
    </row>
    <row r="418" spans="1:21" x14ac:dyDescent="0.3">
      <c r="A418" s="16" t="s">
        <v>1013</v>
      </c>
      <c r="B418" s="16" t="s">
        <v>1012</v>
      </c>
      <c r="C418" s="16" t="s">
        <v>45</v>
      </c>
      <c r="D418" s="37">
        <v>1200</v>
      </c>
      <c r="E418" s="33">
        <v>0.7</v>
      </c>
      <c r="L418" s="33"/>
      <c r="S418" s="18">
        <f t="shared" si="7"/>
        <v>8.4</v>
      </c>
      <c r="T418" s="3" t="s">
        <v>1014</v>
      </c>
      <c r="U418" s="3" t="s">
        <v>1322</v>
      </c>
    </row>
    <row r="419" spans="1:21" x14ac:dyDescent="0.3">
      <c r="A419" s="16" t="s">
        <v>950</v>
      </c>
      <c r="B419" s="16" t="s">
        <v>949</v>
      </c>
      <c r="C419" s="16" t="s">
        <v>1119</v>
      </c>
      <c r="D419" s="36">
        <v>3.6</v>
      </c>
      <c r="E419" s="33">
        <v>0.7</v>
      </c>
      <c r="K419" s="3">
        <v>27.5</v>
      </c>
      <c r="L419" s="33"/>
      <c r="S419" s="18">
        <f t="shared" si="7"/>
        <v>2.52E-2</v>
      </c>
      <c r="T419" s="3" t="s">
        <v>951</v>
      </c>
      <c r="U419" s="3" t="s">
        <v>1205</v>
      </c>
    </row>
    <row r="420" spans="1:21" x14ac:dyDescent="0.3">
      <c r="A420" s="16" t="s">
        <v>103</v>
      </c>
      <c r="B420" s="16" t="s">
        <v>107</v>
      </c>
      <c r="C420" s="16" t="s">
        <v>1078</v>
      </c>
      <c r="D420" s="36">
        <f>1327.573+2144.627+487.55</f>
        <v>3959.75</v>
      </c>
      <c r="E420" s="33">
        <f>(0.4*1327.573+0.39*2144.627+0.3*487.55)/D420</f>
        <v>0.38227128732874555</v>
      </c>
      <c r="K420" s="33">
        <f>(0.08*1327.573+0.05*2144.627+0*487.55)/D420</f>
        <v>5.3901683187069893E-2</v>
      </c>
      <c r="L420" s="33">
        <f>(0.02*1327.573+0.01*2144.627+0*487.55)/D420</f>
        <v>1.2121404129048552E-2</v>
      </c>
      <c r="S420" s="18">
        <f t="shared" si="7"/>
        <v>15.136987300000001</v>
      </c>
      <c r="T420" s="3" t="s">
        <v>105</v>
      </c>
      <c r="U420" s="3" t="s">
        <v>1205</v>
      </c>
    </row>
    <row r="421" spans="1:21" x14ac:dyDescent="0.3">
      <c r="A421" s="16" t="s">
        <v>104</v>
      </c>
      <c r="B421" s="16" t="s">
        <v>107</v>
      </c>
      <c r="C421" s="56" t="s">
        <v>808</v>
      </c>
      <c r="D421" s="33">
        <v>83.597999999999999</v>
      </c>
      <c r="E421" s="3">
        <v>2.34</v>
      </c>
      <c r="I421" s="3">
        <v>1.22</v>
      </c>
      <c r="J421" s="3">
        <v>4.78</v>
      </c>
      <c r="K421" s="3">
        <v>67.290000000000006</v>
      </c>
      <c r="L421" s="3">
        <v>0.72</v>
      </c>
      <c r="S421" s="33">
        <f t="shared" si="7"/>
        <v>1.9561932</v>
      </c>
      <c r="T421" s="3" t="s">
        <v>105</v>
      </c>
      <c r="U421" s="3" t="s">
        <v>1205</v>
      </c>
    </row>
    <row r="422" spans="1:21" x14ac:dyDescent="0.3">
      <c r="A422" s="16" t="s">
        <v>106</v>
      </c>
      <c r="B422" s="16" t="s">
        <v>107</v>
      </c>
      <c r="C422" s="16" t="s">
        <v>1079</v>
      </c>
      <c r="D422" s="36">
        <f>257.927+773.869+320.6</f>
        <v>1352.3960000000002</v>
      </c>
      <c r="E422" s="33">
        <f>(0.95*257.927+0.4*773.869+0.31*320.6)/D422</f>
        <v>0.48355973398324154</v>
      </c>
      <c r="J422" s="18">
        <f>(0.14*257.927+0.01*773.869+0*320.6)/D422</f>
        <v>3.2422803675846421E-2</v>
      </c>
      <c r="K422" s="33">
        <f>(3.35*257.927+0.33*773.869+2.79*320.6)/D422</f>
        <v>1.4891394384485017</v>
      </c>
      <c r="L422" s="33">
        <f>(0.32*257.927+0.15*773.869+0.1*320.6)/D422</f>
        <v>0.17056911585068277</v>
      </c>
      <c r="S422" s="18">
        <f t="shared" si="7"/>
        <v>6.5396425000000002</v>
      </c>
      <c r="T422" s="3" t="s">
        <v>105</v>
      </c>
      <c r="U422" s="3" t="s">
        <v>1205</v>
      </c>
    </row>
    <row r="423" spans="1:21" x14ac:dyDescent="0.3">
      <c r="A423" s="16" t="s">
        <v>814</v>
      </c>
      <c r="B423" s="16" t="s">
        <v>107</v>
      </c>
      <c r="C423" s="16" t="s">
        <v>808</v>
      </c>
      <c r="D423" s="3">
        <f>8.05+1.09+1.83</f>
        <v>10.97</v>
      </c>
      <c r="E423" s="33">
        <f>(1.93*8.05+1.25*1.09+1.6*1.83)/D423</f>
        <v>1.8073837739288972</v>
      </c>
      <c r="S423" s="18">
        <f t="shared" si="7"/>
        <v>0.19827000000000003</v>
      </c>
      <c r="T423" s="3" t="s">
        <v>815</v>
      </c>
      <c r="U423" s="3" t="s">
        <v>1208</v>
      </c>
    </row>
    <row r="424" spans="1:21" x14ac:dyDescent="0.3">
      <c r="A424" s="16" t="s">
        <v>916</v>
      </c>
      <c r="B424" s="16" t="s">
        <v>107</v>
      </c>
      <c r="C424" s="16" t="s">
        <v>1080</v>
      </c>
      <c r="D424" s="33">
        <f>11.271+18.921+8.76</f>
        <v>38.951999999999998</v>
      </c>
      <c r="E424" s="33">
        <f>(0.85*11.271+0.73*18.921+0.62*8.76)/D424</f>
        <v>0.73998459642637093</v>
      </c>
      <c r="K424" s="33">
        <f>(8*11.271+6.56*18.921+22.31*8.76)/D424</f>
        <v>10.518724584103513</v>
      </c>
      <c r="L424" s="33">
        <f>(2.01*11.271+1.7*18.921+1.63*8.76)/D424</f>
        <v>1.7739579482439927</v>
      </c>
      <c r="S424" s="18">
        <f t="shared" si="7"/>
        <v>0.28823880000000002</v>
      </c>
      <c r="T424" s="3" t="s">
        <v>105</v>
      </c>
      <c r="U424" s="3" t="s">
        <v>1205</v>
      </c>
    </row>
    <row r="425" spans="1:21" x14ac:dyDescent="0.3">
      <c r="A425" s="16" t="s">
        <v>1133</v>
      </c>
      <c r="B425" s="16" t="s">
        <v>107</v>
      </c>
      <c r="C425" s="46" t="s">
        <v>45</v>
      </c>
      <c r="D425" s="3">
        <v>625.5</v>
      </c>
      <c r="E425" s="3">
        <v>0.12</v>
      </c>
      <c r="S425" s="18">
        <f t="shared" si="7"/>
        <v>0.75060000000000004</v>
      </c>
      <c r="T425" s="3" t="s">
        <v>1134</v>
      </c>
      <c r="U425" s="3" t="s">
        <v>1308</v>
      </c>
    </row>
    <row r="426" spans="1:21" x14ac:dyDescent="0.3">
      <c r="A426" s="16" t="s">
        <v>102</v>
      </c>
      <c r="B426" s="16" t="s">
        <v>107</v>
      </c>
      <c r="C426" s="16" t="s">
        <v>1058</v>
      </c>
      <c r="D426" s="35">
        <v>610.86599999999999</v>
      </c>
      <c r="E426" s="3">
        <v>1.04</v>
      </c>
      <c r="K426" s="3">
        <v>13.97</v>
      </c>
      <c r="S426" s="18">
        <f t="shared" si="7"/>
        <v>6.3530064000000008</v>
      </c>
      <c r="T426" s="3" t="s">
        <v>105</v>
      </c>
      <c r="U426" s="3" t="s">
        <v>1205</v>
      </c>
    </row>
    <row r="427" spans="1:21" x14ac:dyDescent="0.3">
      <c r="A427" s="16" t="s">
        <v>581</v>
      </c>
      <c r="B427" s="16" t="s">
        <v>576</v>
      </c>
      <c r="C427" s="16" t="s">
        <v>45</v>
      </c>
      <c r="D427" s="3">
        <v>19.2</v>
      </c>
      <c r="E427" s="3">
        <v>0.4</v>
      </c>
      <c r="L427" s="3">
        <v>1.1000000000000001</v>
      </c>
      <c r="S427" s="18">
        <f t="shared" si="7"/>
        <v>7.6799999999999993E-2</v>
      </c>
      <c r="T427" s="3" t="s">
        <v>583</v>
      </c>
      <c r="U427" s="3" t="s">
        <v>1205</v>
      </c>
    </row>
    <row r="428" spans="1:21" x14ac:dyDescent="0.3">
      <c r="A428" s="16" t="s">
        <v>575</v>
      </c>
      <c r="B428" s="16" t="s">
        <v>576</v>
      </c>
      <c r="C428" s="16" t="s">
        <v>45</v>
      </c>
      <c r="D428" s="3">
        <f>127+296</f>
        <v>423</v>
      </c>
      <c r="E428" s="3">
        <f>(0.2*127+0.2*296)/D428</f>
        <v>0.2</v>
      </c>
      <c r="L428" s="33">
        <f>(0.6*127+0.4*296)/D428</f>
        <v>0.46004728132387712</v>
      </c>
      <c r="N428" s="3">
        <f>(0.01*127+0.01*296)/D428</f>
        <v>0.01</v>
      </c>
      <c r="S428" s="18">
        <f t="shared" si="7"/>
        <v>0.84600000000000009</v>
      </c>
      <c r="T428" s="3" t="s">
        <v>144</v>
      </c>
      <c r="U428" s="3" t="s">
        <v>1205</v>
      </c>
    </row>
    <row r="429" spans="1:21" x14ac:dyDescent="0.3">
      <c r="A429" s="16" t="s">
        <v>185</v>
      </c>
      <c r="B429" s="16" t="s">
        <v>189</v>
      </c>
      <c r="C429" s="16" t="s">
        <v>1080</v>
      </c>
      <c r="D429" s="3">
        <v>80</v>
      </c>
      <c r="E429" s="3">
        <v>0.43</v>
      </c>
      <c r="L429" s="3">
        <v>0.19</v>
      </c>
      <c r="S429" s="18">
        <f t="shared" si="7"/>
        <v>0.34399999999999997</v>
      </c>
      <c r="T429" s="3" t="s">
        <v>191</v>
      </c>
      <c r="U429" s="3" t="s">
        <v>1290</v>
      </c>
    </row>
    <row r="430" spans="1:21" x14ac:dyDescent="0.3">
      <c r="A430" s="16" t="s">
        <v>184</v>
      </c>
      <c r="B430" s="16" t="s">
        <v>189</v>
      </c>
      <c r="C430" s="16" t="s">
        <v>1081</v>
      </c>
      <c r="D430" s="3">
        <v>240</v>
      </c>
      <c r="E430" s="3">
        <v>0.55000000000000004</v>
      </c>
      <c r="K430" s="3">
        <v>2.2000000000000002</v>
      </c>
      <c r="L430" s="3">
        <v>0.24</v>
      </c>
      <c r="S430" s="18">
        <f t="shared" si="7"/>
        <v>1.32</v>
      </c>
      <c r="T430" s="3" t="s">
        <v>191</v>
      </c>
      <c r="U430" s="3" t="s">
        <v>1290</v>
      </c>
    </row>
    <row r="431" spans="1:21" x14ac:dyDescent="0.3">
      <c r="A431" s="16" t="s">
        <v>1118</v>
      </c>
      <c r="B431" s="16" t="s">
        <v>189</v>
      </c>
      <c r="C431" s="16" t="s">
        <v>45</v>
      </c>
      <c r="D431" s="3">
        <f>21.4+58.4</f>
        <v>79.8</v>
      </c>
      <c r="E431" s="33">
        <f>(0.9*21.4+2.3*58.4)/D431</f>
        <v>1.9245614035087717</v>
      </c>
      <c r="K431" s="35">
        <f>(6*21.4+0*58.4)/D431</f>
        <v>1.6090225563909772</v>
      </c>
      <c r="L431" s="35">
        <f>(0.3*21.4+0*58.4)/D431</f>
        <v>8.0451127819548857E-2</v>
      </c>
      <c r="S431" s="18">
        <f t="shared" si="7"/>
        <v>1.5357999999999998</v>
      </c>
      <c r="T431" s="3" t="s">
        <v>366</v>
      </c>
      <c r="U431" s="3" t="s">
        <v>1205</v>
      </c>
    </row>
    <row r="432" spans="1:21" x14ac:dyDescent="0.3">
      <c r="A432" s="16" t="s">
        <v>810</v>
      </c>
      <c r="B432" s="16" t="s">
        <v>20</v>
      </c>
      <c r="C432" s="16" t="s">
        <v>131</v>
      </c>
      <c r="D432" s="3">
        <v>25.540000000000003</v>
      </c>
      <c r="E432" s="33">
        <v>1.3865740015661705</v>
      </c>
      <c r="L432" s="33">
        <v>0.88581440877055584</v>
      </c>
      <c r="S432" s="18">
        <f t="shared" si="7"/>
        <v>0.35413099999999997</v>
      </c>
      <c r="T432" s="3" t="s">
        <v>19</v>
      </c>
      <c r="U432" s="3" t="s">
        <v>1205</v>
      </c>
    </row>
    <row r="433" spans="1:21" x14ac:dyDescent="0.3">
      <c r="A433" s="16" t="s">
        <v>1114</v>
      </c>
      <c r="B433" s="16" t="s">
        <v>65</v>
      </c>
      <c r="C433" s="16" t="s">
        <v>1082</v>
      </c>
      <c r="D433" s="3">
        <v>11</v>
      </c>
      <c r="E433" s="3">
        <v>1.3</v>
      </c>
      <c r="J433" s="3">
        <v>3</v>
      </c>
      <c r="K433" s="3">
        <v>7.1</v>
      </c>
      <c r="S433" s="18">
        <f t="shared" si="7"/>
        <v>0.14300000000000002</v>
      </c>
      <c r="T433" s="3" t="s">
        <v>1115</v>
      </c>
      <c r="U433" s="3" t="s">
        <v>1205</v>
      </c>
    </row>
    <row r="434" spans="1:21" x14ac:dyDescent="0.3">
      <c r="A434" s="16" t="s">
        <v>493</v>
      </c>
      <c r="B434" s="16" t="s">
        <v>65</v>
      </c>
      <c r="C434" s="16" t="s">
        <v>1080</v>
      </c>
      <c r="D434" s="3">
        <v>13</v>
      </c>
      <c r="E434" s="3">
        <v>0.97</v>
      </c>
      <c r="I434" s="3">
        <v>0.79</v>
      </c>
      <c r="J434" s="3">
        <v>3.5</v>
      </c>
      <c r="K434" s="3">
        <v>262</v>
      </c>
      <c r="L434" s="3">
        <v>0.16</v>
      </c>
      <c r="S434" s="18">
        <f t="shared" si="7"/>
        <v>0.12609999999999999</v>
      </c>
      <c r="T434" s="3" t="s">
        <v>489</v>
      </c>
      <c r="U434" s="3" t="s">
        <v>1205</v>
      </c>
    </row>
    <row r="435" spans="1:21" x14ac:dyDescent="0.3">
      <c r="A435" s="16" t="s">
        <v>935</v>
      </c>
      <c r="B435" s="16" t="s">
        <v>65</v>
      </c>
      <c r="C435" s="16" t="s">
        <v>1082</v>
      </c>
      <c r="D435" s="35">
        <f>524.51+80.175</f>
        <v>604.68499999999995</v>
      </c>
      <c r="E435" s="33">
        <f>(0.4*524.51+0.38*80.175)/D435</f>
        <v>0.39734820609077459</v>
      </c>
      <c r="J435" s="33">
        <f>(0.55*524.51+0.45*80.175)/D435</f>
        <v>0.53674103045387278</v>
      </c>
      <c r="K435" s="33">
        <f>(4.03*524.51+3.11*80.175)/D435</f>
        <v>3.9080174801756296</v>
      </c>
      <c r="L435" s="33">
        <f>(0.03*524.51+0.02*80.175)/D435</f>
        <v>2.867410304538727E-2</v>
      </c>
      <c r="N435" s="18">
        <f>(0.008*524.51+0.007*80.175)/D435</f>
        <v>7.8674103045387276E-3</v>
      </c>
      <c r="S435" s="18">
        <f t="shared" si="7"/>
        <v>2.4027050000000001</v>
      </c>
      <c r="T435" s="3" t="s">
        <v>936</v>
      </c>
      <c r="U435" s="3" t="s">
        <v>1218</v>
      </c>
    </row>
    <row r="436" spans="1:21" x14ac:dyDescent="0.3">
      <c r="A436" s="16" t="s">
        <v>926</v>
      </c>
      <c r="B436" s="16" t="s">
        <v>65</v>
      </c>
      <c r="C436" s="16" t="s">
        <v>1048</v>
      </c>
      <c r="D436" s="3">
        <f>10.62+0.43</f>
        <v>11.049999999999999</v>
      </c>
      <c r="E436" s="33">
        <f>(0.19*10.62+0.18*0.43)/D436</f>
        <v>0.18961085972850678</v>
      </c>
      <c r="I436" s="33">
        <f>(2*10.62+1.73*0.43)/D436</f>
        <v>1.9894932126696834</v>
      </c>
      <c r="J436" s="33">
        <f>(2.13*10.62+1.44*0.43)/D436</f>
        <v>2.1031493212669683</v>
      </c>
      <c r="K436" s="33">
        <f>(53.81*10.62+46.39*0.43)/D436</f>
        <v>53.521257918552038</v>
      </c>
      <c r="S436" s="18">
        <f t="shared" si="7"/>
        <v>2.0951999999999998E-2</v>
      </c>
      <c r="T436" s="3" t="s">
        <v>927</v>
      </c>
      <c r="U436" s="3" t="s">
        <v>1208</v>
      </c>
    </row>
    <row r="437" spans="1:21" x14ac:dyDescent="0.3">
      <c r="A437" s="16" t="s">
        <v>614</v>
      </c>
      <c r="B437" s="16" t="s">
        <v>65</v>
      </c>
      <c r="C437" s="16" t="s">
        <v>1048</v>
      </c>
      <c r="D437" s="33">
        <v>4.2140000000000004</v>
      </c>
      <c r="E437" s="3">
        <v>0.32</v>
      </c>
      <c r="I437" s="3">
        <v>0.23</v>
      </c>
      <c r="J437" s="3">
        <v>6.67</v>
      </c>
      <c r="K437" s="3">
        <v>23.19</v>
      </c>
      <c r="S437" s="18">
        <f t="shared" si="7"/>
        <v>1.3484800000000002E-2</v>
      </c>
      <c r="T437" s="3" t="s">
        <v>618</v>
      </c>
      <c r="U437" s="3" t="s">
        <v>1205</v>
      </c>
    </row>
    <row r="438" spans="1:21" x14ac:dyDescent="0.3">
      <c r="A438" s="16" t="s">
        <v>933</v>
      </c>
      <c r="B438" s="16" t="s">
        <v>65</v>
      </c>
      <c r="C438" s="16" t="s">
        <v>1048</v>
      </c>
      <c r="D438" s="33">
        <f>0.6062+1.3183+30.1182</f>
        <v>32.042700000000004</v>
      </c>
      <c r="E438" s="33">
        <f>(0.72*0.6062+0.72*1.3183+0.36*30.1182)/D438</f>
        <v>0.38162177344605785</v>
      </c>
      <c r="I438" s="33">
        <f>(1.85*0.6062+1.56*1.3183+0.07*30.1182)/D438</f>
        <v>0.16497648450349064</v>
      </c>
      <c r="J438" s="33">
        <f>(1.4*0.6062+1.41*1.3183+0.19*30.1182)/D438</f>
        <v>0.26308460273322781</v>
      </c>
      <c r="K438" s="35">
        <f>(17.37*0.6062+17.22*1.3183+7.09*30.1182)/D438</f>
        <v>7.7012504564222102</v>
      </c>
      <c r="L438" s="33">
        <f>(0.15*0.6062+0.13*1.3183+0.09*30.1182)/D438</f>
        <v>9.2780789384165493E-2</v>
      </c>
      <c r="S438" s="18">
        <f t="shared" si="7"/>
        <v>0.12228192</v>
      </c>
      <c r="T438" s="3" t="s">
        <v>932</v>
      </c>
      <c r="U438" s="3" t="s">
        <v>1236</v>
      </c>
    </row>
    <row r="439" spans="1:21" x14ac:dyDescent="0.3">
      <c r="A439" s="16" t="s">
        <v>64</v>
      </c>
      <c r="B439" s="16" t="s">
        <v>65</v>
      </c>
      <c r="C439" s="16" t="s">
        <v>45</v>
      </c>
      <c r="D439" s="36">
        <f>6532.9+47.5+1807.5</f>
        <v>8387.9</v>
      </c>
      <c r="E439" s="33">
        <f>(25.16+0.24+2.4)*100/8387.9</f>
        <v>0.33142979768476016</v>
      </c>
      <c r="S439" s="18">
        <f t="shared" si="7"/>
        <v>27.799999999999997</v>
      </c>
      <c r="T439" s="3" t="s">
        <v>489</v>
      </c>
      <c r="U439" s="3" t="s">
        <v>1205</v>
      </c>
    </row>
    <row r="440" spans="1:21" x14ac:dyDescent="0.3">
      <c r="A440" s="16" t="s">
        <v>494</v>
      </c>
      <c r="B440" s="16" t="s">
        <v>65</v>
      </c>
      <c r="C440" s="16" t="s">
        <v>1066</v>
      </c>
      <c r="D440" s="3">
        <v>36</v>
      </c>
      <c r="E440" s="3">
        <v>0.69</v>
      </c>
      <c r="J440" s="3">
        <v>3.3</v>
      </c>
      <c r="K440" s="3">
        <v>29</v>
      </c>
      <c r="S440" s="18">
        <f t="shared" si="7"/>
        <v>0.24839999999999995</v>
      </c>
      <c r="T440" s="3" t="s">
        <v>489</v>
      </c>
      <c r="U440" s="3" t="s">
        <v>1205</v>
      </c>
    </row>
    <row r="441" spans="1:21" x14ac:dyDescent="0.3">
      <c r="A441" s="16" t="s">
        <v>937</v>
      </c>
      <c r="B441" s="16" t="s">
        <v>65</v>
      </c>
      <c r="C441" s="16" t="s">
        <v>808</v>
      </c>
      <c r="D441" s="3">
        <f>1.606+1.418+0.93+4.933+0.483</f>
        <v>9.370000000000001</v>
      </c>
      <c r="E441" s="33">
        <f>(1.39*1.606+1.31*1.418+1.14*0.93+0.45*4.933+0.63*0.483)/D441</f>
        <v>0.81902454642475975</v>
      </c>
      <c r="I441" s="33">
        <f>(1.5*1.606+1.37*1.418+1.26*0.93+1*4.933+1*0.483)/D441</f>
        <v>1.1674983991462113</v>
      </c>
      <c r="J441" s="33">
        <f>(10.04*1.606+8.65*1.418+9.17*0.93+6.37*4.933+6.26*0.483)/D441</f>
        <v>7.6163105656350041</v>
      </c>
      <c r="K441" s="35">
        <f>(185*1.606+239*1.418+187*0.93+166*4.933+160*0.483)/D441</f>
        <v>182.0789754535752</v>
      </c>
      <c r="L441" s="33">
        <f>(2.72*0.593+3.64*2.181+2.5*3.206+2.14*4.933+1.96*0.483)/D441</f>
        <v>3.1024653148345784</v>
      </c>
      <c r="S441" s="18">
        <f t="shared" si="7"/>
        <v>7.6742599999999994E-2</v>
      </c>
      <c r="T441" s="3" t="s">
        <v>1035</v>
      </c>
      <c r="U441" s="3" t="s">
        <v>1306</v>
      </c>
    </row>
    <row r="442" spans="1:21" x14ac:dyDescent="0.3">
      <c r="A442" s="16" t="s">
        <v>1194</v>
      </c>
      <c r="B442" s="16" t="s">
        <v>65</v>
      </c>
      <c r="C442" s="16" t="s">
        <v>1048</v>
      </c>
      <c r="D442" s="3">
        <f>16+7</f>
        <v>23</v>
      </c>
      <c r="E442" s="33">
        <f>(0.69*16+0.52*7)/D442</f>
        <v>0.63826086956521733</v>
      </c>
      <c r="I442" s="33">
        <f>(0.36*16+0.41*7)/D442</f>
        <v>0.37521739130434778</v>
      </c>
      <c r="J442" s="33">
        <f>(3.08*16+2.53*7)/D442</f>
        <v>2.9126086956521737</v>
      </c>
      <c r="K442" s="35">
        <f>(95*16+97*7)/D442</f>
        <v>95.608695652173907</v>
      </c>
      <c r="L442" s="33"/>
      <c r="S442" s="18">
        <f t="shared" si="7"/>
        <v>0.14679999999999999</v>
      </c>
      <c r="T442" s="3" t="s">
        <v>489</v>
      </c>
      <c r="U442" s="3" t="s">
        <v>1205</v>
      </c>
    </row>
    <row r="443" spans="1:21" x14ac:dyDescent="0.3">
      <c r="A443" s="16" t="s">
        <v>74</v>
      </c>
      <c r="B443" s="16" t="s">
        <v>65</v>
      </c>
      <c r="C443" s="16" t="s">
        <v>1084</v>
      </c>
      <c r="D443" s="33">
        <f>10.665+4.073</f>
        <v>14.738</v>
      </c>
      <c r="E443" s="33">
        <f>(1.58*10.665+0.89*4.073)/D443</f>
        <v>1.3893113041118199</v>
      </c>
      <c r="I443" s="33">
        <f>(0.4*10.665+0.41*4.073)/D443</f>
        <v>0.40276360428823449</v>
      </c>
      <c r="J443" s="33">
        <f>(1.9*10.665+2.22*4.073)/D443</f>
        <v>1.988435337223504</v>
      </c>
      <c r="K443" s="35">
        <f>(63.9*10.665+43.2*4.073)/D443</f>
        <v>58.179339123354595</v>
      </c>
      <c r="L443" s="33">
        <f>(0.19*10.665+0.33*4.073)/D443</f>
        <v>0.22869046003528298</v>
      </c>
      <c r="S443" s="18">
        <f t="shared" si="7"/>
        <v>0.20475670000000001</v>
      </c>
      <c r="T443" s="3" t="s">
        <v>75</v>
      </c>
      <c r="U443" s="3" t="s">
        <v>1205</v>
      </c>
    </row>
    <row r="444" spans="1:21" x14ac:dyDescent="0.3">
      <c r="A444" s="16" t="s">
        <v>934</v>
      </c>
      <c r="B444" s="16" t="s">
        <v>65</v>
      </c>
      <c r="C444" s="16" t="s">
        <v>1063</v>
      </c>
      <c r="D444" s="33">
        <f>0.234+1.394</f>
        <v>1.6279999999999999</v>
      </c>
      <c r="E444" s="33">
        <f>(0.05*0.234+0.06*1.394)/D444</f>
        <v>5.8562653562653562E-2</v>
      </c>
      <c r="I444" s="33">
        <f>(0.8*0.234+1.15*1.394)/D444</f>
        <v>1.0996928746928747</v>
      </c>
      <c r="J444" s="33">
        <f>(0.82*0.234+1.14*1.394)/D444</f>
        <v>1.094004914004914</v>
      </c>
      <c r="K444" s="35">
        <f>(187*0.234+188*1.394)/D444</f>
        <v>187.85626535626537</v>
      </c>
      <c r="L444" s="33">
        <f>(0.12*0.234+0.24*1.394)/D444</f>
        <v>0.22275184275184273</v>
      </c>
      <c r="S444" s="18">
        <f t="shared" si="7"/>
        <v>9.5339999999999997E-4</v>
      </c>
      <c r="T444" s="3" t="s">
        <v>932</v>
      </c>
      <c r="U444" s="3" t="s">
        <v>1236</v>
      </c>
    </row>
    <row r="445" spans="1:21" x14ac:dyDescent="0.3">
      <c r="A445" s="16" t="s">
        <v>495</v>
      </c>
      <c r="B445" s="16" t="s">
        <v>65</v>
      </c>
      <c r="C445" s="16" t="s">
        <v>45</v>
      </c>
      <c r="D445" s="37">
        <f>1207+290+390</f>
        <v>1887</v>
      </c>
      <c r="E445" s="33">
        <f>(0.51*1207+0.35*290+0.62*390)/D445</f>
        <v>0.50814520402755703</v>
      </c>
      <c r="L445" s="33">
        <f>(0.125*1207+0*290+0*390)/D445</f>
        <v>7.9954954954954957E-2</v>
      </c>
      <c r="S445" s="18">
        <f t="shared" si="7"/>
        <v>9.5887000000000011</v>
      </c>
      <c r="T445" s="3" t="s">
        <v>489</v>
      </c>
      <c r="U445" s="3" t="s">
        <v>1205</v>
      </c>
    </row>
    <row r="446" spans="1:21" x14ac:dyDescent="0.3">
      <c r="A446" s="16" t="s">
        <v>1000</v>
      </c>
      <c r="B446" s="16" t="s">
        <v>65</v>
      </c>
      <c r="C446" s="16" t="s">
        <v>45</v>
      </c>
      <c r="D446" s="3">
        <v>215.4</v>
      </c>
      <c r="E446" s="3">
        <v>0.06</v>
      </c>
      <c r="N446" s="3">
        <v>7.0999999999999994E-2</v>
      </c>
      <c r="S446" s="18">
        <f t="shared" si="7"/>
        <v>0.12923999999999999</v>
      </c>
      <c r="T446" s="3" t="s">
        <v>165</v>
      </c>
      <c r="U446" s="3" t="s">
        <v>1205</v>
      </c>
    </row>
    <row r="447" spans="1:21" x14ac:dyDescent="0.3">
      <c r="A447" s="16" t="s">
        <v>163</v>
      </c>
      <c r="B447" s="16" t="s">
        <v>65</v>
      </c>
      <c r="C447" s="16" t="s">
        <v>45</v>
      </c>
      <c r="D447" s="3">
        <f>128.1+231.2+68</f>
        <v>427.29999999999995</v>
      </c>
      <c r="E447" s="18">
        <f>(0.307*128.1+0.266*231.2+0.239*68)/D447</f>
        <v>0.27399461736484904</v>
      </c>
      <c r="S447" s="18">
        <f t="shared" si="7"/>
        <v>1.1707789999999998</v>
      </c>
      <c r="T447" s="3" t="s">
        <v>165</v>
      </c>
      <c r="U447" s="3" t="s">
        <v>1205</v>
      </c>
    </row>
    <row r="448" spans="1:21" x14ac:dyDescent="0.3">
      <c r="A448" s="16" t="s">
        <v>616</v>
      </c>
      <c r="B448" s="16" t="s">
        <v>65</v>
      </c>
      <c r="C448" s="16" t="s">
        <v>808</v>
      </c>
      <c r="D448" s="33">
        <v>40.401000000000003</v>
      </c>
      <c r="E448" s="3">
        <v>0.9</v>
      </c>
      <c r="I448" s="3">
        <v>0.9</v>
      </c>
      <c r="J448" s="3">
        <v>2.6</v>
      </c>
      <c r="K448" s="3">
        <v>24.11</v>
      </c>
      <c r="S448" s="18">
        <f t="shared" si="7"/>
        <v>0.36360900000000002</v>
      </c>
      <c r="T448" s="3" t="s">
        <v>618</v>
      </c>
      <c r="U448" s="3" t="s">
        <v>1205</v>
      </c>
    </row>
    <row r="449" spans="1:22" x14ac:dyDescent="0.3">
      <c r="A449" s="16" t="s">
        <v>72</v>
      </c>
      <c r="B449" s="16" t="s">
        <v>65</v>
      </c>
      <c r="C449" s="16" t="s">
        <v>45</v>
      </c>
      <c r="D449" s="33">
        <f>6.003 +5.414+0.707</f>
        <v>12.124000000000001</v>
      </c>
      <c r="E449" s="33">
        <f>(0.86*6.003 +0.67*5.414+0.66*0.707)/D449</f>
        <v>0.7634922467832399</v>
      </c>
      <c r="S449" s="18">
        <f t="shared" si="7"/>
        <v>9.2565800000000018E-2</v>
      </c>
      <c r="T449" s="3" t="s">
        <v>73</v>
      </c>
      <c r="U449" s="3" t="s">
        <v>1267</v>
      </c>
    </row>
    <row r="450" spans="1:22" x14ac:dyDescent="0.3">
      <c r="A450" s="16" t="s">
        <v>63</v>
      </c>
      <c r="B450" s="16" t="s">
        <v>65</v>
      </c>
      <c r="C450" s="16" t="s">
        <v>45</v>
      </c>
      <c r="D450" s="36">
        <f>4633.9+318.8</f>
        <v>4952.7</v>
      </c>
      <c r="E450" s="33">
        <f>(10.25+0.63)*100/4952.7</f>
        <v>0.2196781553496073</v>
      </c>
      <c r="S450" s="18">
        <f t="shared" si="7"/>
        <v>10.88</v>
      </c>
      <c r="T450" s="3" t="s">
        <v>489</v>
      </c>
      <c r="U450" s="3" t="s">
        <v>1205</v>
      </c>
    </row>
    <row r="451" spans="1:22" x14ac:dyDescent="0.3">
      <c r="A451" s="16" t="s">
        <v>492</v>
      </c>
      <c r="B451" s="16" t="s">
        <v>65</v>
      </c>
      <c r="C451" s="16" t="s">
        <v>1048</v>
      </c>
      <c r="D451" s="3">
        <v>16</v>
      </c>
      <c r="E451" s="3">
        <v>0.69</v>
      </c>
      <c r="I451" s="3">
        <v>0.36</v>
      </c>
      <c r="J451" s="3">
        <v>3.08</v>
      </c>
      <c r="K451" s="3">
        <v>95</v>
      </c>
      <c r="S451" s="18">
        <f t="shared" si="7"/>
        <v>0.1104</v>
      </c>
      <c r="T451" s="3" t="s">
        <v>489</v>
      </c>
      <c r="U451" s="3" t="s">
        <v>1205</v>
      </c>
    </row>
    <row r="452" spans="1:22" x14ac:dyDescent="0.3">
      <c r="A452" s="16" t="s">
        <v>617</v>
      </c>
      <c r="B452" s="16" t="s">
        <v>65</v>
      </c>
      <c r="C452" s="16" t="s">
        <v>45</v>
      </c>
      <c r="D452" s="33">
        <v>36.933999999999997</v>
      </c>
      <c r="E452" s="3">
        <v>1.42</v>
      </c>
      <c r="S452" s="18">
        <f t="shared" si="7"/>
        <v>0.5244627999999999</v>
      </c>
      <c r="T452" s="3" t="s">
        <v>618</v>
      </c>
      <c r="U452" s="3" t="s">
        <v>1205</v>
      </c>
    </row>
    <row r="453" spans="1:22" x14ac:dyDescent="0.3">
      <c r="A453" s="16" t="s">
        <v>612</v>
      </c>
      <c r="B453" s="16" t="s">
        <v>65</v>
      </c>
      <c r="C453" s="16" t="s">
        <v>1048</v>
      </c>
      <c r="D453" s="33">
        <v>9.6890000000000001</v>
      </c>
      <c r="E453" s="3">
        <v>0.12</v>
      </c>
      <c r="I453" s="3">
        <v>2.73</v>
      </c>
      <c r="J453" s="3">
        <v>7.21</v>
      </c>
      <c r="K453" s="3">
        <v>116.81</v>
      </c>
      <c r="L453" s="3">
        <v>0.04</v>
      </c>
      <c r="S453" s="18">
        <f t="shared" si="7"/>
        <v>1.16268E-2</v>
      </c>
      <c r="T453" s="3" t="s">
        <v>618</v>
      </c>
      <c r="U453" s="3" t="s">
        <v>1205</v>
      </c>
    </row>
    <row r="454" spans="1:22" x14ac:dyDescent="0.3">
      <c r="A454" s="16" t="s">
        <v>491</v>
      </c>
      <c r="B454" s="16" t="s">
        <v>65</v>
      </c>
      <c r="C454" s="16" t="s">
        <v>45</v>
      </c>
      <c r="D454" s="3">
        <v>52.9</v>
      </c>
      <c r="E454" s="3">
        <v>0.92</v>
      </c>
      <c r="S454" s="18">
        <f t="shared" si="7"/>
        <v>0.48668</v>
      </c>
      <c r="T454" s="3" t="s">
        <v>489</v>
      </c>
      <c r="U454" s="3" t="s">
        <v>1205</v>
      </c>
    </row>
    <row r="455" spans="1:22" x14ac:dyDescent="0.3">
      <c r="A455" s="16" t="s">
        <v>1019</v>
      </c>
      <c r="B455" s="16" t="s">
        <v>65</v>
      </c>
      <c r="C455" s="16" t="s">
        <v>1063</v>
      </c>
      <c r="D455" s="3">
        <f>45.7+189.7+36.1</f>
        <v>271.5</v>
      </c>
      <c r="E455" s="33">
        <f>(0.04*45.7+0.04*189.7+0.07*36.1)/D455</f>
        <v>4.3988950276243097E-2</v>
      </c>
      <c r="I455" s="33">
        <f>(0.55*45.7+0.36*189.7+0.47*36.1)/D455</f>
        <v>0.40660773480662982</v>
      </c>
      <c r="J455" s="33">
        <f>(1.07*45.7+0.83*189.7+1.02*36.1)/D455</f>
        <v>0.89566114180478817</v>
      </c>
      <c r="K455" s="35">
        <f>(108.9*45.7+79.3*189.7+70.8*36.1)/D455</f>
        <v>83.152191528545117</v>
      </c>
      <c r="S455" s="18">
        <f t="shared" si="7"/>
        <v>0.11943000000000001</v>
      </c>
      <c r="T455" s="3" t="s">
        <v>430</v>
      </c>
      <c r="U455" s="3" t="s">
        <v>1205</v>
      </c>
    </row>
    <row r="456" spans="1:22" x14ac:dyDescent="0.3">
      <c r="A456" s="16" t="s">
        <v>594</v>
      </c>
      <c r="B456" s="16" t="s">
        <v>65</v>
      </c>
      <c r="C456" s="16" t="s">
        <v>1063</v>
      </c>
      <c r="D456" s="3">
        <v>0.502</v>
      </c>
      <c r="E456" s="3">
        <v>4.7</v>
      </c>
      <c r="K456" s="3">
        <v>99</v>
      </c>
      <c r="L456" s="3">
        <v>2.1</v>
      </c>
      <c r="S456" s="18">
        <f t="shared" si="7"/>
        <v>2.3594E-2</v>
      </c>
      <c r="T456" s="3" t="s">
        <v>595</v>
      </c>
      <c r="U456" s="3" t="s">
        <v>1205</v>
      </c>
    </row>
    <row r="457" spans="1:22" x14ac:dyDescent="0.3">
      <c r="A457" s="16" t="s">
        <v>613</v>
      </c>
      <c r="B457" s="16" t="s">
        <v>65</v>
      </c>
      <c r="C457" s="16" t="s">
        <v>1048</v>
      </c>
      <c r="D457" s="33">
        <v>14.242000000000001</v>
      </c>
      <c r="E457" s="3">
        <v>0.7</v>
      </c>
      <c r="I457" s="3">
        <v>0.76</v>
      </c>
      <c r="J457" s="3">
        <v>2.11</v>
      </c>
      <c r="K457" s="3">
        <v>98.53</v>
      </c>
      <c r="S457" s="18">
        <f t="shared" si="7"/>
        <v>9.9694000000000005E-2</v>
      </c>
      <c r="T457" s="3" t="s">
        <v>618</v>
      </c>
      <c r="U457" s="3" t="s">
        <v>1205</v>
      </c>
    </row>
    <row r="458" spans="1:22" x14ac:dyDescent="0.3">
      <c r="A458" s="16" t="s">
        <v>851</v>
      </c>
      <c r="B458" s="16" t="s">
        <v>65</v>
      </c>
      <c r="C458" s="16" t="s">
        <v>1063</v>
      </c>
      <c r="D458" s="33">
        <f>1.393716+1.354261+1.257731</f>
        <v>4.0057079999999994</v>
      </c>
      <c r="E458" s="33">
        <f>(0.39*1.393716+0.31*1.354261+0.19*1.257731)/$D458</f>
        <v>0.3001564367647368</v>
      </c>
      <c r="I458" s="33">
        <f>(3.1*1.393716+2.73*1.354261+2.26*1.257731)/$D458</f>
        <v>2.7111622190134685</v>
      </c>
      <c r="J458" s="33">
        <f>(7.12*1.393716+6.14*1.354261+6.18*1.257731)/$D458</f>
        <v>6.4935332380692765</v>
      </c>
      <c r="K458" s="35">
        <f>(69*1.393716+82*1.354261+84*1.257731)/$D458</f>
        <v>78.10484688349726</v>
      </c>
      <c r="L458" s="33">
        <f>(0.02*1.393716+0.06*1.354261+0.05*1.257731)/$D458</f>
        <v>4.2942853048699513E-2</v>
      </c>
      <c r="S458" s="18">
        <f t="shared" si="7"/>
        <v>1.20233904E-2</v>
      </c>
      <c r="T458" s="3" t="s">
        <v>852</v>
      </c>
      <c r="U458" s="3" t="s">
        <v>1205</v>
      </c>
    </row>
    <row r="459" spans="1:22" x14ac:dyDescent="0.3">
      <c r="A459" s="16" t="s">
        <v>1004</v>
      </c>
      <c r="B459" s="16" t="s">
        <v>65</v>
      </c>
      <c r="C459" s="16" t="s">
        <v>131</v>
      </c>
      <c r="D459" s="39">
        <f>33.5+56.2</f>
        <v>89.7</v>
      </c>
      <c r="E459" s="33">
        <f>(0.34*33.5+0.34*56.2)/D459</f>
        <v>0.34</v>
      </c>
      <c r="L459" s="18"/>
      <c r="M459" s="42"/>
      <c r="S459" s="18">
        <f t="shared" si="7"/>
        <v>0.30498000000000003</v>
      </c>
      <c r="T459" s="3" t="s">
        <v>1003</v>
      </c>
      <c r="U459" s="3" t="s">
        <v>1218</v>
      </c>
    </row>
    <row r="460" spans="1:22" x14ac:dyDescent="0.3">
      <c r="A460" s="16" t="s">
        <v>905</v>
      </c>
      <c r="B460" s="16" t="s">
        <v>65</v>
      </c>
      <c r="C460" s="16" t="s">
        <v>808</v>
      </c>
      <c r="D460" s="35">
        <f>1.9+78.1+7</f>
        <v>87</v>
      </c>
      <c r="E460" s="33">
        <f>(0.73*1.9+1.34*78.1+1.28*7)/D460</f>
        <v>1.3218505747126437</v>
      </c>
      <c r="I460" s="33"/>
      <c r="J460" s="33">
        <f>(3.6*1.9+1.8*78.1+1.4*7)/D460</f>
        <v>1.8071264367816091</v>
      </c>
      <c r="K460" s="35"/>
      <c r="L460" s="33"/>
      <c r="S460" s="18">
        <f t="shared" si="7"/>
        <v>1.15001</v>
      </c>
      <c r="T460" s="3" t="s">
        <v>108</v>
      </c>
      <c r="U460" s="3" t="s">
        <v>1206</v>
      </c>
    </row>
    <row r="461" spans="1:22" x14ac:dyDescent="0.3">
      <c r="A461" s="16" t="s">
        <v>1005</v>
      </c>
      <c r="B461" s="16" t="s">
        <v>65</v>
      </c>
      <c r="C461" s="16" t="s">
        <v>1055</v>
      </c>
      <c r="D461" s="35">
        <f>85.593+5.047</f>
        <v>90.64</v>
      </c>
      <c r="E461" s="33">
        <f>(0.32*85.593+0.36*5.047)/D461</f>
        <v>0.32222727272727275</v>
      </c>
      <c r="I461" s="33"/>
      <c r="J461" s="33">
        <f>(1.24*85.593+3.54*5.047)/D461</f>
        <v>1.3680681818181819</v>
      </c>
      <c r="K461" s="35"/>
      <c r="L461" s="33"/>
      <c r="S461" s="18">
        <f t="shared" si="7"/>
        <v>0.29206680000000002</v>
      </c>
      <c r="T461" s="3" t="s">
        <v>1003</v>
      </c>
      <c r="U461" s="3" t="s">
        <v>1218</v>
      </c>
    </row>
    <row r="462" spans="1:22" x14ac:dyDescent="0.3">
      <c r="A462" s="16" t="s">
        <v>615</v>
      </c>
      <c r="B462" s="16" t="s">
        <v>65</v>
      </c>
      <c r="C462" s="16" t="s">
        <v>808</v>
      </c>
      <c r="D462" s="33">
        <v>12.738</v>
      </c>
      <c r="E462" s="3">
        <v>0.31</v>
      </c>
      <c r="I462" s="3">
        <v>1.24</v>
      </c>
      <c r="J462" s="3">
        <v>5.71</v>
      </c>
      <c r="K462" s="3">
        <v>205.54</v>
      </c>
      <c r="L462" s="3">
        <v>1.76</v>
      </c>
      <c r="S462" s="18">
        <f t="shared" si="7"/>
        <v>3.9487799999999997E-2</v>
      </c>
      <c r="T462" s="3" t="s">
        <v>618</v>
      </c>
      <c r="U462" s="3" t="s">
        <v>1205</v>
      </c>
    </row>
    <row r="463" spans="1:22" x14ac:dyDescent="0.3">
      <c r="A463" s="16" t="s">
        <v>1094</v>
      </c>
      <c r="B463" s="16" t="s">
        <v>43</v>
      </c>
      <c r="C463" s="16" t="s">
        <v>45</v>
      </c>
      <c r="D463" s="37">
        <v>1780</v>
      </c>
      <c r="E463" s="3">
        <v>0.62</v>
      </c>
      <c r="N463" s="3">
        <v>2.5000000000000001E-2</v>
      </c>
      <c r="S463" s="18">
        <f t="shared" si="7"/>
        <v>11.036</v>
      </c>
      <c r="T463" s="3" t="s">
        <v>1095</v>
      </c>
      <c r="U463" s="3" t="s">
        <v>1323</v>
      </c>
      <c r="V463" s="55" t="s">
        <v>1324</v>
      </c>
    </row>
    <row r="464" spans="1:22" x14ac:dyDescent="0.3">
      <c r="A464" s="16" t="s">
        <v>1123</v>
      </c>
      <c r="B464" s="16" t="s">
        <v>43</v>
      </c>
      <c r="C464" s="16" t="s">
        <v>45</v>
      </c>
      <c r="D464" s="37">
        <f>910+60+1426+213+490+1386</f>
        <v>4485</v>
      </c>
      <c r="E464" s="33">
        <f>(0.48*910+0.48*60+1.39*1426+1.5*213+1.05*490+0.45*1386)/D464</f>
        <v>0.87077814938684495</v>
      </c>
      <c r="L464" s="33">
        <f>(0.49*910+0.37*60+0.345*1426+0.476*213+0.09*490+0.324*1386)/D464</f>
        <v>0.34662697881828314</v>
      </c>
      <c r="S464" s="18">
        <f t="shared" si="7"/>
        <v>39.054399999999994</v>
      </c>
      <c r="T464" s="3" t="s">
        <v>1124</v>
      </c>
      <c r="U464" s="3" t="s">
        <v>1205</v>
      </c>
    </row>
    <row r="465" spans="1:22" x14ac:dyDescent="0.3">
      <c r="A465" s="16" t="s">
        <v>724</v>
      </c>
      <c r="B465" s="16" t="s">
        <v>723</v>
      </c>
      <c r="C465" s="16" t="s">
        <v>1051</v>
      </c>
      <c r="D465" s="3">
        <v>3.1</v>
      </c>
      <c r="E465" s="3">
        <v>1.4</v>
      </c>
      <c r="L465" s="3">
        <v>0.11</v>
      </c>
      <c r="S465" s="18">
        <f t="shared" si="7"/>
        <v>4.3400000000000001E-2</v>
      </c>
      <c r="T465" s="3" t="s">
        <v>725</v>
      </c>
      <c r="U465" s="3" t="s">
        <v>1203</v>
      </c>
    </row>
    <row r="466" spans="1:22" x14ac:dyDescent="0.3">
      <c r="A466" s="16" t="s">
        <v>727</v>
      </c>
      <c r="B466" s="16" t="s">
        <v>726</v>
      </c>
      <c r="C466" s="16" t="s">
        <v>1060</v>
      </c>
      <c r="D466" s="3">
        <v>1.74</v>
      </c>
      <c r="E466" s="3">
        <v>0.9</v>
      </c>
      <c r="S466" s="18">
        <f t="shared" si="7"/>
        <v>1.566E-2</v>
      </c>
      <c r="T466" s="3" t="s">
        <v>728</v>
      </c>
      <c r="U466" s="3" t="s">
        <v>1277</v>
      </c>
      <c r="V466" s="55" t="s">
        <v>1307</v>
      </c>
    </row>
    <row r="467" spans="1:22" x14ac:dyDescent="0.3">
      <c r="A467" s="16" t="s">
        <v>734</v>
      </c>
      <c r="B467" s="16" t="s">
        <v>726</v>
      </c>
      <c r="C467" s="16" t="s">
        <v>1120</v>
      </c>
      <c r="D467" s="18">
        <v>0.623444</v>
      </c>
      <c r="E467" s="3">
        <v>2.72</v>
      </c>
      <c r="S467" s="18">
        <f t="shared" si="7"/>
        <v>1.6957676800000002E-2</v>
      </c>
      <c r="T467" s="3" t="s">
        <v>729</v>
      </c>
      <c r="U467" s="3" t="s">
        <v>1205</v>
      </c>
    </row>
    <row r="468" spans="1:22" x14ac:dyDescent="0.3">
      <c r="A468" s="16" t="s">
        <v>735</v>
      </c>
      <c r="B468" s="16" t="s">
        <v>726</v>
      </c>
      <c r="C468" s="16" t="s">
        <v>808</v>
      </c>
      <c r="D468" s="3">
        <v>3.28</v>
      </c>
      <c r="E468" s="3">
        <v>2.7</v>
      </c>
      <c r="L468" s="3">
        <v>0.65</v>
      </c>
      <c r="S468" s="18">
        <f t="shared" si="7"/>
        <v>8.856E-2</v>
      </c>
      <c r="T468" s="3" t="s">
        <v>736</v>
      </c>
      <c r="U468" s="3" t="s">
        <v>1205</v>
      </c>
    </row>
    <row r="469" spans="1:22" x14ac:dyDescent="0.3">
      <c r="A469" s="16" t="s">
        <v>730</v>
      </c>
      <c r="B469" s="16" t="s">
        <v>726</v>
      </c>
      <c r="C469" s="16" t="s">
        <v>808</v>
      </c>
      <c r="D469" s="33">
        <f>0.71+0.82212</f>
        <v>1.5321199999999999</v>
      </c>
      <c r="E469" s="33">
        <f>(1.81*0.71+2.19*0.82212)/D469</f>
        <v>2.013904132835548</v>
      </c>
      <c r="S469" s="18">
        <f t="shared" si="7"/>
        <v>3.0855427999999997E-2</v>
      </c>
      <c r="T469" s="3" t="s">
        <v>729</v>
      </c>
      <c r="U469" s="3" t="s">
        <v>1205</v>
      </c>
    </row>
    <row r="470" spans="1:22" x14ac:dyDescent="0.3">
      <c r="A470" s="16" t="s">
        <v>824</v>
      </c>
      <c r="B470" s="16" t="s">
        <v>726</v>
      </c>
      <c r="C470" s="16" t="s">
        <v>1060</v>
      </c>
      <c r="D470" s="33">
        <v>11.682796</v>
      </c>
      <c r="E470" s="3">
        <v>1.01</v>
      </c>
      <c r="K470" s="3">
        <v>15.86</v>
      </c>
      <c r="S470" s="18">
        <f t="shared" si="7"/>
        <v>0.1179962396</v>
      </c>
      <c r="T470" s="3" t="s">
        <v>825</v>
      </c>
      <c r="U470" s="3" t="s">
        <v>1236</v>
      </c>
    </row>
    <row r="471" spans="1:22" x14ac:dyDescent="0.3">
      <c r="A471" s="16" t="s">
        <v>737</v>
      </c>
      <c r="B471" s="16" t="s">
        <v>726</v>
      </c>
      <c r="C471" s="16" t="s">
        <v>1060</v>
      </c>
      <c r="D471" s="3">
        <v>98</v>
      </c>
      <c r="E471" s="3">
        <v>0.51</v>
      </c>
      <c r="S471" s="18">
        <f t="shared" si="7"/>
        <v>0.49980000000000002</v>
      </c>
      <c r="T471" s="3" t="s">
        <v>738</v>
      </c>
      <c r="U471" s="3" t="s">
        <v>1325</v>
      </c>
    </row>
    <row r="472" spans="1:22" x14ac:dyDescent="0.3">
      <c r="A472" s="16" t="s">
        <v>1039</v>
      </c>
      <c r="B472" s="16" t="s">
        <v>726</v>
      </c>
      <c r="C472" s="16" t="s">
        <v>808</v>
      </c>
      <c r="D472" s="3">
        <v>7.25</v>
      </c>
      <c r="E472" s="3">
        <v>1.7</v>
      </c>
      <c r="K472" s="3">
        <v>8</v>
      </c>
      <c r="L472" s="3">
        <v>0.32</v>
      </c>
      <c r="S472" s="18">
        <f t="shared" si="7"/>
        <v>0.12325</v>
      </c>
      <c r="T472" s="3" t="s">
        <v>1040</v>
      </c>
      <c r="U472" s="3" t="s">
        <v>1205</v>
      </c>
    </row>
    <row r="473" spans="1:22" x14ac:dyDescent="0.3">
      <c r="A473" s="16" t="s">
        <v>731</v>
      </c>
      <c r="B473" s="16" t="s">
        <v>726</v>
      </c>
      <c r="C473" s="16" t="s">
        <v>808</v>
      </c>
      <c r="D473" s="33">
        <f>3.235+11.049002</f>
        <v>14.284001999999999</v>
      </c>
      <c r="E473" s="33">
        <f>(1.61*3.235+1.9*11.049002)/D473</f>
        <v>1.8343216277903069</v>
      </c>
      <c r="K473" s="33">
        <f>(7.11*3.235+5.51*11.049002)/D473</f>
        <v>5.8723634328810652</v>
      </c>
      <c r="L473" s="33">
        <f>(0.29*3.235+0.24*11.049002)/D473</f>
        <v>0.25132385727753326</v>
      </c>
      <c r="S473" s="18">
        <f t="shared" ref="S473:S536" si="8">D473*E473/100</f>
        <v>0.26201453800000002</v>
      </c>
      <c r="T473" s="3" t="s">
        <v>729</v>
      </c>
      <c r="U473" s="3" t="s">
        <v>1205</v>
      </c>
    </row>
    <row r="474" spans="1:22" x14ac:dyDescent="0.3">
      <c r="A474" s="16" t="s">
        <v>733</v>
      </c>
      <c r="B474" s="16" t="s">
        <v>726</v>
      </c>
      <c r="C474" s="16" t="s">
        <v>1060</v>
      </c>
      <c r="D474" s="33">
        <v>43.075446999999997</v>
      </c>
      <c r="E474" s="3">
        <v>0.83</v>
      </c>
      <c r="K474" s="3">
        <v>10.83</v>
      </c>
      <c r="S474" s="18">
        <f t="shared" si="8"/>
        <v>0.35752621009999996</v>
      </c>
      <c r="T474" s="3" t="s">
        <v>729</v>
      </c>
      <c r="U474" s="3" t="s">
        <v>1205</v>
      </c>
    </row>
    <row r="475" spans="1:22" x14ac:dyDescent="0.3">
      <c r="A475" s="16" t="s">
        <v>732</v>
      </c>
      <c r="B475" s="16" t="s">
        <v>726</v>
      </c>
      <c r="C475" s="16" t="s">
        <v>1085</v>
      </c>
      <c r="D475" s="18">
        <v>0.96885500000000002</v>
      </c>
      <c r="E475" s="3">
        <v>2.1</v>
      </c>
      <c r="K475" s="3">
        <v>18.2</v>
      </c>
      <c r="S475" s="18">
        <f t="shared" si="8"/>
        <v>2.0345954999999999E-2</v>
      </c>
      <c r="T475" s="3" t="s">
        <v>729</v>
      </c>
      <c r="U475" s="3" t="s">
        <v>1205</v>
      </c>
    </row>
    <row r="476" spans="1:22" x14ac:dyDescent="0.3">
      <c r="A476" s="16" t="s">
        <v>972</v>
      </c>
      <c r="B476" s="16" t="s">
        <v>969</v>
      </c>
      <c r="C476" s="16" t="s">
        <v>1049</v>
      </c>
      <c r="D476" s="33">
        <f>5.438+4.625</f>
        <v>10.062999999999999</v>
      </c>
      <c r="E476" s="33">
        <f>(0.11*5.438+0.12*4.625)/D476</f>
        <v>0.11459604491702276</v>
      </c>
      <c r="F476" s="33">
        <f>(0.25*5.438+0.29*4.625)/D476</f>
        <v>0.26838417966809103</v>
      </c>
      <c r="M476" s="33">
        <f>(0.02*5.438+0.02*4.625)/D476</f>
        <v>0.02</v>
      </c>
      <c r="S476" s="18">
        <f t="shared" si="8"/>
        <v>1.1531799999999998E-2</v>
      </c>
      <c r="T476" s="3" t="s">
        <v>973</v>
      </c>
      <c r="U476" s="3" t="s">
        <v>1265</v>
      </c>
    </row>
    <row r="477" spans="1:22" x14ac:dyDescent="0.3">
      <c r="A477" s="16" t="s">
        <v>970</v>
      </c>
      <c r="B477" s="16" t="s">
        <v>969</v>
      </c>
      <c r="C477" s="16" t="s">
        <v>1049</v>
      </c>
      <c r="D477" s="33">
        <v>2.6970000000000001</v>
      </c>
      <c r="E477" s="3">
        <v>0.69</v>
      </c>
      <c r="F477" s="3">
        <v>0.83</v>
      </c>
      <c r="M477" s="3">
        <v>0.06</v>
      </c>
      <c r="S477" s="18">
        <f t="shared" si="8"/>
        <v>1.8609299999999999E-2</v>
      </c>
      <c r="T477" s="3" t="s">
        <v>973</v>
      </c>
      <c r="U477" s="3" t="s">
        <v>1208</v>
      </c>
    </row>
    <row r="478" spans="1:22" x14ac:dyDescent="0.3">
      <c r="A478" s="16" t="s">
        <v>971</v>
      </c>
      <c r="B478" s="16" t="s">
        <v>969</v>
      </c>
      <c r="C478" s="16" t="s">
        <v>1049</v>
      </c>
      <c r="D478" s="33">
        <v>1.0129999999999999</v>
      </c>
      <c r="E478" s="3">
        <v>0.48</v>
      </c>
      <c r="F478" s="3">
        <v>1.0900000000000001</v>
      </c>
      <c r="M478" s="3">
        <v>0.04</v>
      </c>
      <c r="S478" s="18">
        <f t="shared" si="8"/>
        <v>4.8623999999999994E-3</v>
      </c>
      <c r="T478" s="3" t="s">
        <v>973</v>
      </c>
      <c r="U478" s="3" t="s">
        <v>1236</v>
      </c>
    </row>
    <row r="479" spans="1:22" x14ac:dyDescent="0.3">
      <c r="A479" s="16" t="s">
        <v>1360</v>
      </c>
      <c r="B479" s="16" t="s">
        <v>55</v>
      </c>
      <c r="C479" s="16" t="s">
        <v>45</v>
      </c>
      <c r="D479" s="36">
        <v>5867.8</v>
      </c>
      <c r="E479" s="3">
        <v>0.41</v>
      </c>
      <c r="L479" s="3">
        <v>0.22</v>
      </c>
      <c r="S479" s="18">
        <f t="shared" si="8"/>
        <v>24.057979999999997</v>
      </c>
      <c r="T479" s="3" t="s">
        <v>123</v>
      </c>
      <c r="U479" s="3" t="s">
        <v>1205</v>
      </c>
    </row>
    <row r="480" spans="1:22" x14ac:dyDescent="0.3">
      <c r="A480" s="16" t="s">
        <v>93</v>
      </c>
      <c r="B480" s="16" t="s">
        <v>97</v>
      </c>
      <c r="C480" s="16" t="s">
        <v>45</v>
      </c>
      <c r="D480" s="37">
        <f>261+3010+3194</f>
        <v>6465</v>
      </c>
      <c r="E480" s="33">
        <f>(0.56*261+0.34*3010+0.24*3194)/D480</f>
        <v>0.29947718484145402</v>
      </c>
      <c r="K480" s="33">
        <f>(1.5*261+1.2*3010+1*3194)/D480</f>
        <v>1.1133023975251353</v>
      </c>
      <c r="L480" s="33">
        <f>(0.13*261+0.06*3010+0.04*3194)/D480</f>
        <v>5.2945088940448574E-2</v>
      </c>
      <c r="N480" s="3">
        <v>8.0000000000000002E-3</v>
      </c>
      <c r="S480" s="18">
        <f t="shared" si="8"/>
        <v>19.361200000000004</v>
      </c>
      <c r="T480" s="3" t="s">
        <v>94</v>
      </c>
      <c r="U480" s="3" t="s">
        <v>1205</v>
      </c>
    </row>
    <row r="481" spans="1:22" x14ac:dyDescent="0.3">
      <c r="A481" s="16" t="s">
        <v>1238</v>
      </c>
      <c r="B481" s="16" t="s">
        <v>98</v>
      </c>
      <c r="C481" s="16" t="s">
        <v>45</v>
      </c>
      <c r="D481" s="3">
        <v>164</v>
      </c>
      <c r="E481" s="3">
        <v>0.32</v>
      </c>
      <c r="K481" s="3">
        <v>1.7</v>
      </c>
      <c r="L481" s="3">
        <v>0.1</v>
      </c>
      <c r="N481" s="18"/>
      <c r="S481" s="18">
        <f t="shared" si="8"/>
        <v>0.52480000000000004</v>
      </c>
      <c r="T481" s="3" t="s">
        <v>566</v>
      </c>
      <c r="U481" s="3" t="s">
        <v>1326</v>
      </c>
      <c r="V481" s="53" t="s">
        <v>1241</v>
      </c>
    </row>
    <row r="482" spans="1:22" x14ac:dyDescent="0.3">
      <c r="A482" s="16" t="s">
        <v>558</v>
      </c>
      <c r="B482" s="16" t="s">
        <v>98</v>
      </c>
      <c r="C482" s="16" t="s">
        <v>45</v>
      </c>
      <c r="D482" s="37">
        <v>1064</v>
      </c>
      <c r="E482" s="3">
        <v>0.33</v>
      </c>
      <c r="L482" s="3">
        <v>0.37</v>
      </c>
      <c r="N482" s="18"/>
      <c r="S482" s="18">
        <f t="shared" si="8"/>
        <v>3.5112000000000001</v>
      </c>
      <c r="T482" s="3" t="s">
        <v>1235</v>
      </c>
      <c r="U482" s="3" t="s">
        <v>1205</v>
      </c>
      <c r="V482" s="9" t="s">
        <v>559</v>
      </c>
    </row>
    <row r="483" spans="1:22" x14ac:dyDescent="0.3">
      <c r="A483" s="16" t="s">
        <v>561</v>
      </c>
      <c r="B483" s="16" t="s">
        <v>98</v>
      </c>
      <c r="C483" s="16" t="s">
        <v>45</v>
      </c>
      <c r="D483" s="37">
        <f>780+410+900</f>
        <v>2090</v>
      </c>
      <c r="E483" s="33">
        <f>(0.51*780+0.44*410+0.39*900)/D483</f>
        <v>0.44459330143540671</v>
      </c>
      <c r="K483" s="33">
        <f>(0.79*780+0.72*410+0.68*900)/D483</f>
        <v>0.72889952153110049</v>
      </c>
      <c r="L483" s="33">
        <f>(0.28*780+0.2*410+0.17*900)/D483</f>
        <v>0.21693779904306221</v>
      </c>
      <c r="N483" s="18"/>
      <c r="S483" s="18">
        <f t="shared" si="8"/>
        <v>9.2919999999999998</v>
      </c>
      <c r="T483" s="3" t="s">
        <v>565</v>
      </c>
      <c r="U483" s="3" t="s">
        <v>1205</v>
      </c>
      <c r="V483" s="9" t="s">
        <v>564</v>
      </c>
    </row>
    <row r="484" spans="1:22" x14ac:dyDescent="0.3">
      <c r="A484" s="16" t="s">
        <v>562</v>
      </c>
      <c r="B484" s="16" t="s">
        <v>98</v>
      </c>
      <c r="C484" s="16" t="s">
        <v>45</v>
      </c>
      <c r="D484" s="3">
        <v>274</v>
      </c>
      <c r="E484" s="3">
        <v>0.44</v>
      </c>
      <c r="L484" s="3">
        <v>0.3</v>
      </c>
      <c r="N484" s="18"/>
      <c r="S484" s="18">
        <f t="shared" si="8"/>
        <v>1.2056</v>
      </c>
      <c r="T484" s="3" t="s">
        <v>565</v>
      </c>
      <c r="U484" s="3" t="s">
        <v>1205</v>
      </c>
      <c r="V484" s="9" t="s">
        <v>564</v>
      </c>
    </row>
    <row r="485" spans="1:22" x14ac:dyDescent="0.3">
      <c r="A485" s="16" t="s">
        <v>560</v>
      </c>
      <c r="B485" s="16" t="s">
        <v>98</v>
      </c>
      <c r="C485" s="16" t="s">
        <v>45</v>
      </c>
      <c r="D485" s="3">
        <f>37+14</f>
        <v>51</v>
      </c>
      <c r="E485" s="33">
        <f>(2.67*37+1.8*14)/D485</f>
        <v>2.4311764705882353</v>
      </c>
      <c r="L485" s="33">
        <f>(0.63*37+0.4*14)/D485</f>
        <v>0.56686274509803924</v>
      </c>
      <c r="N485" s="18"/>
      <c r="S485" s="18">
        <f t="shared" si="8"/>
        <v>1.2399</v>
      </c>
      <c r="T485" s="3" t="s">
        <v>563</v>
      </c>
      <c r="U485" s="3" t="s">
        <v>1205</v>
      </c>
    </row>
    <row r="486" spans="1:22" x14ac:dyDescent="0.3">
      <c r="A486" s="16" t="s">
        <v>1102</v>
      </c>
      <c r="B486" s="16" t="s">
        <v>98</v>
      </c>
      <c r="C486" s="16" t="s">
        <v>45</v>
      </c>
      <c r="D486" s="3">
        <v>276</v>
      </c>
      <c r="E486" s="3">
        <v>0.27</v>
      </c>
      <c r="K486" s="3">
        <v>1.7</v>
      </c>
      <c r="L486" s="3">
        <v>0.3</v>
      </c>
      <c r="N486" s="18">
        <v>7.7000000000000002E-3</v>
      </c>
      <c r="S486" s="18">
        <f t="shared" si="8"/>
        <v>0.74520000000000008</v>
      </c>
      <c r="T486" s="3" t="s">
        <v>1103</v>
      </c>
      <c r="U486" s="3" t="s">
        <v>1205</v>
      </c>
    </row>
    <row r="487" spans="1:22" x14ac:dyDescent="0.3">
      <c r="A487" s="16" t="s">
        <v>176</v>
      </c>
      <c r="B487" s="16" t="s">
        <v>98</v>
      </c>
      <c r="C487" s="16" t="s">
        <v>45</v>
      </c>
      <c r="D487" s="3">
        <v>500</v>
      </c>
      <c r="E487" s="3">
        <v>1</v>
      </c>
      <c r="L487" s="3">
        <v>0.54</v>
      </c>
      <c r="S487" s="18">
        <f t="shared" si="8"/>
        <v>5</v>
      </c>
      <c r="T487" s="3" t="s">
        <v>174</v>
      </c>
      <c r="U487" s="3" t="s">
        <v>1205</v>
      </c>
    </row>
    <row r="488" spans="1:22" x14ac:dyDescent="0.3">
      <c r="A488" s="16" t="s">
        <v>175</v>
      </c>
      <c r="B488" s="16" t="s">
        <v>98</v>
      </c>
      <c r="C488" s="16" t="s">
        <v>45</v>
      </c>
      <c r="D488" s="3">
        <v>40</v>
      </c>
      <c r="E488" s="3">
        <v>0.22</v>
      </c>
      <c r="L488" s="3">
        <v>0.79</v>
      </c>
      <c r="S488" s="18">
        <f t="shared" si="8"/>
        <v>8.8000000000000009E-2</v>
      </c>
      <c r="T488" s="3" t="s">
        <v>174</v>
      </c>
      <c r="U488" s="3" t="s">
        <v>1205</v>
      </c>
    </row>
    <row r="489" spans="1:22" x14ac:dyDescent="0.3">
      <c r="A489" s="16" t="s">
        <v>778</v>
      </c>
      <c r="B489" s="16" t="s">
        <v>98</v>
      </c>
      <c r="C489" s="16" t="s">
        <v>45</v>
      </c>
      <c r="D489" s="3">
        <v>20</v>
      </c>
      <c r="E489" s="3">
        <v>0.3</v>
      </c>
      <c r="N489" s="18"/>
      <c r="S489" s="18">
        <f t="shared" si="8"/>
        <v>0.06</v>
      </c>
      <c r="T489" s="3" t="s">
        <v>566</v>
      </c>
      <c r="U489" s="3" t="s">
        <v>1326</v>
      </c>
      <c r="V489" s="53" t="s">
        <v>1241</v>
      </c>
    </row>
    <row r="490" spans="1:22" x14ac:dyDescent="0.3">
      <c r="A490" s="16" t="s">
        <v>92</v>
      </c>
      <c r="B490" s="16" t="s">
        <v>98</v>
      </c>
      <c r="C490" s="16" t="s">
        <v>45</v>
      </c>
      <c r="D490" s="3">
        <v>353</v>
      </c>
      <c r="E490" s="3">
        <v>0.57999999999999996</v>
      </c>
      <c r="L490" s="3">
        <v>0.77</v>
      </c>
      <c r="S490" s="18">
        <f t="shared" si="8"/>
        <v>2.0473999999999997</v>
      </c>
      <c r="T490" s="3" t="s">
        <v>435</v>
      </c>
      <c r="U490" s="3" t="s">
        <v>1205</v>
      </c>
    </row>
    <row r="491" spans="1:22" x14ac:dyDescent="0.3">
      <c r="A491" s="16" t="s">
        <v>1104</v>
      </c>
      <c r="B491" s="16" t="s">
        <v>98</v>
      </c>
      <c r="C491" s="16" t="s">
        <v>45</v>
      </c>
      <c r="D491" s="33">
        <f>1.084+0.613+0.354</f>
        <v>2.0510000000000002</v>
      </c>
      <c r="E491" s="33">
        <f>(0.25*1.697+0.29*0.354)/D491</f>
        <v>0.25690394929302779</v>
      </c>
      <c r="L491" s="43">
        <f>(4*1.084+2.3*0.613+3.92*0.354)/D491</f>
        <v>3.4780984885421744</v>
      </c>
      <c r="S491" s="18">
        <f t="shared" si="8"/>
        <v>5.2690999999999997E-3</v>
      </c>
      <c r="T491" s="3" t="s">
        <v>1105</v>
      </c>
      <c r="U491" s="3" t="s">
        <v>1205</v>
      </c>
    </row>
    <row r="492" spans="1:22" x14ac:dyDescent="0.3">
      <c r="A492" s="16" t="s">
        <v>172</v>
      </c>
      <c r="B492" s="16" t="s">
        <v>98</v>
      </c>
      <c r="C492" s="16" t="s">
        <v>808</v>
      </c>
      <c r="D492" s="3">
        <f>1.03+1.54</f>
        <v>2.5700000000000003</v>
      </c>
      <c r="E492" s="33">
        <f>(7.2*1.03+8.1*1.54)/D492</f>
        <v>7.7392996108949408</v>
      </c>
      <c r="J492" s="33">
        <f>(0.4*1.03+0.9*1.54)/D492</f>
        <v>0.6996108949416342</v>
      </c>
      <c r="K492" s="35">
        <f>(23*1.03+34*1.54)/D492</f>
        <v>29.591439688715948</v>
      </c>
      <c r="L492" s="33">
        <f>(5*1.03+6.4*1.54)/D492</f>
        <v>5.8389105058365764</v>
      </c>
      <c r="S492" s="18">
        <f t="shared" si="8"/>
        <v>0.19889999999999999</v>
      </c>
      <c r="T492" s="3" t="s">
        <v>173</v>
      </c>
      <c r="U492" s="3" t="s">
        <v>1236</v>
      </c>
    </row>
    <row r="493" spans="1:22" x14ac:dyDescent="0.3">
      <c r="A493" s="16" t="s">
        <v>857</v>
      </c>
      <c r="B493" s="16" t="s">
        <v>98</v>
      </c>
      <c r="C493" s="16" t="s">
        <v>808</v>
      </c>
      <c r="D493" s="3">
        <v>0.23</v>
      </c>
      <c r="E493" s="3">
        <v>7.3</v>
      </c>
      <c r="J493" s="3">
        <v>3.6</v>
      </c>
      <c r="K493" s="3">
        <v>56</v>
      </c>
      <c r="L493" s="3">
        <v>3.6</v>
      </c>
      <c r="S493" s="18">
        <f t="shared" si="8"/>
        <v>1.6789999999999999E-2</v>
      </c>
      <c r="T493" s="3" t="s">
        <v>173</v>
      </c>
      <c r="U493" s="3" t="s">
        <v>1208</v>
      </c>
    </row>
    <row r="494" spans="1:22" x14ac:dyDescent="0.3">
      <c r="A494" s="16" t="s">
        <v>555</v>
      </c>
      <c r="B494" s="16" t="s">
        <v>98</v>
      </c>
      <c r="C494" s="16" t="s">
        <v>45</v>
      </c>
      <c r="D494" s="3">
        <f>113+245+417</f>
        <v>775</v>
      </c>
      <c r="E494" s="33">
        <f>(0.398*113+0.3468*245+0.3838*417)/D494</f>
        <v>0.37417367741935487</v>
      </c>
      <c r="K494" s="3">
        <v>1.68</v>
      </c>
      <c r="L494" s="3">
        <v>0.09</v>
      </c>
      <c r="N494" s="18">
        <f>(0.0181*113+0.0124*245+0.0096*417)/D494</f>
        <v>1.1724516129032256E-2</v>
      </c>
      <c r="O494" s="3">
        <v>0.06</v>
      </c>
      <c r="S494" s="18">
        <f t="shared" si="8"/>
        <v>2.8998460000000001</v>
      </c>
      <c r="T494" s="3" t="s">
        <v>556</v>
      </c>
      <c r="U494" s="3" t="s">
        <v>1205</v>
      </c>
    </row>
    <row r="495" spans="1:22" x14ac:dyDescent="0.3">
      <c r="A495" s="16" t="s">
        <v>840</v>
      </c>
      <c r="B495" s="16" t="s">
        <v>32</v>
      </c>
      <c r="C495" s="16" t="s">
        <v>1073</v>
      </c>
      <c r="D495" s="33">
        <f>4.30423+3.59773+8.09633</f>
        <v>15.998289999999999</v>
      </c>
      <c r="E495" s="33">
        <f>(0.1*4.30423+0.13*3.59773+0.11*8.09633)/D495</f>
        <v>0.11180721189577136</v>
      </c>
      <c r="I495" s="33">
        <f>(1.21*4.30423+1.2*3.59773+1.15*8.09633)/D495</f>
        <v>1.1773866957031032</v>
      </c>
      <c r="J495" s="33">
        <f>(1.55*4.30423+1.79*3.59773+1.54*8.09633)/D495</f>
        <v>1.5989109711100375</v>
      </c>
      <c r="K495" s="35">
        <f>31.1*(2.59*4.30423+4.32*3.59773+3.32*8.09633)/D495</f>
        <v>104.137748996299</v>
      </c>
      <c r="S495" s="18">
        <f t="shared" si="8"/>
        <v>1.7887241999999998E-2</v>
      </c>
      <c r="T495" s="3" t="s">
        <v>837</v>
      </c>
      <c r="U495" s="3" t="s">
        <v>1205</v>
      </c>
    </row>
    <row r="496" spans="1:22" x14ac:dyDescent="0.3">
      <c r="A496" s="16" t="s">
        <v>779</v>
      </c>
      <c r="B496" s="16" t="s">
        <v>32</v>
      </c>
      <c r="C496" s="16" t="s">
        <v>1048</v>
      </c>
      <c r="D496" s="36">
        <f>99.8+492.5+46.9+183.1+35.2+276.4+530.6+15+77.7+177.1</f>
        <v>1934.3</v>
      </c>
      <c r="E496" s="33">
        <f>(1.07*99.8+0.95*492.5+0.84*46.9+0.83*183.1+0.46*35.2+0.93*276.4+0.79*530.6+0.46*15+0.87*77.7+0.54*177.1)/D496</f>
        <v>0.84194850850436842</v>
      </c>
      <c r="J496" s="33">
        <f>(0*99.8+0*492.5+1.8*46.9+2*183.1+0*35.2+0*276.4+0*530.6+0.9*15+1.9*77.7+1.3*177.1)/D496</f>
        <v>0.43528925192576129</v>
      </c>
      <c r="K496" s="49">
        <v>10.7</v>
      </c>
      <c r="N496" s="50">
        <v>2.6022099447513811E-2</v>
      </c>
      <c r="S496" s="18">
        <f t="shared" si="8"/>
        <v>16.285809999999998</v>
      </c>
      <c r="T496" s="3" t="s">
        <v>44</v>
      </c>
      <c r="U496" s="3" t="s">
        <v>1205</v>
      </c>
    </row>
    <row r="497" spans="1:21" x14ac:dyDescent="0.3">
      <c r="A497" s="16" t="s">
        <v>34</v>
      </c>
      <c r="B497" s="16" t="s">
        <v>32</v>
      </c>
      <c r="C497" s="16" t="s">
        <v>45</v>
      </c>
      <c r="D497" s="3">
        <f>185+438+194</f>
        <v>817</v>
      </c>
      <c r="E497" s="33">
        <f>(0.66*185+0.54*438+0.36*194)/D497</f>
        <v>0.52443084455324362</v>
      </c>
      <c r="K497" s="33">
        <f>(1.63*185+1.43*438+1.3*194)/D497</f>
        <v>1.4444186046511627</v>
      </c>
      <c r="L497" s="33">
        <f>(0.14*185+0.12*438+0.06*194)/D497</f>
        <v>0.11028151774785801</v>
      </c>
      <c r="N497" s="18">
        <f>(0.005*185+0.005*438+0.006*194)/D497</f>
        <v>5.2374541003671971E-3</v>
      </c>
      <c r="S497" s="18">
        <f t="shared" si="8"/>
        <v>4.2846000000000002</v>
      </c>
      <c r="T497" s="3" t="s">
        <v>27</v>
      </c>
      <c r="U497" s="3" t="s">
        <v>1205</v>
      </c>
    </row>
    <row r="498" spans="1:21" x14ac:dyDescent="0.3">
      <c r="A498" s="16" t="s">
        <v>120</v>
      </c>
      <c r="B498" s="16" t="s">
        <v>32</v>
      </c>
      <c r="C498" s="16" t="s">
        <v>1048</v>
      </c>
      <c r="D498" s="33">
        <f>1.604+4.635+8.178</f>
        <v>14.417000000000002</v>
      </c>
      <c r="E498" s="33">
        <f>(0.4*1.604+0.39*4.635+0.34*8.178)/(1.604+4.635+8.178)</f>
        <v>0.36275022542831376</v>
      </c>
      <c r="I498" s="33">
        <f>(0.91*1.604+1.5*4.635+0.94*8.178)/(1.604+4.635+8.178)</f>
        <v>1.1166997294860233</v>
      </c>
      <c r="J498" s="33">
        <f>(4.01*1.604+4.58*4.635+3.39*8.178)/(1.604+4.635+8.178)</f>
        <v>3.841559270305889</v>
      </c>
      <c r="K498" s="33">
        <f>(1.72*1.604+2.54*4.635+1.59*8.178)/(1.604+4.635+8.178)</f>
        <v>1.9098841645279876</v>
      </c>
      <c r="S498" s="18">
        <f t="shared" si="8"/>
        <v>5.2297700000000003E-2</v>
      </c>
      <c r="T498" s="3" t="s">
        <v>118</v>
      </c>
      <c r="U498" s="3" t="s">
        <v>1205</v>
      </c>
    </row>
    <row r="499" spans="1:21" x14ac:dyDescent="0.3">
      <c r="A499" s="16" t="s">
        <v>1020</v>
      </c>
      <c r="B499" s="16" t="s">
        <v>32</v>
      </c>
      <c r="C499" s="16" t="s">
        <v>1119</v>
      </c>
      <c r="D499" s="3">
        <f>15.6+6</f>
        <v>21.6</v>
      </c>
      <c r="E499" s="3">
        <f>(0.92*15.6+0.74*6)/D499</f>
        <v>0.87</v>
      </c>
      <c r="K499" s="35">
        <f>(132*15.6+111.7*6)/D499</f>
        <v>126.36111111111109</v>
      </c>
      <c r="S499" s="18">
        <f t="shared" si="8"/>
        <v>0.18792</v>
      </c>
      <c r="T499" s="3" t="s">
        <v>430</v>
      </c>
      <c r="U499" s="3" t="s">
        <v>1306</v>
      </c>
    </row>
    <row r="500" spans="1:21" x14ac:dyDescent="0.3">
      <c r="A500" s="16" t="s">
        <v>1096</v>
      </c>
      <c r="B500" s="16" t="s">
        <v>32</v>
      </c>
      <c r="C500" s="16" t="s">
        <v>1063</v>
      </c>
      <c r="D500" s="3">
        <v>83.7</v>
      </c>
      <c r="E500" s="3">
        <v>0.09</v>
      </c>
      <c r="K500" s="35">
        <v>8.1999999999999993</v>
      </c>
      <c r="L500" s="3">
        <v>1.9</v>
      </c>
      <c r="S500" s="18">
        <f t="shared" si="8"/>
        <v>7.5330000000000008E-2</v>
      </c>
      <c r="T500" s="3" t="s">
        <v>144</v>
      </c>
      <c r="U500" s="3" t="s">
        <v>1205</v>
      </c>
    </row>
    <row r="501" spans="1:21" x14ac:dyDescent="0.3">
      <c r="A501" s="16" t="s">
        <v>135</v>
      </c>
      <c r="B501" s="16" t="s">
        <v>32</v>
      </c>
      <c r="C501" s="16" t="s">
        <v>1086</v>
      </c>
      <c r="D501" s="3">
        <v>92</v>
      </c>
      <c r="E501" s="3">
        <v>0.09</v>
      </c>
      <c r="S501" s="18">
        <f t="shared" si="8"/>
        <v>8.2799999999999999E-2</v>
      </c>
      <c r="T501" s="3" t="s">
        <v>136</v>
      </c>
      <c r="U501" s="3" t="s">
        <v>1205</v>
      </c>
    </row>
    <row r="502" spans="1:21" x14ac:dyDescent="0.3">
      <c r="A502" s="16" t="s">
        <v>143</v>
      </c>
      <c r="B502" s="16" t="s">
        <v>32</v>
      </c>
      <c r="C502" s="34" t="s">
        <v>45</v>
      </c>
      <c r="D502" s="3">
        <v>148.19999999999999</v>
      </c>
      <c r="E502" s="3">
        <v>0.4</v>
      </c>
      <c r="S502" s="18">
        <f t="shared" si="8"/>
        <v>0.59279999999999999</v>
      </c>
      <c r="T502" s="3" t="s">
        <v>144</v>
      </c>
      <c r="U502" s="3" t="s">
        <v>1205</v>
      </c>
    </row>
    <row r="503" spans="1:21" x14ac:dyDescent="0.3">
      <c r="A503" s="16" t="s">
        <v>838</v>
      </c>
      <c r="B503" s="16" t="s">
        <v>32</v>
      </c>
      <c r="C503" s="56" t="s">
        <v>1063</v>
      </c>
      <c r="D503" s="35">
        <f>101.067+53.291+11.5985</f>
        <v>165.95650000000001</v>
      </c>
      <c r="E503" s="33">
        <f>(0.02*101.067+0.33*53.291+0.09*11.5985)/D503</f>
        <v>0.12443763877883662</v>
      </c>
      <c r="I503" s="33">
        <f>(1.18*101.067+1.12*53.291+0.62*11.5985)/D503</f>
        <v>1.1215954180764236</v>
      </c>
      <c r="J503" s="33">
        <f>(3.04*101.067+2.24*53.291+1.23*11.5985)/D503</f>
        <v>2.6566098646332024</v>
      </c>
      <c r="K503" s="35">
        <f>31.1*(2.6*101.067+3.99*53.291+4.12*11.5985)/D503</f>
        <v>98.045231858950984</v>
      </c>
      <c r="S503" s="18">
        <f t="shared" si="8"/>
        <v>0.20651235000000001</v>
      </c>
      <c r="T503" s="3" t="s">
        <v>837</v>
      </c>
      <c r="U503" s="3" t="s">
        <v>1205</v>
      </c>
    </row>
    <row r="504" spans="1:21" x14ac:dyDescent="0.3">
      <c r="A504" s="16" t="s">
        <v>119</v>
      </c>
      <c r="B504" s="16" t="s">
        <v>32</v>
      </c>
      <c r="C504" s="16" t="s">
        <v>808</v>
      </c>
      <c r="D504" s="33">
        <f>32.278+26.65+24.924</f>
        <v>83.852000000000004</v>
      </c>
      <c r="E504" s="33">
        <f>(0.77*32.278+0.84*26.65+0.71*24.924)/(32.278+26.65+24.924)</f>
        <v>0.77441325192004951</v>
      </c>
      <c r="I504" s="33">
        <f>(0.24*32.278+0.32*26.65+0.22*24.924)/(32.278+26.65+24.924)</f>
        <v>0.25948099031627153</v>
      </c>
      <c r="J504" s="33">
        <f>(2.19*32.278+2.62*26.65+2.62*24.924)/(32.278+26.65+24.924)</f>
        <v>2.4544757429757191</v>
      </c>
      <c r="K504" s="33">
        <f>(0.79*32.278+0.94*26.65+0.61*24.924)/(32.278+26.65+24.924)</f>
        <v>0.78417044316176099</v>
      </c>
      <c r="S504" s="18">
        <f t="shared" si="8"/>
        <v>0.64936099999999997</v>
      </c>
      <c r="T504" s="3" t="s">
        <v>118</v>
      </c>
      <c r="U504" s="3" t="s">
        <v>1205</v>
      </c>
    </row>
    <row r="505" spans="1:21" x14ac:dyDescent="0.3">
      <c r="A505" s="16" t="s">
        <v>224</v>
      </c>
      <c r="B505" s="16" t="s">
        <v>32</v>
      </c>
      <c r="C505" s="16" t="s">
        <v>45</v>
      </c>
      <c r="D505" s="37">
        <f>904+102+43+2424+65+33+843+8</f>
        <v>4422</v>
      </c>
      <c r="E505" s="33">
        <f>(0.42*904+0.52*102+0.25*43+0.39*2424+0.45*65+0.23*33+0.39*843+0.38*8)/D505</f>
        <v>0.39744007236544543</v>
      </c>
      <c r="K505" s="33">
        <f>(1.82*904+0*102+0*43+1.21*2424+0*65+0*33+1.2*843+1.2*8)/D505</f>
        <v>1.2662867480777928</v>
      </c>
      <c r="N505" s="18">
        <f>(0.017*904+0*102+0*43+0.015*2424+0*65+0*33+0.014*843+0*8)/D505</f>
        <v>1.4366802351876979E-2</v>
      </c>
      <c r="S505" s="18">
        <f t="shared" si="8"/>
        <v>17.574799999999996</v>
      </c>
      <c r="T505" s="3" t="s">
        <v>228</v>
      </c>
      <c r="U505" s="3" t="s">
        <v>1205</v>
      </c>
    </row>
    <row r="506" spans="1:21" x14ac:dyDescent="0.3">
      <c r="A506" s="16" t="s">
        <v>782</v>
      </c>
      <c r="B506" s="16" t="s">
        <v>32</v>
      </c>
      <c r="C506" s="16" t="s">
        <v>1052</v>
      </c>
      <c r="D506" s="35">
        <v>249.45200000000003</v>
      </c>
      <c r="E506" s="33">
        <v>0.49620015073040097</v>
      </c>
      <c r="S506" s="18">
        <f t="shared" si="8"/>
        <v>1.2377811999999999</v>
      </c>
      <c r="T506" s="3" t="s">
        <v>118</v>
      </c>
      <c r="U506" s="3" t="s">
        <v>1205</v>
      </c>
    </row>
    <row r="507" spans="1:21" x14ac:dyDescent="0.3">
      <c r="A507" s="16" t="s">
        <v>574</v>
      </c>
      <c r="B507" s="16" t="s">
        <v>32</v>
      </c>
      <c r="C507" s="16" t="s">
        <v>1063</v>
      </c>
      <c r="D507" s="3">
        <v>83.7</v>
      </c>
      <c r="E507" s="3">
        <v>0.09</v>
      </c>
      <c r="K507" s="3">
        <v>8.1999999999999993</v>
      </c>
      <c r="L507" s="3">
        <v>1.9</v>
      </c>
      <c r="S507" s="18">
        <f t="shared" si="8"/>
        <v>7.5330000000000008E-2</v>
      </c>
      <c r="T507" s="3" t="s">
        <v>144</v>
      </c>
      <c r="U507" s="3" t="s">
        <v>1205</v>
      </c>
    </row>
    <row r="508" spans="1:21" x14ac:dyDescent="0.3">
      <c r="A508" s="16" t="s">
        <v>839</v>
      </c>
      <c r="B508" s="16" t="s">
        <v>32</v>
      </c>
      <c r="C508" s="16" t="s">
        <v>1048</v>
      </c>
      <c r="D508" s="33">
        <f>10.0207+4.4813+7.531</f>
        <v>22.032999999999998</v>
      </c>
      <c r="E508" s="33">
        <f>(0.17*10.0207+0.15*4.4813+0.15*7.531)/D508</f>
        <v>0.15909608314800527</v>
      </c>
      <c r="I508" s="33">
        <f>(1.68*10.0207+2.17*4.4813+1.79*7.531)/D508</f>
        <v>1.8172598829029185</v>
      </c>
      <c r="J508" s="33">
        <f>(7.59*10.0207+4.74*4.4813+4.87*7.531)/D508</f>
        <v>6.0806265601597609</v>
      </c>
      <c r="K508" s="35">
        <f>31.1*(3.53*10.0207+3.27*4.4813+2.79*7.531)/D508</f>
        <v>100.27207430672173</v>
      </c>
      <c r="S508" s="18">
        <f t="shared" si="8"/>
        <v>3.5053639999999997E-2</v>
      </c>
      <c r="T508" s="3" t="s">
        <v>837</v>
      </c>
      <c r="U508" s="3" t="s">
        <v>1205</v>
      </c>
    </row>
    <row r="509" spans="1:21" x14ac:dyDescent="0.3">
      <c r="A509" s="16" t="s">
        <v>147</v>
      </c>
      <c r="B509" s="16" t="s">
        <v>32</v>
      </c>
      <c r="C509" s="16" t="s">
        <v>45</v>
      </c>
      <c r="D509" s="3">
        <v>480</v>
      </c>
      <c r="E509" s="3">
        <v>0.33</v>
      </c>
      <c r="K509" s="3">
        <v>3.2</v>
      </c>
      <c r="L509" s="3">
        <v>0.04</v>
      </c>
      <c r="S509" s="18">
        <f t="shared" si="8"/>
        <v>1.5840000000000001</v>
      </c>
      <c r="T509" s="3" t="s">
        <v>925</v>
      </c>
      <c r="U509" s="3" t="s">
        <v>1206</v>
      </c>
    </row>
    <row r="510" spans="1:21" x14ac:dyDescent="0.3">
      <c r="A510" s="16" t="s">
        <v>1034</v>
      </c>
      <c r="B510" s="16" t="s">
        <v>32</v>
      </c>
      <c r="C510" s="16" t="s">
        <v>1048</v>
      </c>
      <c r="D510" s="33">
        <f>0.698318+3.9112</f>
        <v>4.6095179999999996</v>
      </c>
      <c r="E510" s="33">
        <f>(0.4*0.698318+0.35*3.9112)/D510</f>
        <v>0.35757473991857719</v>
      </c>
      <c r="I510" s="33">
        <f>(2.43*0.698318+2.56*3.9112)/D510</f>
        <v>2.5403056762116996</v>
      </c>
      <c r="J510" s="33">
        <f>(3.33*0.698318+3.12*3.9112)/D510</f>
        <v>3.1518139076580245</v>
      </c>
      <c r="K510" s="35">
        <f>(189*0.698318+261.23*3.9112)/D510</f>
        <v>250.28753071362345</v>
      </c>
      <c r="L510" s="33">
        <f>(6.41*0.698318+6.5*3.9112)/D510</f>
        <v>6.4863654681465608</v>
      </c>
      <c r="S510" s="18">
        <f t="shared" si="8"/>
        <v>1.6482471999999998E-2</v>
      </c>
      <c r="T510" s="3" t="s">
        <v>1036</v>
      </c>
      <c r="U510" s="3" t="s">
        <v>1306</v>
      </c>
    </row>
    <row r="511" spans="1:21" x14ac:dyDescent="0.3">
      <c r="A511" s="16" t="s">
        <v>780</v>
      </c>
      <c r="B511" s="16" t="s">
        <v>32</v>
      </c>
      <c r="C511" s="16" t="s">
        <v>45</v>
      </c>
      <c r="D511" s="3">
        <f>2+30+60</f>
        <v>92</v>
      </c>
      <c r="E511" s="33">
        <f>(3.01*2+3.2*30+3.06*60)/D511</f>
        <v>3.1045652173913045</v>
      </c>
      <c r="K511" s="33">
        <f>(10.4*2+12*30+13*60)/D511</f>
        <v>12.617391304347825</v>
      </c>
      <c r="L511" s="33">
        <f>(0.28*2+0.33*30+0.28*60)/D511</f>
        <v>0.296304347826087</v>
      </c>
      <c r="N511" s="18">
        <f>(0.012*2+0.016*30+0.013*60)/D511</f>
        <v>1.3956521739130433E-2</v>
      </c>
      <c r="S511" s="18">
        <f t="shared" si="8"/>
        <v>2.8561999999999999</v>
      </c>
      <c r="T511" s="3" t="s">
        <v>27</v>
      </c>
      <c r="U511" s="3" t="s">
        <v>1205</v>
      </c>
    </row>
    <row r="512" spans="1:21" x14ac:dyDescent="0.3">
      <c r="A512" s="16" t="s">
        <v>67</v>
      </c>
      <c r="B512" s="16" t="s">
        <v>32</v>
      </c>
      <c r="C512" s="16" t="s">
        <v>45</v>
      </c>
      <c r="D512" s="36">
        <f>2626.2+17.6</f>
        <v>2643.7999999999997</v>
      </c>
      <c r="E512" s="33">
        <f>(12.4+0.08)*100/2643.8</f>
        <v>0.472047809970497</v>
      </c>
      <c r="S512" s="18">
        <f t="shared" si="8"/>
        <v>12.479999999999997</v>
      </c>
      <c r="T512" s="3" t="s">
        <v>489</v>
      </c>
      <c r="U512" s="3" t="s">
        <v>1205</v>
      </c>
    </row>
    <row r="513" spans="1:22" x14ac:dyDescent="0.3">
      <c r="A513" s="16" t="s">
        <v>1135</v>
      </c>
      <c r="B513" s="16" t="s">
        <v>32</v>
      </c>
      <c r="C513" s="16" t="s">
        <v>1048</v>
      </c>
      <c r="D513" s="33">
        <v>40.024999999999999</v>
      </c>
      <c r="E513" s="3">
        <v>1.83</v>
      </c>
      <c r="S513" s="18">
        <f t="shared" si="8"/>
        <v>0.73245749999999998</v>
      </c>
      <c r="T513" s="3" t="s">
        <v>136</v>
      </c>
      <c r="U513" s="3" t="s">
        <v>1205</v>
      </c>
    </row>
    <row r="514" spans="1:22" x14ac:dyDescent="0.3">
      <c r="A514" s="16" t="s">
        <v>1136</v>
      </c>
      <c r="B514" s="16" t="s">
        <v>32</v>
      </c>
      <c r="C514" s="16" t="s">
        <v>1048</v>
      </c>
      <c r="D514" s="33">
        <v>83.423000000000002</v>
      </c>
      <c r="E514" s="3">
        <v>1.25</v>
      </c>
      <c r="S514" s="18">
        <f t="shared" si="8"/>
        <v>1.0427875</v>
      </c>
      <c r="T514" s="3" t="s">
        <v>136</v>
      </c>
      <c r="U514" s="3" t="s">
        <v>1205</v>
      </c>
    </row>
    <row r="515" spans="1:22" x14ac:dyDescent="0.3">
      <c r="A515" s="16" t="s">
        <v>1167</v>
      </c>
      <c r="B515" s="16" t="s">
        <v>32</v>
      </c>
      <c r="C515" s="16" t="s">
        <v>45</v>
      </c>
      <c r="D515" s="3">
        <v>486</v>
      </c>
      <c r="E515" s="3">
        <v>0.56999999999999995</v>
      </c>
      <c r="L515" s="3">
        <v>0.14000000000000001</v>
      </c>
      <c r="N515" s="3">
        <v>1.4999999999999999E-2</v>
      </c>
      <c r="S515" s="18">
        <f t="shared" si="8"/>
        <v>2.7702</v>
      </c>
      <c r="T515" s="3" t="s">
        <v>1353</v>
      </c>
      <c r="U515" s="3" t="s">
        <v>1304</v>
      </c>
      <c r="V515" s="55" t="s">
        <v>1305</v>
      </c>
    </row>
    <row r="516" spans="1:22" x14ac:dyDescent="0.3">
      <c r="A516" s="16" t="s">
        <v>117</v>
      </c>
      <c r="B516" s="16" t="s">
        <v>32</v>
      </c>
      <c r="C516" s="16" t="s">
        <v>1048</v>
      </c>
      <c r="D516" s="33">
        <f>14.68+14.68+9.364</f>
        <v>38.724000000000004</v>
      </c>
      <c r="E516" s="33">
        <f>(0.21*14.68+0.23*14.68+0.21*9.364)/(14.68+14.68+9.364)</f>
        <v>0.21758186137795679</v>
      </c>
      <c r="I516" s="33">
        <f>(0.65*14.68+0.86*14.68+0.88*9.364)/(14.68+14.68+9.364)</f>
        <v>0.78522673277553967</v>
      </c>
      <c r="J516" s="33">
        <f>(3.76*14.68+3.96*14.68+3.19*9.364)/(14.68+14.68+9.364)</f>
        <v>3.6979847123231067</v>
      </c>
      <c r="K516" s="33">
        <f>(1.44*14.68+1.82*14.68+2.07*9.364)/(14.68+14.68+9.364)</f>
        <v>1.7363980993698995</v>
      </c>
      <c r="S516" s="18">
        <f t="shared" si="8"/>
        <v>8.4256399999999995E-2</v>
      </c>
      <c r="T516" s="3" t="s">
        <v>118</v>
      </c>
      <c r="U516" s="3" t="s">
        <v>1205</v>
      </c>
    </row>
    <row r="517" spans="1:22" x14ac:dyDescent="0.3">
      <c r="A517" s="16" t="s">
        <v>139</v>
      </c>
      <c r="B517" s="16" t="s">
        <v>32</v>
      </c>
      <c r="C517" s="16" t="s">
        <v>1052</v>
      </c>
      <c r="D517" s="3">
        <f>570+406</f>
        <v>976</v>
      </c>
      <c r="E517" s="33">
        <f>(0.64*570+0.58*406)/(570+406)</f>
        <v>0.61504098360655735</v>
      </c>
      <c r="S517" s="18">
        <f t="shared" si="8"/>
        <v>6.0027999999999997</v>
      </c>
      <c r="T517" s="3" t="s">
        <v>19</v>
      </c>
      <c r="U517" s="3" t="s">
        <v>1205</v>
      </c>
    </row>
    <row r="518" spans="1:22" x14ac:dyDescent="0.3">
      <c r="A518" s="16" t="s">
        <v>1111</v>
      </c>
      <c r="B518" s="16" t="s">
        <v>32</v>
      </c>
      <c r="C518" s="56" t="s">
        <v>1063</v>
      </c>
      <c r="D518" s="33">
        <f>6.102+4.228+0.855+0.705+7.087</f>
        <v>18.977</v>
      </c>
      <c r="E518" s="33">
        <f>(0.35*6.102+0.31*0.228+0.19*0.855+0.24*0.705+0.32*7.087)/(6.102+4.228+0.855+0.705+7.087)</f>
        <v>0.25324708858091377</v>
      </c>
      <c r="I518" s="33">
        <f>(1.51*6.102+1.51*4.228+2.11*0.855+1.97*0.705+1.56*7.087)/(6.102+4.228+0.855+0.705+7.087)</f>
        <v>1.5727944353691308</v>
      </c>
      <c r="J518" s="33">
        <f>(2.97*6.102+2.95*4.228+3.3*0.855+3.31*0.705+2.82*7.087)/(6.102+4.228+0.855+0.705+7.087)</f>
        <v>2.9370253464720451</v>
      </c>
      <c r="K518" s="33">
        <f>(188*6.102+177*4.228+157*0.855+157*0.705+176*7.087)/(6.102+4.228+0.855+0.705+7.087)</f>
        <v>178.5194709385045</v>
      </c>
      <c r="S518" s="18">
        <f t="shared" si="8"/>
        <v>4.8058700000000003E-2</v>
      </c>
      <c r="T518" s="3" t="s">
        <v>1109</v>
      </c>
      <c r="U518" s="3" t="s">
        <v>1205</v>
      </c>
    </row>
    <row r="519" spans="1:22" x14ac:dyDescent="0.3">
      <c r="A519" s="16" t="s">
        <v>783</v>
      </c>
      <c r="B519" s="16" t="s">
        <v>32</v>
      </c>
      <c r="C519" s="16" t="s">
        <v>1052</v>
      </c>
      <c r="D519" s="33">
        <v>51.176000000000002</v>
      </c>
      <c r="E519" s="33">
        <v>0.98387740347037667</v>
      </c>
      <c r="S519" s="18">
        <f t="shared" si="8"/>
        <v>0.50350910000000004</v>
      </c>
      <c r="T519" s="3" t="s">
        <v>118</v>
      </c>
      <c r="U519" s="3" t="s">
        <v>1205</v>
      </c>
    </row>
    <row r="520" spans="1:22" x14ac:dyDescent="0.3">
      <c r="A520" s="16" t="s">
        <v>133</v>
      </c>
      <c r="B520" s="16" t="s">
        <v>32</v>
      </c>
      <c r="C520" s="56" t="s">
        <v>1063</v>
      </c>
      <c r="D520" s="18">
        <f>0.340285*0.9072</f>
        <v>0.30870655200000002</v>
      </c>
      <c r="E520" s="3">
        <v>0.4</v>
      </c>
      <c r="I520" s="3">
        <v>2.2999999999999998</v>
      </c>
      <c r="K520" s="35">
        <f>31.1*18.7/0.9072</f>
        <v>641.06040564373905</v>
      </c>
      <c r="L520" s="33">
        <f>31.1*0.026/0.9072</f>
        <v>0.89131393298059958</v>
      </c>
      <c r="S520" s="18">
        <f t="shared" si="8"/>
        <v>1.2348262080000001E-3</v>
      </c>
      <c r="T520" s="3" t="s">
        <v>136</v>
      </c>
      <c r="U520" s="3" t="s">
        <v>1205</v>
      </c>
    </row>
    <row r="521" spans="1:22" x14ac:dyDescent="0.3">
      <c r="A521" s="16" t="s">
        <v>480</v>
      </c>
      <c r="B521" s="16" t="s">
        <v>32</v>
      </c>
      <c r="C521" s="16" t="s">
        <v>45</v>
      </c>
      <c r="D521" s="37">
        <v>3000</v>
      </c>
      <c r="E521" s="3">
        <v>0.51</v>
      </c>
      <c r="J521" s="3">
        <v>0.09</v>
      </c>
      <c r="S521" s="18">
        <f t="shared" si="8"/>
        <v>15.3</v>
      </c>
      <c r="T521" s="3" t="s">
        <v>39</v>
      </c>
      <c r="U521" s="3" t="s">
        <v>1205</v>
      </c>
    </row>
    <row r="522" spans="1:22" x14ac:dyDescent="0.3">
      <c r="A522" s="16" t="s">
        <v>1141</v>
      </c>
      <c r="B522" s="16" t="s">
        <v>32</v>
      </c>
      <c r="C522" s="16" t="s">
        <v>1169</v>
      </c>
      <c r="D522" s="37">
        <f>280+870+400</f>
        <v>1550</v>
      </c>
      <c r="E522" s="33">
        <f>(0.5*280+0.7*870+0.5*400)/D522</f>
        <v>0.61225806451612907</v>
      </c>
      <c r="S522" s="18">
        <f t="shared" si="8"/>
        <v>9.490000000000002</v>
      </c>
      <c r="T522" s="3" t="s">
        <v>27</v>
      </c>
      <c r="U522" s="3" t="s">
        <v>1205</v>
      </c>
    </row>
    <row r="523" spans="1:22" x14ac:dyDescent="0.3">
      <c r="A523" s="16" t="s">
        <v>496</v>
      </c>
      <c r="B523" s="16" t="s">
        <v>32</v>
      </c>
      <c r="C523" s="16" t="s">
        <v>45</v>
      </c>
      <c r="D523" s="35">
        <f>111.264+814.97</f>
        <v>926.23400000000004</v>
      </c>
      <c r="E523" s="33">
        <f>(0.39*111.264+0.37*814.97)/D523</f>
        <v>0.37240250303918881</v>
      </c>
      <c r="N523" s="18">
        <f>(0.038*111.264+0.026*814.97)/D523</f>
        <v>2.7441501823513278E-2</v>
      </c>
      <c r="S523" s="18">
        <f t="shared" si="8"/>
        <v>3.4493186000000002</v>
      </c>
      <c r="T523" s="3" t="s">
        <v>497</v>
      </c>
      <c r="U523" s="3" t="s">
        <v>1205</v>
      </c>
    </row>
    <row r="524" spans="1:22" x14ac:dyDescent="0.3">
      <c r="A524" s="16" t="s">
        <v>490</v>
      </c>
      <c r="B524" s="16" t="s">
        <v>32</v>
      </c>
      <c r="C524" s="16" t="s">
        <v>45</v>
      </c>
      <c r="D524" s="3">
        <v>355</v>
      </c>
      <c r="E524" s="3">
        <v>0.62</v>
      </c>
      <c r="L524" s="3">
        <v>3.9E-2</v>
      </c>
      <c r="N524" s="3">
        <v>0.05</v>
      </c>
      <c r="S524" s="18">
        <f t="shared" si="8"/>
        <v>2.2010000000000001</v>
      </c>
      <c r="T524" s="3" t="s">
        <v>489</v>
      </c>
      <c r="U524" s="3" t="s">
        <v>1205</v>
      </c>
    </row>
    <row r="525" spans="1:22" x14ac:dyDescent="0.3">
      <c r="A525" s="16" t="s">
        <v>941</v>
      </c>
      <c r="B525" s="16" t="s">
        <v>32</v>
      </c>
      <c r="C525" s="16" t="s">
        <v>45</v>
      </c>
      <c r="D525" s="33">
        <v>63.191000000000003</v>
      </c>
      <c r="E525" s="3">
        <v>0.36</v>
      </c>
      <c r="S525" s="18">
        <f t="shared" si="8"/>
        <v>0.22748760000000001</v>
      </c>
      <c r="T525" s="3" t="s">
        <v>942</v>
      </c>
      <c r="U525" s="3" t="s">
        <v>1267</v>
      </c>
    </row>
    <row r="526" spans="1:22" x14ac:dyDescent="0.3">
      <c r="A526" s="16" t="s">
        <v>781</v>
      </c>
      <c r="B526" s="16" t="s">
        <v>32</v>
      </c>
      <c r="C526" s="16" t="s">
        <v>1063</v>
      </c>
      <c r="D526" s="33">
        <f>7.945*0.9072</f>
        <v>7.2077040000000006</v>
      </c>
      <c r="E526" s="3">
        <v>2.38</v>
      </c>
      <c r="K526" s="35">
        <f>31.1*0.44/0.9072</f>
        <v>15.083774250440918</v>
      </c>
      <c r="L526" s="35">
        <f>31.1*0.012/0.9072</f>
        <v>0.41137566137566139</v>
      </c>
      <c r="S526" s="18">
        <f t="shared" si="8"/>
        <v>0.1715433552</v>
      </c>
      <c r="T526" s="3" t="s">
        <v>136</v>
      </c>
      <c r="U526" s="3" t="s">
        <v>1205</v>
      </c>
    </row>
    <row r="527" spans="1:22" x14ac:dyDescent="0.3">
      <c r="A527" s="16" t="s">
        <v>1183</v>
      </c>
      <c r="B527" s="16" t="s">
        <v>32</v>
      </c>
      <c r="C527" s="16" t="s">
        <v>131</v>
      </c>
      <c r="D527" s="37">
        <v>1900</v>
      </c>
      <c r="E527" s="3">
        <v>0.12</v>
      </c>
      <c r="K527" s="35"/>
      <c r="L527" s="35"/>
      <c r="S527" s="18">
        <f t="shared" si="8"/>
        <v>2.2799999999999998</v>
      </c>
      <c r="T527" s="3" t="s">
        <v>1348</v>
      </c>
      <c r="U527" s="3" t="s">
        <v>1350</v>
      </c>
    </row>
    <row r="528" spans="1:22" x14ac:dyDescent="0.3">
      <c r="A528" s="16" t="s">
        <v>1168</v>
      </c>
      <c r="B528" s="16" t="s">
        <v>32</v>
      </c>
      <c r="C528" s="16" t="s">
        <v>45</v>
      </c>
      <c r="D528" s="3">
        <v>631</v>
      </c>
      <c r="E528" s="3">
        <v>0.69</v>
      </c>
      <c r="L528" s="3">
        <v>0.15</v>
      </c>
      <c r="N528" s="3">
        <v>1.4999999999999999E-2</v>
      </c>
      <c r="S528" s="18">
        <f t="shared" si="8"/>
        <v>4.3538999999999994</v>
      </c>
      <c r="T528" s="3" t="s">
        <v>1233</v>
      </c>
      <c r="U528" s="3" t="s">
        <v>1354</v>
      </c>
    </row>
    <row r="529" spans="1:22" x14ac:dyDescent="0.3">
      <c r="A529" s="16" t="s">
        <v>1182</v>
      </c>
      <c r="B529" s="16" t="s">
        <v>32</v>
      </c>
      <c r="C529" s="16" t="s">
        <v>131</v>
      </c>
      <c r="D529" s="3">
        <f>411.3+77.5</f>
        <v>488.8</v>
      </c>
      <c r="E529" s="33">
        <f>(0.67*411.3+0.72*77.5)/D529</f>
        <v>0.67792757774140755</v>
      </c>
      <c r="K529" s="33">
        <f>(8.75*161.8+5.03*58.3)/D529</f>
        <v>3.4963154664484453</v>
      </c>
      <c r="L529" s="18">
        <f>(0.05595*161.8+0.07922*58.3)/D529</f>
        <v>2.7968977086743046E-2</v>
      </c>
      <c r="S529" s="18">
        <f t="shared" si="8"/>
        <v>3.3137100000000004</v>
      </c>
      <c r="T529" s="16" t="s">
        <v>1184</v>
      </c>
      <c r="U529" s="3" t="s">
        <v>1208</v>
      </c>
    </row>
    <row r="530" spans="1:22" x14ac:dyDescent="0.3">
      <c r="A530" s="16" t="s">
        <v>1110</v>
      </c>
      <c r="B530" s="16" t="s">
        <v>32</v>
      </c>
      <c r="C530" s="16" t="s">
        <v>1117</v>
      </c>
      <c r="D530" s="33">
        <f>4.343+3.316+0.887+1.61+8.098</f>
        <v>18.253999999999998</v>
      </c>
      <c r="E530" s="33">
        <f>(0.4*4.343+0.4*3.316+0.33*0.887+0.65*1.61+0.38*8.098)/(4.343+3.316+0.887+1.61+8.098)</f>
        <v>0.40977593952010527</v>
      </c>
      <c r="I530" s="18">
        <f>(1.17*4.343+1.41*3.316+1.5*0.887+1.45*1.61+1.22*8.098)/(4.343+3.316+0.887+1.61+8.098)</f>
        <v>1.2765109017201712</v>
      </c>
      <c r="J530" s="18">
        <f>(3.19*4.343+3.41*3.316+3.46*0.887+2.76*1.61+3.01*8.098)/(4.343+3.316+0.887+1.61+8.098)</f>
        <v>3.1253056864248938</v>
      </c>
      <c r="K530" s="35">
        <f>(153*4.343+177*3.316+170*0.887+217*1.61+159*8.098)/(4.343+3.316+0.887+1.61+8.098)</f>
        <v>166.49244001314784</v>
      </c>
      <c r="L530" s="35"/>
      <c r="S530" s="18">
        <f t="shared" si="8"/>
        <v>7.4800500000000006E-2</v>
      </c>
      <c r="T530" s="3" t="s">
        <v>1109</v>
      </c>
      <c r="U530" s="3" t="s">
        <v>1205</v>
      </c>
    </row>
    <row r="531" spans="1:22" x14ac:dyDescent="0.3">
      <c r="A531" s="16" t="s">
        <v>1108</v>
      </c>
      <c r="B531" s="16" t="s">
        <v>32</v>
      </c>
      <c r="C531" s="16" t="s">
        <v>1063</v>
      </c>
      <c r="D531" s="35">
        <f>0.555+0.387+0.25+0.291+1.35</f>
        <v>2.8330000000000002</v>
      </c>
      <c r="E531" s="35">
        <f>(0.55*0.555+0.54*0.387+0.91*0.25+0.98*0.291+0.48*1.35)/(0.555+0.387+0.25+0.291+1.35)</f>
        <v>0.59121426050123549</v>
      </c>
      <c r="I531" s="35">
        <f>(1.09*0.555+1.14*0.387+0.81*0.25+0.64*0.291+1.15*1.35)/(0.555+0.387+0.25+0.291+1.35)</f>
        <v>1.0544899399929402</v>
      </c>
      <c r="J531" s="35">
        <f>(3.57*0.555+3.66*0.387+2.72*0.25+1.96*0.291+2.78*1.35)/(0.555+0.387+0.25+0.291+1.35)</f>
        <v>2.9654535827744439</v>
      </c>
      <c r="K531" s="35">
        <f>(138*0.555+136*0.387+121*0.25+120*0.291+109*1.35)/(0.555+0.387+0.25+0.291+1.35)</f>
        <v>120.55841863748677</v>
      </c>
      <c r="L531" s="35"/>
      <c r="S531" s="18">
        <f t="shared" si="8"/>
        <v>1.6749100000000003E-2</v>
      </c>
      <c r="T531" s="3" t="s">
        <v>1109</v>
      </c>
      <c r="U531" s="3" t="s">
        <v>1205</v>
      </c>
    </row>
    <row r="532" spans="1:22" x14ac:dyDescent="0.3">
      <c r="A532" s="16" t="s">
        <v>192</v>
      </c>
      <c r="B532" s="16" t="s">
        <v>32</v>
      </c>
      <c r="C532" s="16" t="s">
        <v>45</v>
      </c>
      <c r="D532" s="36">
        <f>823.8+183+916.4</f>
        <v>1923.1999999999998</v>
      </c>
      <c r="E532" s="33">
        <f>(0.44*823.8+0.45*183+0.65*916.4)/(823.8+183+916.4)</f>
        <v>0.54101601497504159</v>
      </c>
      <c r="S532" s="18">
        <f t="shared" si="8"/>
        <v>10.404819999999999</v>
      </c>
      <c r="T532" s="3" t="s">
        <v>23</v>
      </c>
      <c r="U532" s="3" t="s">
        <v>1205</v>
      </c>
    </row>
    <row r="533" spans="1:22" x14ac:dyDescent="0.3">
      <c r="A533" s="16" t="s">
        <v>1164</v>
      </c>
      <c r="B533" s="16" t="s">
        <v>32</v>
      </c>
      <c r="C533" s="16" t="s">
        <v>45</v>
      </c>
      <c r="D533" s="36">
        <v>1257.4000000000001</v>
      </c>
      <c r="E533" s="3">
        <v>0.56999999999999995</v>
      </c>
      <c r="N533" s="3">
        <v>2.2800000000000001E-2</v>
      </c>
      <c r="S533" s="18">
        <f t="shared" si="8"/>
        <v>7.1671799999999992</v>
      </c>
      <c r="T533" s="3" t="s">
        <v>1166</v>
      </c>
      <c r="U533" s="3" t="s">
        <v>1327</v>
      </c>
      <c r="V533" s="55" t="s">
        <v>1298</v>
      </c>
    </row>
    <row r="534" spans="1:22" x14ac:dyDescent="0.3">
      <c r="A534" s="16" t="s">
        <v>842</v>
      </c>
      <c r="B534" s="16" t="s">
        <v>32</v>
      </c>
      <c r="C534" s="16" t="s">
        <v>1048</v>
      </c>
      <c r="D534" s="33">
        <f>22.832+7.185</f>
        <v>30.016999999999999</v>
      </c>
      <c r="E534" s="33">
        <f>(0.9*22.832+0.8*7.185)/D534</f>
        <v>0.87606356398041119</v>
      </c>
      <c r="I534" s="33">
        <f>(0.02*22.832+0.15*7.185)/D534</f>
        <v>5.1117366825465575E-2</v>
      </c>
      <c r="J534" s="33">
        <f>(0.28*22.832+1.56*7.185)/D534</f>
        <v>0.58638638105073793</v>
      </c>
      <c r="K534" s="35">
        <f>31.1*(0.43*22.832+0.44*7.185)/D534</f>
        <v>13.447442316020922</v>
      </c>
      <c r="S534" s="18">
        <f t="shared" si="8"/>
        <v>0.26296800000000004</v>
      </c>
      <c r="T534" s="3" t="s">
        <v>837</v>
      </c>
      <c r="U534" s="3" t="s">
        <v>1205</v>
      </c>
    </row>
    <row r="535" spans="1:22" x14ac:dyDescent="0.3">
      <c r="A535" s="16" t="s">
        <v>1334</v>
      </c>
      <c r="B535" s="16" t="s">
        <v>32</v>
      </c>
      <c r="C535" s="16" t="s">
        <v>45</v>
      </c>
      <c r="D535" s="35">
        <v>422.31700000000001</v>
      </c>
      <c r="E535" s="3">
        <v>0.67</v>
      </c>
      <c r="S535" s="18">
        <f t="shared" si="8"/>
        <v>2.8295239000000003</v>
      </c>
      <c r="T535" s="3" t="s">
        <v>136</v>
      </c>
      <c r="U535" s="3" t="s">
        <v>1205</v>
      </c>
    </row>
    <row r="536" spans="1:22" x14ac:dyDescent="0.3">
      <c r="A536" s="16" t="s">
        <v>1192</v>
      </c>
      <c r="B536" s="16" t="s">
        <v>32</v>
      </c>
      <c r="C536" s="16" t="s">
        <v>45</v>
      </c>
      <c r="D536" s="3">
        <v>193</v>
      </c>
      <c r="E536" s="3">
        <v>0.3</v>
      </c>
      <c r="S536" s="18">
        <f t="shared" si="8"/>
        <v>0.57899999999999996</v>
      </c>
      <c r="T536" s="3" t="s">
        <v>1193</v>
      </c>
      <c r="U536" s="3" t="s">
        <v>1205</v>
      </c>
    </row>
    <row r="537" spans="1:22" x14ac:dyDescent="0.3">
      <c r="A537" s="16" t="s">
        <v>1191</v>
      </c>
      <c r="B537" s="16" t="s">
        <v>32</v>
      </c>
      <c r="C537" s="16" t="s">
        <v>45</v>
      </c>
      <c r="D537" s="3">
        <v>445</v>
      </c>
      <c r="E537" s="3">
        <v>0.43</v>
      </c>
      <c r="S537" s="18">
        <f t="shared" ref="S537:S601" si="9">D537*E537/100</f>
        <v>1.9135</v>
      </c>
      <c r="T537" s="3" t="s">
        <v>1193</v>
      </c>
      <c r="U537" s="3" t="s">
        <v>1205</v>
      </c>
    </row>
    <row r="538" spans="1:22" x14ac:dyDescent="0.3">
      <c r="A538" s="16" t="s">
        <v>33</v>
      </c>
      <c r="B538" s="16" t="s">
        <v>32</v>
      </c>
      <c r="C538" s="16" t="s">
        <v>45</v>
      </c>
      <c r="D538" s="3">
        <v>105</v>
      </c>
      <c r="E538" s="3">
        <v>1.1599999999999999</v>
      </c>
      <c r="L538" s="3">
        <v>0.2</v>
      </c>
      <c r="S538" s="18">
        <f t="shared" si="9"/>
        <v>1.218</v>
      </c>
      <c r="T538" s="3" t="s">
        <v>27</v>
      </c>
      <c r="U538" s="3" t="s">
        <v>1205</v>
      </c>
    </row>
    <row r="539" spans="1:22" x14ac:dyDescent="0.3">
      <c r="A539" s="16" t="s">
        <v>68</v>
      </c>
      <c r="B539" s="16" t="s">
        <v>32</v>
      </c>
      <c r="C539" s="16" t="s">
        <v>45</v>
      </c>
      <c r="D539" s="36">
        <f>3530.5+1498.6</f>
        <v>5029.1000000000004</v>
      </c>
      <c r="E539" s="33">
        <f>(16.52+1.66)*100/5029.1</f>
        <v>0.36149609274025168</v>
      </c>
      <c r="S539" s="18">
        <f t="shared" si="9"/>
        <v>18.179999999999996</v>
      </c>
      <c r="T539" s="3" t="s">
        <v>489</v>
      </c>
      <c r="U539" s="3" t="s">
        <v>1205</v>
      </c>
    </row>
    <row r="540" spans="1:22" x14ac:dyDescent="0.3">
      <c r="A540" s="16" t="s">
        <v>1170</v>
      </c>
      <c r="B540" s="16" t="s">
        <v>32</v>
      </c>
      <c r="C540" s="16" t="s">
        <v>45</v>
      </c>
      <c r="D540" s="37">
        <f>1375+601+151</f>
        <v>2127</v>
      </c>
      <c r="E540" s="33">
        <f>(0.51*1375+0.37*601+0.1*151)/D540</f>
        <v>0.44133521391631408</v>
      </c>
      <c r="K540" s="33">
        <f>(7.06*1375+6.82*601+7.85*151)/D540</f>
        <v>7.0482698636577341</v>
      </c>
      <c r="N540" s="18">
        <f>(0.018*1375+0.016*601+0.01*151)/D540</f>
        <v>1.6866948754113775E-2</v>
      </c>
      <c r="S540" s="18">
        <f t="shared" si="9"/>
        <v>9.3872</v>
      </c>
      <c r="T540" s="16" t="s">
        <v>1302</v>
      </c>
      <c r="U540" s="3" t="s">
        <v>1358</v>
      </c>
      <c r="V540" s="55" t="s">
        <v>1359</v>
      </c>
    </row>
    <row r="541" spans="1:22" x14ac:dyDescent="0.3">
      <c r="A541" s="16" t="s">
        <v>134</v>
      </c>
      <c r="B541" s="16" t="s">
        <v>32</v>
      </c>
      <c r="C541" s="16" t="s">
        <v>45</v>
      </c>
      <c r="D541" s="35">
        <v>550.60400000000004</v>
      </c>
      <c r="E541" s="3">
        <v>0.48</v>
      </c>
      <c r="S541" s="18">
        <f t="shared" si="9"/>
        <v>2.6428992</v>
      </c>
      <c r="T541" s="3" t="s">
        <v>136</v>
      </c>
      <c r="U541" s="3" t="s">
        <v>1205</v>
      </c>
    </row>
    <row r="542" spans="1:22" x14ac:dyDescent="0.3">
      <c r="A542" s="16" t="s">
        <v>841</v>
      </c>
      <c r="B542" s="16" t="s">
        <v>32</v>
      </c>
      <c r="C542" s="16" t="s">
        <v>1063</v>
      </c>
      <c r="D542" s="33">
        <f>0.6271+0.6227+0.7891</f>
        <v>2.0388999999999999</v>
      </c>
      <c r="E542" s="33">
        <f>(0.03*0.6271+0.05*0.6227+0.06*0.7891)/D542</f>
        <v>4.7718868017068032E-2</v>
      </c>
      <c r="I542" s="33">
        <f>(1.71*0.6271+2.24*0.6227+2.26*0.7891)/D542</f>
        <v>2.0847295110108393</v>
      </c>
      <c r="J542" s="33">
        <f>(1.35*0.6271+2.53*0.6227+3.71*0.7891)/D542</f>
        <v>2.6237564372946198</v>
      </c>
      <c r="K542" s="35">
        <f>31.1*(5.09*0.6271+6.57*0.6227+5.24*0.7891)/D542</f>
        <v>174.16186090539014</v>
      </c>
      <c r="S542" s="18">
        <f t="shared" si="9"/>
        <v>9.7294000000000005E-4</v>
      </c>
      <c r="T542" s="3" t="s">
        <v>837</v>
      </c>
      <c r="U542" s="3" t="s">
        <v>1205</v>
      </c>
    </row>
    <row r="543" spans="1:22" x14ac:dyDescent="0.3">
      <c r="A543" s="16" t="s">
        <v>786</v>
      </c>
      <c r="B543" s="16" t="s">
        <v>32</v>
      </c>
      <c r="C543" s="16" t="s">
        <v>1063</v>
      </c>
      <c r="D543" s="35">
        <f>617.787*0.9072</f>
        <v>560.45636639999998</v>
      </c>
      <c r="E543" s="3">
        <v>0.26</v>
      </c>
      <c r="S543" s="18">
        <f t="shared" si="9"/>
        <v>1.4571865526400001</v>
      </c>
      <c r="T543" s="3" t="s">
        <v>136</v>
      </c>
      <c r="U543" s="3" t="s">
        <v>1205</v>
      </c>
    </row>
    <row r="544" spans="1:22" x14ac:dyDescent="0.3">
      <c r="A544" s="16" t="s">
        <v>836</v>
      </c>
      <c r="B544" s="16" t="s">
        <v>32</v>
      </c>
      <c r="C544" s="16" t="s">
        <v>1048</v>
      </c>
      <c r="D544" s="33">
        <f>32.4101+15.3646+26.3648</f>
        <v>74.139499999999998</v>
      </c>
      <c r="E544" s="33">
        <f>(0.15*32.4101+0.31*15.3646+0.19*26.3648)/D544</f>
        <v>0.19738267725031866</v>
      </c>
      <c r="I544" s="33">
        <f>(0.87*32.4101+0.48*15.3646+0.76*26.3648)/D544</f>
        <v>0.75005959036680858</v>
      </c>
      <c r="J544" s="33">
        <f>(5.54*32.4101+2.74*15.3646+5.43*26.3648)/D544</f>
        <v>4.9206134651569</v>
      </c>
      <c r="K544" s="35">
        <f>31.1*(4.33*32.4101+2.34*15.3646+3.96*26.3648)/D544</f>
        <v>117.74516965315385</v>
      </c>
      <c r="S544" s="18">
        <f t="shared" si="9"/>
        <v>0.14633852999999999</v>
      </c>
      <c r="T544" s="3" t="s">
        <v>837</v>
      </c>
      <c r="U544" s="3" t="s">
        <v>1205</v>
      </c>
    </row>
    <row r="545" spans="1:22" x14ac:dyDescent="0.3">
      <c r="A545" s="16" t="s">
        <v>931</v>
      </c>
      <c r="B545" s="16" t="s">
        <v>32</v>
      </c>
      <c r="C545" s="16" t="s">
        <v>1048</v>
      </c>
      <c r="D545" s="33">
        <f>1.14003+3.88222</f>
        <v>5.0222499999999997</v>
      </c>
      <c r="E545" s="33">
        <f>(0.93*1.14003+0.77*3.88222)/D545</f>
        <v>0.80631933894170937</v>
      </c>
      <c r="I545" s="33">
        <f>(2.34*1.14003+3.1*3.88222)/D545</f>
        <v>2.9274831400268804</v>
      </c>
      <c r="J545" s="33">
        <f>(2.98*1.14003+2.62*3.88222)/D545</f>
        <v>2.7017185126188465</v>
      </c>
      <c r="K545" s="35">
        <f>31.1*(3.75*1.14003+3.77*3.88222)/D545</f>
        <v>117.10580856986412</v>
      </c>
      <c r="L545" s="33">
        <f>(0.56*1.14003+0.75*3.88222)/D545</f>
        <v>0.70687078500672018</v>
      </c>
      <c r="S545" s="18">
        <f t="shared" si="9"/>
        <v>4.0495373000000001E-2</v>
      </c>
      <c r="T545" s="3" t="s">
        <v>932</v>
      </c>
      <c r="U545" s="3" t="s">
        <v>1236</v>
      </c>
    </row>
    <row r="546" spans="1:22" x14ac:dyDescent="0.3">
      <c r="A546" s="16" t="s">
        <v>906</v>
      </c>
      <c r="B546" s="16" t="s">
        <v>32</v>
      </c>
      <c r="C546" s="16" t="s">
        <v>45</v>
      </c>
      <c r="D546" s="39">
        <f>301+51</f>
        <v>352</v>
      </c>
      <c r="E546" s="33">
        <f>(0.48*301+0.32*51)/D546</f>
        <v>0.45681818181818179</v>
      </c>
      <c r="L546" s="33">
        <f>(0.08*301+0.06*51)/D546</f>
        <v>7.7102272727272728E-2</v>
      </c>
      <c r="S546" s="18">
        <f t="shared" si="9"/>
        <v>1.6079999999999999</v>
      </c>
      <c r="T546" s="3" t="s">
        <v>907</v>
      </c>
      <c r="U546" s="3" t="s">
        <v>1208</v>
      </c>
    </row>
    <row r="547" spans="1:22" x14ac:dyDescent="0.3">
      <c r="A547" s="16" t="s">
        <v>669</v>
      </c>
      <c r="B547" s="16" t="s">
        <v>662</v>
      </c>
      <c r="C547" s="16" t="s">
        <v>808</v>
      </c>
      <c r="D547" s="33">
        <v>2.965287</v>
      </c>
      <c r="E547" s="3">
        <v>1.01</v>
      </c>
      <c r="J547" s="3">
        <v>1.03</v>
      </c>
      <c r="K547" s="3">
        <v>25</v>
      </c>
      <c r="L547" s="3">
        <v>0.64</v>
      </c>
      <c r="S547" s="18">
        <f t="shared" si="9"/>
        <v>2.9949398700000001E-2</v>
      </c>
      <c r="T547" s="3" t="s">
        <v>670</v>
      </c>
      <c r="U547" s="3" t="s">
        <v>1267</v>
      </c>
    </row>
    <row r="548" spans="1:22" x14ac:dyDescent="0.3">
      <c r="A548" s="16" t="s">
        <v>818</v>
      </c>
      <c r="B548" s="16" t="s">
        <v>662</v>
      </c>
      <c r="C548" s="16" t="s">
        <v>45</v>
      </c>
      <c r="D548" s="35">
        <v>357.94600000000003</v>
      </c>
      <c r="E548" s="3">
        <v>0.4</v>
      </c>
      <c r="S548" s="18">
        <f t="shared" si="9"/>
        <v>1.4317840000000002</v>
      </c>
      <c r="T548" s="3" t="s">
        <v>681</v>
      </c>
      <c r="U548" s="3" t="s">
        <v>1327</v>
      </c>
      <c r="V548" s="55" t="s">
        <v>1299</v>
      </c>
    </row>
    <row r="549" spans="1:22" x14ac:dyDescent="0.3">
      <c r="A549" s="16" t="s">
        <v>671</v>
      </c>
      <c r="B549" s="16" t="s">
        <v>662</v>
      </c>
      <c r="C549" s="16" t="s">
        <v>1052</v>
      </c>
      <c r="D549" s="33">
        <f>15.58+44.49+21.2</f>
        <v>81.27</v>
      </c>
      <c r="E549" s="33">
        <f>(0.57*15.58+0.41*44.49+0.26*21.2)/D549</f>
        <v>0.40154423526516547</v>
      </c>
      <c r="L549" s="33">
        <f>(1.72*15.58+0.8*44.49+0.5*21.2)/D549</f>
        <v>0.89811246462409255</v>
      </c>
      <c r="S549" s="18">
        <f t="shared" si="9"/>
        <v>0.32633499999999999</v>
      </c>
      <c r="T549" s="3" t="s">
        <v>672</v>
      </c>
      <c r="U549" s="3" t="s">
        <v>1236</v>
      </c>
    </row>
    <row r="550" spans="1:22" x14ac:dyDescent="0.3">
      <c r="A550" s="16" t="s">
        <v>663</v>
      </c>
      <c r="B550" s="16" t="s">
        <v>662</v>
      </c>
      <c r="C550" s="16" t="s">
        <v>45</v>
      </c>
      <c r="D550" s="3">
        <v>172</v>
      </c>
      <c r="E550" s="3">
        <v>0.42</v>
      </c>
      <c r="S550" s="18">
        <f t="shared" si="9"/>
        <v>0.72239999999999993</v>
      </c>
      <c r="T550" s="3" t="s">
        <v>1137</v>
      </c>
      <c r="U550" s="3" t="s">
        <v>1328</v>
      </c>
      <c r="V550" s="55" t="s">
        <v>1301</v>
      </c>
    </row>
    <row r="551" spans="1:22" x14ac:dyDescent="0.3">
      <c r="A551" s="16" t="s">
        <v>673</v>
      </c>
      <c r="B551" s="16" t="s">
        <v>662</v>
      </c>
      <c r="C551" s="16" t="s">
        <v>45</v>
      </c>
      <c r="D551" s="37">
        <v>1040</v>
      </c>
      <c r="E551" s="3">
        <v>0.31</v>
      </c>
      <c r="L551" s="3">
        <v>0.41</v>
      </c>
      <c r="S551" s="18">
        <f t="shared" si="9"/>
        <v>3.2239999999999998</v>
      </c>
      <c r="T551" s="3" t="s">
        <v>674</v>
      </c>
      <c r="U551" s="3" t="s">
        <v>1300</v>
      </c>
    </row>
    <row r="552" spans="1:22" x14ac:dyDescent="0.3">
      <c r="A552" s="16" t="s">
        <v>819</v>
      </c>
      <c r="B552" s="16" t="s">
        <v>662</v>
      </c>
      <c r="C552" s="16" t="s">
        <v>45</v>
      </c>
      <c r="D552" s="35">
        <v>365.57299999999998</v>
      </c>
      <c r="E552" s="3">
        <v>0.4</v>
      </c>
      <c r="S552" s="18">
        <f t="shared" si="9"/>
        <v>1.4622919999999999</v>
      </c>
      <c r="T552" s="3" t="s">
        <v>681</v>
      </c>
      <c r="U552" s="3" t="s">
        <v>1327</v>
      </c>
      <c r="V552" s="55" t="s">
        <v>1299</v>
      </c>
    </row>
    <row r="553" spans="1:22" x14ac:dyDescent="0.3">
      <c r="A553" s="16" t="s">
        <v>675</v>
      </c>
      <c r="B553" s="16" t="s">
        <v>662</v>
      </c>
      <c r="C553" s="16" t="s">
        <v>808</v>
      </c>
      <c r="D553" s="3">
        <v>257.8</v>
      </c>
      <c r="E553" s="3">
        <v>0.41</v>
      </c>
      <c r="L553" s="3">
        <v>0.42</v>
      </c>
      <c r="S553" s="18">
        <f t="shared" si="9"/>
        <v>1.05698</v>
      </c>
      <c r="T553" s="3" t="s">
        <v>676</v>
      </c>
      <c r="U553" s="3" t="s">
        <v>1205</v>
      </c>
    </row>
    <row r="554" spans="1:22" x14ac:dyDescent="0.3">
      <c r="A554" s="16" t="s">
        <v>667</v>
      </c>
      <c r="B554" s="16" t="s">
        <v>662</v>
      </c>
      <c r="C554" s="16" t="s">
        <v>1052</v>
      </c>
      <c r="D554" s="3">
        <v>149</v>
      </c>
      <c r="E554" s="3">
        <v>0.24</v>
      </c>
      <c r="L554" s="3">
        <v>0.49</v>
      </c>
      <c r="S554" s="18">
        <f t="shared" si="9"/>
        <v>0.35759999999999997</v>
      </c>
      <c r="T554" s="3" t="s">
        <v>668</v>
      </c>
      <c r="U554" s="3" t="s">
        <v>1205</v>
      </c>
    </row>
    <row r="555" spans="1:22" x14ac:dyDescent="0.3">
      <c r="A555" s="16" t="s">
        <v>677</v>
      </c>
      <c r="B555" s="16" t="s">
        <v>662</v>
      </c>
      <c r="C555" s="16" t="s">
        <v>45</v>
      </c>
      <c r="D555" s="3">
        <f>105.4+85.7+32.7</f>
        <v>223.8</v>
      </c>
      <c r="E555" s="33">
        <f>(0.8*105.4+0.88*85.7+0.75*32.7)/D555</f>
        <v>0.82332886505808756</v>
      </c>
      <c r="L555" s="33">
        <f>(0.98*105.4+0.73*85.7+0.63*32.7)/D555</f>
        <v>0.83312779267202863</v>
      </c>
      <c r="S555" s="18">
        <f t="shared" si="9"/>
        <v>1.8426099999999999</v>
      </c>
      <c r="T555" s="3" t="s">
        <v>668</v>
      </c>
      <c r="U555" s="3" t="s">
        <v>1205</v>
      </c>
    </row>
    <row r="556" spans="1:22" x14ac:dyDescent="0.3">
      <c r="A556" s="16" t="s">
        <v>678</v>
      </c>
      <c r="B556" s="16" t="s">
        <v>662</v>
      </c>
      <c r="C556" s="16" t="s">
        <v>45</v>
      </c>
      <c r="D556" s="3">
        <v>61.3</v>
      </c>
      <c r="E556" s="3">
        <v>0.3</v>
      </c>
      <c r="L556" s="3">
        <v>0.37</v>
      </c>
      <c r="S556" s="18">
        <f t="shared" si="9"/>
        <v>0.18389999999999998</v>
      </c>
      <c r="T556" s="3" t="s">
        <v>679</v>
      </c>
      <c r="U556" s="3" t="s">
        <v>1265</v>
      </c>
    </row>
    <row r="557" spans="1:22" x14ac:dyDescent="0.3">
      <c r="A557" s="16" t="s">
        <v>664</v>
      </c>
      <c r="B557" s="16" t="s">
        <v>662</v>
      </c>
      <c r="C557" s="16" t="s">
        <v>1052</v>
      </c>
      <c r="D557" s="37">
        <f>780+910+800</f>
        <v>2490</v>
      </c>
      <c r="E557" s="33">
        <f>(0.71*780+0.55*910+0.4*800)/D557</f>
        <v>0.55192771084337344</v>
      </c>
      <c r="L557" s="33">
        <f>(0.28*780+0.19*910+0.2*800)/D557</f>
        <v>0.22140562248995987</v>
      </c>
      <c r="N557" s="38">
        <f>(0.0081*780+0.0069*910+0.006*800)/D557</f>
        <v>6.9867469879518066E-3</v>
      </c>
      <c r="S557" s="18">
        <f t="shared" si="9"/>
        <v>13.743</v>
      </c>
      <c r="T557" s="3" t="s">
        <v>665</v>
      </c>
      <c r="U557" s="3" t="s">
        <v>1205</v>
      </c>
    </row>
    <row r="558" spans="1:22" x14ac:dyDescent="0.3">
      <c r="A558" s="16" t="s">
        <v>680</v>
      </c>
      <c r="B558" s="16" t="s">
        <v>662</v>
      </c>
      <c r="C558" s="16" t="s">
        <v>1052</v>
      </c>
      <c r="D558" s="3">
        <v>154.5</v>
      </c>
      <c r="E558" s="3">
        <v>0.39</v>
      </c>
      <c r="S558" s="18">
        <f t="shared" si="9"/>
        <v>0.60255000000000003</v>
      </c>
      <c r="T558" s="3" t="s">
        <v>681</v>
      </c>
      <c r="U558" s="3" t="s">
        <v>1327</v>
      </c>
      <c r="V558" s="55" t="s">
        <v>1299</v>
      </c>
    </row>
    <row r="559" spans="1:22" x14ac:dyDescent="0.3">
      <c r="A559" s="16" t="s">
        <v>682</v>
      </c>
      <c r="B559" s="16" t="s">
        <v>662</v>
      </c>
      <c r="C559" s="16" t="s">
        <v>1063</v>
      </c>
      <c r="D559" s="3">
        <v>7.17</v>
      </c>
      <c r="E559" s="3">
        <v>1.59</v>
      </c>
      <c r="L559" s="3">
        <v>2.4700000000000002</v>
      </c>
      <c r="S559" s="18">
        <f t="shared" si="9"/>
        <v>0.11400299999999999</v>
      </c>
      <c r="T559" s="3" t="s">
        <v>683</v>
      </c>
      <c r="U559" s="3" t="s">
        <v>1329</v>
      </c>
    </row>
    <row r="560" spans="1:22" x14ac:dyDescent="0.3">
      <c r="A560" s="16" t="s">
        <v>155</v>
      </c>
      <c r="B560" s="16" t="s">
        <v>156</v>
      </c>
      <c r="C560" s="16" t="s">
        <v>1054</v>
      </c>
      <c r="D560" s="3">
        <v>292</v>
      </c>
      <c r="E560" s="3">
        <v>2.4</v>
      </c>
      <c r="S560" s="18">
        <f t="shared" si="9"/>
        <v>7.0079999999999991</v>
      </c>
      <c r="T560" s="3" t="s">
        <v>157</v>
      </c>
      <c r="U560" s="3" t="s">
        <v>1332</v>
      </c>
      <c r="V560" s="55" t="s">
        <v>1333</v>
      </c>
    </row>
    <row r="561" spans="1:22" x14ac:dyDescent="0.3">
      <c r="A561" s="16" t="s">
        <v>152</v>
      </c>
      <c r="B561" s="16" t="s">
        <v>156</v>
      </c>
      <c r="C561" s="16" t="s">
        <v>1057</v>
      </c>
      <c r="D561" s="3">
        <v>347</v>
      </c>
      <c r="E561" s="3">
        <v>1.26</v>
      </c>
      <c r="S561" s="18">
        <f t="shared" si="9"/>
        <v>4.3722000000000003</v>
      </c>
      <c r="T561" s="3" t="s">
        <v>157</v>
      </c>
      <c r="U561" s="3" t="s">
        <v>1332</v>
      </c>
      <c r="V561" s="55" t="s">
        <v>1333</v>
      </c>
    </row>
    <row r="562" spans="1:22" x14ac:dyDescent="0.3">
      <c r="A562" s="16" t="s">
        <v>153</v>
      </c>
      <c r="B562" s="16" t="s">
        <v>156</v>
      </c>
      <c r="C562" s="16" t="s">
        <v>1057</v>
      </c>
      <c r="D562" s="3">
        <v>387</v>
      </c>
      <c r="E562" s="3">
        <v>2.65</v>
      </c>
      <c r="S562" s="18">
        <f t="shared" si="9"/>
        <v>10.2555</v>
      </c>
      <c r="T562" s="3" t="s">
        <v>157</v>
      </c>
      <c r="U562" s="3" t="s">
        <v>1332</v>
      </c>
      <c r="V562" s="55" t="s">
        <v>1333</v>
      </c>
    </row>
    <row r="563" spans="1:22" x14ac:dyDescent="0.3">
      <c r="A563" s="34" t="s">
        <v>154</v>
      </c>
      <c r="B563" s="16" t="s">
        <v>156</v>
      </c>
      <c r="C563" s="16" t="s">
        <v>1054</v>
      </c>
      <c r="D563" s="3">
        <v>513</v>
      </c>
      <c r="E563" s="3">
        <v>1.78</v>
      </c>
      <c r="S563" s="18">
        <f t="shared" si="9"/>
        <v>9.1313999999999993</v>
      </c>
      <c r="T563" s="3" t="s">
        <v>157</v>
      </c>
      <c r="U563" s="3" t="s">
        <v>1332</v>
      </c>
      <c r="V563" s="55" t="s">
        <v>1333</v>
      </c>
    </row>
    <row r="564" spans="1:22" x14ac:dyDescent="0.3">
      <c r="A564" s="16" t="s">
        <v>160</v>
      </c>
      <c r="B564" s="16" t="s">
        <v>476</v>
      </c>
      <c r="C564" s="16" t="s">
        <v>808</v>
      </c>
      <c r="D564" s="33">
        <f>37.621+7.688+28.49</f>
        <v>73.799000000000007</v>
      </c>
      <c r="E564" s="33">
        <f>(3.2*37.621+2.3*7.688+1.8*28.49)/(37.621+7.688+28.49)</f>
        <v>2.5657746039919243</v>
      </c>
      <c r="I564" s="33">
        <f>(0.4*37.621+0.5*7.688+0.4*28.49)/(37.621+7.688+28.49)</f>
        <v>0.41041748533177957</v>
      </c>
      <c r="J564" s="33">
        <f>(1.2*37.621+0.9*7.688+0.9*28.49)/(37.621+7.688+28.49)</f>
        <v>1.0529329665713627</v>
      </c>
      <c r="K564" s="44">
        <f>(49*37.621+49*7.688+40*28.49)/(37.621+7.688+28.49)</f>
        <v>45.525562677001041</v>
      </c>
      <c r="S564" s="18">
        <f t="shared" si="9"/>
        <v>1.8935160000000004</v>
      </c>
      <c r="T564" s="3" t="s">
        <v>436</v>
      </c>
      <c r="U564" s="3" t="s">
        <v>1291</v>
      </c>
    </row>
    <row r="565" spans="1:22" x14ac:dyDescent="0.3">
      <c r="A565" s="16" t="s">
        <v>1129</v>
      </c>
      <c r="B565" s="16" t="s">
        <v>1128</v>
      </c>
      <c r="C565" s="16" t="s">
        <v>45</v>
      </c>
      <c r="D565" s="3">
        <v>431</v>
      </c>
      <c r="E565" s="33">
        <v>0.55000000000000004</v>
      </c>
      <c r="I565" s="33"/>
      <c r="J565" s="33"/>
      <c r="K565" s="44"/>
      <c r="L565" s="3">
        <v>0.25</v>
      </c>
      <c r="S565" s="18">
        <f t="shared" si="9"/>
        <v>2.3705000000000003</v>
      </c>
      <c r="T565" s="3" t="s">
        <v>1130</v>
      </c>
      <c r="U565" s="3" t="s">
        <v>1351</v>
      </c>
    </row>
    <row r="566" spans="1:22" x14ac:dyDescent="0.3">
      <c r="A566" s="16" t="s">
        <v>200</v>
      </c>
      <c r="B566" s="16" t="s">
        <v>207</v>
      </c>
      <c r="C566" s="16" t="s">
        <v>1048</v>
      </c>
      <c r="D566" s="3">
        <v>292</v>
      </c>
      <c r="E566" s="33">
        <f>2.073/292*100</f>
        <v>0.70993150684931505</v>
      </c>
      <c r="S566" s="18">
        <f t="shared" si="9"/>
        <v>2.073</v>
      </c>
      <c r="T566" s="3" t="s">
        <v>209</v>
      </c>
      <c r="U566" s="3" t="s">
        <v>1216</v>
      </c>
    </row>
    <row r="567" spans="1:22" x14ac:dyDescent="0.3">
      <c r="A567" s="16" t="s">
        <v>985</v>
      </c>
      <c r="B567" s="16" t="s">
        <v>207</v>
      </c>
      <c r="C567" s="16" t="s">
        <v>1049</v>
      </c>
      <c r="D567" s="3">
        <v>36.4</v>
      </c>
      <c r="E567" s="3">
        <v>0.13</v>
      </c>
      <c r="F567" s="3">
        <v>0.45</v>
      </c>
      <c r="S567" s="18">
        <f t="shared" si="9"/>
        <v>4.7320000000000001E-2</v>
      </c>
      <c r="T567" s="3" t="s">
        <v>984</v>
      </c>
      <c r="U567" s="3" t="s">
        <v>1294</v>
      </c>
    </row>
    <row r="568" spans="1:22" x14ac:dyDescent="0.3">
      <c r="A568" s="16" t="s">
        <v>203</v>
      </c>
      <c r="B568" s="16" t="s">
        <v>207</v>
      </c>
      <c r="C568" s="16" t="s">
        <v>1049</v>
      </c>
      <c r="D568" s="35">
        <v>484.55200000000002</v>
      </c>
      <c r="E568" s="33">
        <f>1.001/484.552*100</f>
        <v>0.20658257524476215</v>
      </c>
      <c r="S568" s="18">
        <f t="shared" si="9"/>
        <v>1.0009999999999999</v>
      </c>
      <c r="T568" s="3" t="s">
        <v>209</v>
      </c>
      <c r="U568" s="3" t="s">
        <v>1216</v>
      </c>
    </row>
    <row r="569" spans="1:22" x14ac:dyDescent="0.3">
      <c r="A569" s="16" t="s">
        <v>205</v>
      </c>
      <c r="B569" s="16" t="s">
        <v>207</v>
      </c>
      <c r="C569" s="16" t="s">
        <v>1049</v>
      </c>
      <c r="D569" s="35">
        <f>99.655+85.004+160.728+56.008+144.945</f>
        <v>546.33999999999992</v>
      </c>
      <c r="E569" s="33">
        <v>0.29888477870922875</v>
      </c>
      <c r="F569" s="33">
        <v>0.62731330307134769</v>
      </c>
      <c r="G569" s="33">
        <v>4.0720668448219068E-2</v>
      </c>
      <c r="H569" s="33">
        <v>2.4100596698026871E-2</v>
      </c>
      <c r="L569" s="33">
        <v>1.3075447523520155E-2</v>
      </c>
      <c r="Q569" s="33">
        <v>6.5485540139839676E-2</v>
      </c>
      <c r="S569" s="18">
        <f t="shared" si="9"/>
        <v>1.6329271000000001</v>
      </c>
      <c r="T569" s="3" t="s">
        <v>209</v>
      </c>
      <c r="U569" s="3" t="s">
        <v>1216</v>
      </c>
    </row>
    <row r="570" spans="1:22" x14ac:dyDescent="0.3">
      <c r="A570" s="16" t="s">
        <v>201</v>
      </c>
      <c r="B570" s="16" t="s">
        <v>207</v>
      </c>
      <c r="C570" s="16" t="s">
        <v>1048</v>
      </c>
      <c r="D570" s="3">
        <v>181</v>
      </c>
      <c r="E570" s="33">
        <f>100*0.587/D570</f>
        <v>0.32430939226519334</v>
      </c>
      <c r="K570" s="33">
        <f>31.1*30.479/D570</f>
        <v>5.2369994475138126</v>
      </c>
      <c r="L570" s="33">
        <f>31.1*3.984/D570</f>
        <v>0.6845436464088398</v>
      </c>
      <c r="S570" s="18">
        <f t="shared" si="9"/>
        <v>0.58699999999999997</v>
      </c>
      <c r="T570" s="3" t="s">
        <v>209</v>
      </c>
      <c r="U570" s="3" t="s">
        <v>1216</v>
      </c>
    </row>
    <row r="571" spans="1:22" x14ac:dyDescent="0.3">
      <c r="A571" s="16" t="s">
        <v>1165</v>
      </c>
      <c r="B571" s="16" t="s">
        <v>207</v>
      </c>
      <c r="C571" s="16" t="s">
        <v>808</v>
      </c>
      <c r="D571" s="3">
        <v>12.92</v>
      </c>
      <c r="E571" s="33">
        <f>100*0.0823/D571</f>
        <v>0.63699690402476783</v>
      </c>
      <c r="I571" s="33">
        <f>100*0.1/D571</f>
        <v>0.77399380804953566</v>
      </c>
      <c r="J571" s="33">
        <f>100*1.29/D571</f>
        <v>9.98452012383901</v>
      </c>
      <c r="K571" s="35">
        <v>52.24</v>
      </c>
      <c r="L571" s="33">
        <v>1.17</v>
      </c>
      <c r="S571" s="18">
        <f t="shared" si="9"/>
        <v>8.2299999999999998E-2</v>
      </c>
      <c r="T571" s="3" t="s">
        <v>1166</v>
      </c>
      <c r="U571" s="3" t="s">
        <v>1327</v>
      </c>
      <c r="V571" s="55" t="s">
        <v>1297</v>
      </c>
    </row>
    <row r="572" spans="1:22" x14ac:dyDescent="0.3">
      <c r="A572" s="16" t="s">
        <v>202</v>
      </c>
      <c r="B572" s="16" t="s">
        <v>207</v>
      </c>
      <c r="C572" s="16" t="s">
        <v>1048</v>
      </c>
      <c r="D572" s="3">
        <v>109</v>
      </c>
      <c r="E572" s="33">
        <f>0.713/109*100</f>
        <v>0.65412844036697249</v>
      </c>
      <c r="S572" s="18">
        <f t="shared" si="9"/>
        <v>0.71299999999999997</v>
      </c>
      <c r="T572" s="3" t="s">
        <v>209</v>
      </c>
      <c r="U572" s="3" t="s">
        <v>1216</v>
      </c>
    </row>
    <row r="573" spans="1:22" x14ac:dyDescent="0.3">
      <c r="A573" s="16" t="s">
        <v>987</v>
      </c>
      <c r="B573" s="16" t="s">
        <v>207</v>
      </c>
      <c r="C573" s="16" t="s">
        <v>1049</v>
      </c>
      <c r="D573" s="3">
        <v>26.2</v>
      </c>
      <c r="E573" s="3">
        <v>0.14000000000000001</v>
      </c>
      <c r="F573" s="3">
        <v>0.52</v>
      </c>
      <c r="S573" s="18">
        <f t="shared" si="9"/>
        <v>3.6680000000000004E-2</v>
      </c>
      <c r="T573" s="3" t="s">
        <v>984</v>
      </c>
      <c r="U573" s="3" t="s">
        <v>1294</v>
      </c>
    </row>
    <row r="574" spans="1:22" x14ac:dyDescent="0.3">
      <c r="A574" s="16" t="s">
        <v>806</v>
      </c>
      <c r="B574" s="16" t="s">
        <v>207</v>
      </c>
      <c r="C574" s="16" t="s">
        <v>1049</v>
      </c>
      <c r="D574" s="3">
        <v>215</v>
      </c>
      <c r="E574" s="3">
        <v>0.51</v>
      </c>
      <c r="F574" s="3">
        <v>0.33</v>
      </c>
      <c r="G574" s="3">
        <v>4.5599999999999996</v>
      </c>
      <c r="H574" s="3">
        <v>1.78</v>
      </c>
      <c r="L574" s="3">
        <v>0.19</v>
      </c>
      <c r="M574" s="3">
        <v>1.6E-2</v>
      </c>
      <c r="S574" s="18">
        <f t="shared" si="9"/>
        <v>1.0965</v>
      </c>
      <c r="T574" s="3" t="s">
        <v>209</v>
      </c>
      <c r="U574" s="3" t="s">
        <v>1216</v>
      </c>
    </row>
    <row r="575" spans="1:22" x14ac:dyDescent="0.3">
      <c r="A575" s="16" t="s">
        <v>230</v>
      </c>
      <c r="B575" s="16" t="s">
        <v>207</v>
      </c>
      <c r="C575" s="16" t="s">
        <v>1048</v>
      </c>
      <c r="D575" s="3">
        <v>1.17</v>
      </c>
      <c r="E575" s="3">
        <v>0.35</v>
      </c>
      <c r="I575" s="3">
        <v>2.35</v>
      </c>
      <c r="J575" s="3">
        <v>2.35</v>
      </c>
      <c r="K575" s="3">
        <v>364</v>
      </c>
      <c r="S575" s="18">
        <f t="shared" si="9"/>
        <v>4.0949999999999997E-3</v>
      </c>
      <c r="T575" s="3" t="s">
        <v>231</v>
      </c>
      <c r="U575" s="3" t="s">
        <v>1205</v>
      </c>
    </row>
    <row r="576" spans="1:22" x14ac:dyDescent="0.3">
      <c r="A576" s="16" t="s">
        <v>204</v>
      </c>
      <c r="B576" s="16" t="s">
        <v>207</v>
      </c>
      <c r="C576" s="16" t="s">
        <v>1049</v>
      </c>
      <c r="D576" s="36">
        <v>2188.3810000000003</v>
      </c>
      <c r="E576" s="33">
        <v>1.4503892238143175</v>
      </c>
      <c r="F576" s="33">
        <v>0.76689876214425168</v>
      </c>
      <c r="G576" s="33">
        <v>3.7200748955506371</v>
      </c>
      <c r="H576" s="33">
        <v>1.0129098086667723</v>
      </c>
      <c r="L576" s="33">
        <v>0.22193277130444833</v>
      </c>
      <c r="Q576" s="33">
        <v>4.9524068569412725</v>
      </c>
      <c r="S576" s="18">
        <f t="shared" si="9"/>
        <v>31.740042200000001</v>
      </c>
      <c r="T576" s="3" t="s">
        <v>209</v>
      </c>
      <c r="U576" s="3" t="s">
        <v>1216</v>
      </c>
    </row>
    <row r="577" spans="1:22" x14ac:dyDescent="0.3">
      <c r="A577" s="16" t="s">
        <v>1171</v>
      </c>
      <c r="B577" s="16" t="s">
        <v>207</v>
      </c>
      <c r="C577" s="16" t="s">
        <v>1060</v>
      </c>
      <c r="D577" s="37">
        <v>1375.2270000000001</v>
      </c>
      <c r="E577" s="33">
        <f>100*19.954/D577</f>
        <v>1.4509604596186665</v>
      </c>
      <c r="F577" s="33"/>
      <c r="G577" s="33"/>
      <c r="H577" s="33"/>
      <c r="K577" s="33">
        <f>11900/D577</f>
        <v>8.6531169036093676</v>
      </c>
      <c r="L577" s="33"/>
      <c r="Q577" s="33"/>
      <c r="S577" s="18">
        <f t="shared" si="9"/>
        <v>19.954000000000001</v>
      </c>
      <c r="T577" s="3" t="s">
        <v>1197</v>
      </c>
      <c r="U577" s="3" t="s">
        <v>1327</v>
      </c>
      <c r="V577" s="55" t="s">
        <v>1296</v>
      </c>
    </row>
    <row r="578" spans="1:22" x14ac:dyDescent="0.3">
      <c r="A578" s="16" t="s">
        <v>229</v>
      </c>
      <c r="B578" s="16" t="s">
        <v>207</v>
      </c>
      <c r="C578" s="16" t="s">
        <v>1067</v>
      </c>
      <c r="D578" s="3">
        <v>42.4</v>
      </c>
      <c r="E578" s="3">
        <v>0.44</v>
      </c>
      <c r="L578" s="3">
        <v>0.8</v>
      </c>
      <c r="S578" s="18">
        <f t="shared" si="9"/>
        <v>0.18655999999999998</v>
      </c>
      <c r="T578" s="3" t="s">
        <v>1295</v>
      </c>
      <c r="U578" s="3" t="s">
        <v>1205</v>
      </c>
    </row>
    <row r="579" spans="1:22" x14ac:dyDescent="0.3">
      <c r="A579" s="16" t="s">
        <v>986</v>
      </c>
      <c r="B579" s="16" t="s">
        <v>207</v>
      </c>
      <c r="C579" s="16" t="s">
        <v>1049</v>
      </c>
      <c r="D579" s="3">
        <v>5.9</v>
      </c>
      <c r="E579" s="3">
        <v>0.2</v>
      </c>
      <c r="F579" s="3">
        <v>0.71</v>
      </c>
      <c r="S579" s="18">
        <f t="shared" si="9"/>
        <v>1.1800000000000001E-2</v>
      </c>
      <c r="T579" s="3" t="s">
        <v>984</v>
      </c>
      <c r="U579" s="3" t="s">
        <v>1294</v>
      </c>
    </row>
    <row r="580" spans="1:22" x14ac:dyDescent="0.3">
      <c r="A580" s="16" t="s">
        <v>920</v>
      </c>
      <c r="B580" s="16" t="s">
        <v>835</v>
      </c>
      <c r="C580" s="16" t="s">
        <v>808</v>
      </c>
      <c r="D580" s="33">
        <f>9.433+0.603</f>
        <v>10.036</v>
      </c>
      <c r="E580" s="33">
        <f>(1.42*7.212+1.16*0.95256)/D580</f>
        <v>1.1305310482263851</v>
      </c>
      <c r="J580" s="33">
        <f>(4.23*9.433+7.42*0.603)/D580</f>
        <v>4.4216669988043051</v>
      </c>
      <c r="K580" s="35">
        <f>(31.24*9.433+56.2*0.603)/D580</f>
        <v>32.739689119170983</v>
      </c>
      <c r="L580" s="33">
        <f>(0.97*9.433+0.603*1.18)/D580</f>
        <v>0.98261757672379435</v>
      </c>
      <c r="S580" s="18">
        <f t="shared" si="9"/>
        <v>0.11346009600000001</v>
      </c>
      <c r="T580" s="3" t="s">
        <v>921</v>
      </c>
      <c r="U580" s="3" t="s">
        <v>1293</v>
      </c>
    </row>
    <row r="581" spans="1:22" x14ac:dyDescent="0.3">
      <c r="A581" s="16" t="s">
        <v>834</v>
      </c>
      <c r="B581" s="16" t="s">
        <v>835</v>
      </c>
      <c r="C581" s="16" t="s">
        <v>808</v>
      </c>
      <c r="D581" s="3">
        <f>14.9+11+5.1+0.9+1.8+3.7+10.9</f>
        <v>48.3</v>
      </c>
      <c r="E581" s="33">
        <f>(2.5*14.9+2.4*11+1.5*5.1+1.9*0.9+1.8*1.8+1.7*3.7+0.4*10.9)/D581</f>
        <v>1.7991718426501035</v>
      </c>
      <c r="J581" s="33">
        <f>(0*14.9+0*11+0*5.1+1.4*0.9+1.4*1.8+1.2*3.7+2.9*10.9)/D581</f>
        <v>0.82463768115942027</v>
      </c>
      <c r="K581" s="35">
        <f>(10*14.9+11*11+8*5.1+31*0.9+30*1.8+26*3.7+24*10.9)/D581</f>
        <v>15.538302277432713</v>
      </c>
      <c r="L581" s="33">
        <f>(0.3*14.9+0.3*11+0.2*5.1+0.5*0.9+0.5*1.8+0.4*3.7+0.3*10.9)/D581</f>
        <v>0.30828157349896479</v>
      </c>
      <c r="S581" s="18">
        <f t="shared" si="9"/>
        <v>0.86899999999999988</v>
      </c>
      <c r="T581" s="3" t="s">
        <v>1356</v>
      </c>
      <c r="U581" s="3" t="s">
        <v>1206</v>
      </c>
    </row>
    <row r="582" spans="1:22" x14ac:dyDescent="0.3">
      <c r="A582" s="16" t="s">
        <v>943</v>
      </c>
      <c r="B582" s="16" t="s">
        <v>835</v>
      </c>
      <c r="C582" s="16" t="s">
        <v>808</v>
      </c>
      <c r="D582" s="3">
        <v>24.8</v>
      </c>
      <c r="E582" s="33">
        <v>0.56000000000000005</v>
      </c>
      <c r="J582" s="33">
        <v>4.1100000000000003</v>
      </c>
      <c r="K582" s="35"/>
      <c r="L582" s="33"/>
      <c r="S582" s="18">
        <f t="shared" si="9"/>
        <v>0.13888</v>
      </c>
      <c r="T582" s="3" t="s">
        <v>944</v>
      </c>
      <c r="U582" s="3" t="s">
        <v>1205</v>
      </c>
    </row>
    <row r="583" spans="1:22" x14ac:dyDescent="0.3">
      <c r="A583" s="16" t="s">
        <v>484</v>
      </c>
      <c r="B583" s="16" t="s">
        <v>41</v>
      </c>
      <c r="C583" s="16" t="s">
        <v>1049</v>
      </c>
      <c r="D583" s="35">
        <v>291.89189189189187</v>
      </c>
      <c r="E583" s="33">
        <v>0.11662500000000001</v>
      </c>
      <c r="F583" s="33">
        <v>0.21879166666666666</v>
      </c>
      <c r="G583" s="33">
        <v>1.9338199322916667</v>
      </c>
      <c r="H583" s="33">
        <v>1.5621346510416663</v>
      </c>
      <c r="L583" s="33">
        <v>0.21337488368055554</v>
      </c>
      <c r="P583" s="33">
        <v>0.13654071701388887</v>
      </c>
      <c r="S583" s="18">
        <f t="shared" si="9"/>
        <v>0.34041891891891896</v>
      </c>
      <c r="T583" s="3" t="s">
        <v>486</v>
      </c>
      <c r="U583" s="3" t="s">
        <v>1205</v>
      </c>
    </row>
    <row r="584" spans="1:22" x14ac:dyDescent="0.3">
      <c r="A584" s="16" t="s">
        <v>514</v>
      </c>
      <c r="B584" s="16" t="s">
        <v>41</v>
      </c>
      <c r="C584" s="16" t="s">
        <v>1049</v>
      </c>
      <c r="D584" s="35">
        <f>((25.8+39.2)+(49.8+19.2))/0.33</f>
        <v>406.06060606060606</v>
      </c>
      <c r="E584" s="33">
        <f>(((25.8+39.2)*0.11+(49.8+19.2)*0.01)/0.33)/(((25.8+39.2)+(49.8+19.2))/0.33)</f>
        <v>5.8507462686567167E-2</v>
      </c>
      <c r="F584" s="33">
        <f>(((25.8+39.2)*0.26+(49.8+19.2)*0.1)/0.33)/(((25.8+39.2)+(49.8+19.2))/0.33)</f>
        <v>0.17761194029850746</v>
      </c>
      <c r="G584" s="33">
        <v>1.7326680708398303</v>
      </c>
      <c r="H584" s="33">
        <v>3.6653543773668966</v>
      </c>
      <c r="L584" s="33">
        <v>0.14994631543773668</v>
      </c>
      <c r="O584" s="33">
        <f>((((25.8+39.2)*6.79+(49.8+19.2)*5.29)/0.33)/(((25.8+39.2)+(49.8+19.2))/0.33))*0.01*P584</f>
        <v>2.826130387513091E-2</v>
      </c>
      <c r="P584" s="33">
        <v>0.46964317665404315</v>
      </c>
      <c r="S584" s="18">
        <f t="shared" si="9"/>
        <v>0.23757575757575758</v>
      </c>
      <c r="T584" s="3" t="s">
        <v>483</v>
      </c>
      <c r="U584" s="3" t="s">
        <v>1205</v>
      </c>
    </row>
    <row r="585" spans="1:22" x14ac:dyDescent="0.3">
      <c r="A585" s="16" t="s">
        <v>524</v>
      </c>
      <c r="B585" s="16" t="s">
        <v>41</v>
      </c>
      <c r="C585" s="16" t="s">
        <v>1049</v>
      </c>
      <c r="D585" s="3">
        <v>43.8</v>
      </c>
      <c r="E585" s="3">
        <v>0.01</v>
      </c>
      <c r="F585" s="3">
        <v>0.1</v>
      </c>
      <c r="G585" s="33">
        <v>1.2134199999999999</v>
      </c>
      <c r="H585" s="33">
        <v>1.9745000000000001</v>
      </c>
      <c r="L585" s="33">
        <v>2.513E-2</v>
      </c>
      <c r="O585" s="33">
        <f>3.59*0.01*P585</f>
        <v>1.3532505E-2</v>
      </c>
      <c r="P585" s="33">
        <v>0.37695000000000001</v>
      </c>
      <c r="S585" s="18">
        <f t="shared" si="9"/>
        <v>4.3800000000000002E-3</v>
      </c>
      <c r="T585" s="3" t="s">
        <v>483</v>
      </c>
      <c r="U585" s="3" t="s">
        <v>1205</v>
      </c>
    </row>
    <row r="586" spans="1:22" x14ac:dyDescent="0.3">
      <c r="A586" s="16" t="s">
        <v>572</v>
      </c>
      <c r="B586" s="16" t="s">
        <v>41</v>
      </c>
      <c r="C586" s="16" t="s">
        <v>1119</v>
      </c>
      <c r="D586" s="3">
        <f>7.2+9.6+9.7</f>
        <v>26.5</v>
      </c>
      <c r="E586" s="33">
        <f>(7.2*0.38+9.6*0.45+9.7*0.53)/(7.2+9.6+9.7)</f>
        <v>0.46026415094339629</v>
      </c>
      <c r="I586" s="33">
        <f>(7.2*3.28+9.6*3.79+9.7*2.6)/(7.2+9.6+9.7)</f>
        <v>3.2158490566037736</v>
      </c>
      <c r="J586" s="33">
        <f>(7.2*3.01+9.6*2.93+9.7*2.75)/(7.2+9.6+9.7)</f>
        <v>2.8858490566037736</v>
      </c>
      <c r="S586" s="18">
        <f t="shared" si="9"/>
        <v>0.12197000000000001</v>
      </c>
      <c r="T586" s="3" t="s">
        <v>1357</v>
      </c>
      <c r="U586" s="3" t="s">
        <v>1205</v>
      </c>
    </row>
    <row r="587" spans="1:22" x14ac:dyDescent="0.3">
      <c r="A587" s="16" t="s">
        <v>485</v>
      </c>
      <c r="B587" s="16" t="s">
        <v>41</v>
      </c>
      <c r="C587" s="16" t="s">
        <v>1049</v>
      </c>
      <c r="D587" s="35">
        <f>(86.6+51)/0.49</f>
        <v>280.81632653061223</v>
      </c>
      <c r="E587" s="3">
        <v>0.08</v>
      </c>
      <c r="F587" s="3">
        <v>0.13</v>
      </c>
      <c r="S587" s="18">
        <f t="shared" si="9"/>
        <v>0.2246530612244898</v>
      </c>
      <c r="T587" s="3" t="s">
        <v>487</v>
      </c>
      <c r="U587" s="3" t="s">
        <v>1205</v>
      </c>
    </row>
    <row r="588" spans="1:22" x14ac:dyDescent="0.3">
      <c r="A588" s="16" t="s">
        <v>503</v>
      </c>
      <c r="B588" s="16" t="s">
        <v>41</v>
      </c>
      <c r="C588" s="16" t="s">
        <v>1049</v>
      </c>
      <c r="D588" s="36">
        <f>((15.3+972)+(161+19.1))/0.49</f>
        <v>2382.4489795918366</v>
      </c>
      <c r="E588" s="33">
        <f>(((15.3+972)*0.09+(161+19.1)*0.06)/0.49)/(((15.3+972)+(161+19.1))/0.49)</f>
        <v>8.537176631831421E-2</v>
      </c>
      <c r="F588" s="33">
        <f>(((15.3+972)*0.21+(161+19.1)*0.17)/0.49)/(((15.3+972)+(161+19.1))/0.49)</f>
        <v>0.20382902175775225</v>
      </c>
      <c r="G588" s="33">
        <v>1.6486268495666303</v>
      </c>
      <c r="H588" s="33">
        <v>3.0134888132768638</v>
      </c>
      <c r="L588" s="33">
        <v>0.27599348862811773</v>
      </c>
      <c r="O588" s="33">
        <f>((((15.3+972)*4.93+(161+19.1)*6.4)/0.49)/(((15.3+972)+(161+19.1))/0.49))*0.01*P588</f>
        <v>1.1235534753108662E-2</v>
      </c>
      <c r="P588" s="33">
        <v>0.21787873896918192</v>
      </c>
      <c r="S588" s="18">
        <f t="shared" si="9"/>
        <v>2.0339387755102041</v>
      </c>
      <c r="T588" s="3" t="s">
        <v>483</v>
      </c>
      <c r="U588" s="3" t="s">
        <v>1205</v>
      </c>
    </row>
    <row r="589" spans="1:22" x14ac:dyDescent="0.3">
      <c r="A589" s="16" t="s">
        <v>762</v>
      </c>
      <c r="B589" s="16" t="s">
        <v>41</v>
      </c>
      <c r="C589" s="16" t="s">
        <v>1049</v>
      </c>
      <c r="D589" s="35">
        <v>836.01</v>
      </c>
      <c r="E589" s="33">
        <v>4.319601679405749E-2</v>
      </c>
      <c r="F589" s="33">
        <v>0.1365738507912585</v>
      </c>
      <c r="G589" s="33">
        <v>1.2220184153299605</v>
      </c>
      <c r="H589" s="33">
        <v>2.2065702996375638</v>
      </c>
      <c r="L589" s="33">
        <v>0.13061236480424876</v>
      </c>
      <c r="P589" s="33">
        <v>0.25126056841425343</v>
      </c>
      <c r="S589" s="18">
        <f t="shared" si="9"/>
        <v>0.36112302000000002</v>
      </c>
      <c r="T589" s="3" t="s">
        <v>701</v>
      </c>
      <c r="U589" s="3" t="s">
        <v>1205</v>
      </c>
    </row>
    <row r="590" spans="1:22" x14ac:dyDescent="0.3">
      <c r="A590" s="16" t="s">
        <v>525</v>
      </c>
      <c r="B590" s="16" t="s">
        <v>41</v>
      </c>
      <c r="C590" s="16" t="s">
        <v>1049</v>
      </c>
      <c r="D590" s="3">
        <f>(177.6)+(319.9)</f>
        <v>497.5</v>
      </c>
      <c r="E590" s="33">
        <f>((59.2*0.12+6.3*0.02)/0.425)/((59.2+6.3)/0.425)</f>
        <v>0.11038167938931297</v>
      </c>
      <c r="F590" s="33">
        <f>((59.2*0.26+6.3*0.09)/0.425)/((59.2+6.3)/0.425)</f>
        <v>0.24364885496183208</v>
      </c>
      <c r="G590" s="33">
        <v>1.5704762355665765</v>
      </c>
      <c r="H590" s="33">
        <v>2.5659921488431099</v>
      </c>
      <c r="L590" s="33">
        <v>0.16977199617060174</v>
      </c>
      <c r="O590" s="33">
        <f>(((177.6)*4.38+(319.9)*4.72)/((177.6)+(319.9)))*0.01*P590</f>
        <v>1.3445678349274315E-2</v>
      </c>
      <c r="P590" s="33">
        <v>0.29238474504785228</v>
      </c>
      <c r="S590" s="18">
        <f t="shared" si="9"/>
        <v>0.54914885496183208</v>
      </c>
      <c r="T590" s="3" t="s">
        <v>483</v>
      </c>
      <c r="U590" s="3" t="s">
        <v>1205</v>
      </c>
    </row>
    <row r="591" spans="1:22" x14ac:dyDescent="0.3">
      <c r="A591" s="16" t="s">
        <v>515</v>
      </c>
      <c r="B591" s="16" t="s">
        <v>41</v>
      </c>
      <c r="C591" s="16" t="s">
        <v>1049</v>
      </c>
      <c r="D591" s="3">
        <f>(16+32.2)+(84.3+51.9)</f>
        <v>184.39999999999998</v>
      </c>
      <c r="E591" s="33">
        <f>((16+32.2)*0.1+(84.3+51.9)*0.01)/((16+32.2)+(84.3+51.9))</f>
        <v>3.3524945770065082E-2</v>
      </c>
      <c r="F591" s="33">
        <f>((16+32.2)*0.23+(84.3+51.9)*0.12)/((16+32.2)+(84.3+51.9))</f>
        <v>0.14875271149674621</v>
      </c>
      <c r="G591" s="33">
        <v>1.7195538347975026</v>
      </c>
      <c r="H591" s="33">
        <v>3.8504266778341911</v>
      </c>
      <c r="L591" s="33">
        <v>9.2815034278965383E-2</v>
      </c>
      <c r="O591" s="33">
        <f>(((16+32.2)*7.79+(84.3+51.9)*5.71)/((16+32.2)+(84.3+51.9)))*P591*0.01</f>
        <v>3.6952545488381679E-2</v>
      </c>
      <c r="P591" s="33">
        <v>0.59089208866417919</v>
      </c>
      <c r="S591" s="18">
        <f t="shared" si="9"/>
        <v>6.1820000000000007E-2</v>
      </c>
      <c r="T591" s="3" t="s">
        <v>483</v>
      </c>
      <c r="U591" s="3" t="s">
        <v>1205</v>
      </c>
    </row>
    <row r="592" spans="1:22" x14ac:dyDescent="0.3">
      <c r="A592" s="16" t="s">
        <v>526</v>
      </c>
      <c r="B592" s="16" t="s">
        <v>41</v>
      </c>
      <c r="C592" s="16" t="s">
        <v>1049</v>
      </c>
      <c r="D592" s="3">
        <f>115.7+152.4</f>
        <v>268.10000000000002</v>
      </c>
      <c r="E592" s="33">
        <f>(115.7*0.08+152.4*0.04)/(115.7+152.4)</f>
        <v>5.7262215591197312E-2</v>
      </c>
      <c r="F592" s="33">
        <f>(115.7*0.22+152.4*0.15)/(115.7+152.4)</f>
        <v>0.18020887728459528</v>
      </c>
      <c r="G592" s="33">
        <v>2.3013046706255254</v>
      </c>
      <c r="H592" s="33">
        <v>2.8753523226161803</v>
      </c>
      <c r="L592" s="33">
        <v>0.19568615350454749</v>
      </c>
      <c r="O592" s="33">
        <f>((115.7*5.2+152.4*6.14)/(115.7+152.4))*0.01*P592</f>
        <v>2.0899911149325778E-2</v>
      </c>
      <c r="P592" s="33">
        <v>0.36446947130267682</v>
      </c>
      <c r="S592" s="18">
        <f t="shared" si="9"/>
        <v>0.15351999999999999</v>
      </c>
      <c r="T592" s="3" t="s">
        <v>483</v>
      </c>
      <c r="U592" s="3" t="s">
        <v>1205</v>
      </c>
    </row>
    <row r="593" spans="1:21" x14ac:dyDescent="0.3">
      <c r="A593" s="16" t="s">
        <v>539</v>
      </c>
      <c r="B593" s="16" t="s">
        <v>41</v>
      </c>
      <c r="C593" s="16" t="s">
        <v>1049</v>
      </c>
      <c r="D593" s="33">
        <f>1.075+17.692+2.787</f>
        <v>21.553999999999998</v>
      </c>
      <c r="E593" s="33">
        <f>(1.075*0.011+17.692*0+2.787*0.0789)/(1.075+17.692+2.787)</f>
        <v>1.0750640252389348E-2</v>
      </c>
      <c r="F593" s="33">
        <f>(1.075*0.098+17.692*0+2.787*0.1762)/(1.075+17.692+2.787)</f>
        <v>2.76709381089357E-2</v>
      </c>
      <c r="G593" s="33">
        <v>1.5773905353994617</v>
      </c>
      <c r="H593" s="33">
        <v>2.2639102162011691</v>
      </c>
      <c r="L593" s="33">
        <v>6.5553493551081005E-2</v>
      </c>
      <c r="O593" s="33">
        <f>(1.075*2.32*0.17+17.692*4.59*0.09+2.787*3.08*0.04)/(1.075+17.692+2.787)</f>
        <v>0.37468236058272247</v>
      </c>
      <c r="P593" s="33">
        <v>0.37468236058272247</v>
      </c>
      <c r="S593" s="18">
        <f t="shared" si="9"/>
        <v>2.3171929999999999E-3</v>
      </c>
      <c r="T593" s="3" t="s">
        <v>488</v>
      </c>
      <c r="U593" s="3" t="s">
        <v>1205</v>
      </c>
    </row>
    <row r="594" spans="1:21" x14ac:dyDescent="0.3">
      <c r="A594" s="16" t="s">
        <v>521</v>
      </c>
      <c r="B594" s="16" t="s">
        <v>41</v>
      </c>
      <c r="C594" s="16" t="s">
        <v>1049</v>
      </c>
      <c r="D594" s="3">
        <f>(10.6+12.7)+(15.6+35.7)</f>
        <v>74.599999999999994</v>
      </c>
      <c r="E594" s="33">
        <f>((10.6+12.7)*0.1+(15.6+35.7)*0.01)/((10.6+12.7)+(15.6+35.7))</f>
        <v>3.8109919571045571E-2</v>
      </c>
      <c r="F594" s="33">
        <f>((10.6+12.7)*0.23+(15.6+35.7)*0.1)/((10.6+12.7)+(15.6+35.7))</f>
        <v>0.14060321715817697</v>
      </c>
      <c r="G594" s="33">
        <v>1.8135807716759271</v>
      </c>
      <c r="H594" s="33">
        <v>3.2899412167664552</v>
      </c>
      <c r="L594" s="33">
        <v>0.11075407071854179</v>
      </c>
      <c r="O594" s="33">
        <f>(((10.6+12.7)*6.61+(15.6+35.7)*5.26)/((10.6+12.7)+(15.6+35.7)))*P594/100</f>
        <v>2.6675639755304074E-2</v>
      </c>
      <c r="P594" s="33">
        <v>0.46950525674014776</v>
      </c>
      <c r="S594" s="18">
        <f t="shared" si="9"/>
        <v>2.8429999999999997E-2</v>
      </c>
      <c r="T594" s="3" t="s">
        <v>483</v>
      </c>
      <c r="U594" s="3" t="s">
        <v>1205</v>
      </c>
    </row>
    <row r="595" spans="1:21" x14ac:dyDescent="0.3">
      <c r="A595" s="16" t="s">
        <v>519</v>
      </c>
      <c r="B595" s="16" t="s">
        <v>41</v>
      </c>
      <c r="C595" s="16" t="s">
        <v>1049</v>
      </c>
      <c r="D595" s="16">
        <f>(3.7+6.7)+(56.1+9.3)</f>
        <v>75.800000000000011</v>
      </c>
      <c r="E595" s="40">
        <f>((3.7+6.7)*0.1+(56.1+9.3)*0.01)/((3.7+6.7)+(56.1+9.3))</f>
        <v>2.2348284960422158E-2</v>
      </c>
      <c r="F595" s="40">
        <f>((3.7+6.7)*0.21+(56.1+9.3)*0.1)/((3.7+6.7)+(56.1+9.3))</f>
        <v>0.11509234828496041</v>
      </c>
      <c r="G595" s="40">
        <v>1.2109734522872995</v>
      </c>
      <c r="H595" s="40">
        <v>2.1312801111103372</v>
      </c>
      <c r="I595" s="16"/>
      <c r="J595" s="16"/>
      <c r="K595" s="16"/>
      <c r="L595" s="40">
        <v>4.1436403116101944E-2</v>
      </c>
      <c r="M595" s="16"/>
      <c r="N595" s="16"/>
      <c r="O595" s="40">
        <f>(((3.7+6.7)*4.69+(56.1+9.3)*3.59)/((3.7+6.7)+(56.1+9.3)))*P595*0.01</f>
        <v>1.3363832501217752E-2</v>
      </c>
      <c r="P595" s="40">
        <v>0.35723351633586509</v>
      </c>
      <c r="Q595" s="16"/>
      <c r="R595" s="16"/>
      <c r="S595" s="41">
        <f t="shared" si="9"/>
        <v>1.6939999999999997E-2</v>
      </c>
      <c r="T595" s="16" t="s">
        <v>483</v>
      </c>
      <c r="U595" s="3" t="s">
        <v>1205</v>
      </c>
    </row>
    <row r="596" spans="1:21" x14ac:dyDescent="0.3">
      <c r="A596" s="16" t="s">
        <v>812</v>
      </c>
      <c r="B596" s="16" t="s">
        <v>41</v>
      </c>
      <c r="C596" s="16" t="s">
        <v>1049</v>
      </c>
      <c r="D596" s="45">
        <f>77.18+119.5</f>
        <v>196.68</v>
      </c>
      <c r="E596" s="40">
        <f>100*(0.108193+0.081013)/D596</f>
        <v>9.6199918649583077E-2</v>
      </c>
      <c r="F596" s="40">
        <f>100*(0.221397+0.217027)/D596</f>
        <v>0.22291234492576775</v>
      </c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41">
        <f t="shared" si="9"/>
        <v>0.18920600000000001</v>
      </c>
      <c r="T596" s="16" t="s">
        <v>813</v>
      </c>
      <c r="U596" s="3" t="s">
        <v>1205</v>
      </c>
    </row>
    <row r="597" spans="1:21" x14ac:dyDescent="0.3">
      <c r="A597" s="16" t="s">
        <v>761</v>
      </c>
      <c r="B597" s="16" t="s">
        <v>41</v>
      </c>
      <c r="C597" s="16" t="s">
        <v>1049</v>
      </c>
      <c r="D597" s="45">
        <v>156.95121951219514</v>
      </c>
      <c r="E597" s="33">
        <v>9.6324786324786318E-2</v>
      </c>
      <c r="F597" s="33">
        <v>0.14948717948717952</v>
      </c>
      <c r="G597" s="33">
        <v>1.7424271950271948</v>
      </c>
      <c r="H597" s="33">
        <v>2.1945701631701633</v>
      </c>
      <c r="L597" s="33">
        <v>0.15363387723387723</v>
      </c>
      <c r="P597" s="33">
        <v>0.29844413364413364</v>
      </c>
      <c r="S597" s="18">
        <f t="shared" si="9"/>
        <v>0.15118292682926829</v>
      </c>
      <c r="T597" s="3" t="s">
        <v>692</v>
      </c>
      <c r="U597" s="3" t="s">
        <v>1205</v>
      </c>
    </row>
    <row r="598" spans="1:21" x14ac:dyDescent="0.3">
      <c r="A598" s="16" t="s">
        <v>760</v>
      </c>
      <c r="B598" s="16" t="s">
        <v>41</v>
      </c>
      <c r="C598" s="16" t="s">
        <v>1049</v>
      </c>
      <c r="D598" s="45">
        <v>113.65853658536585</v>
      </c>
      <c r="E598" s="33">
        <v>0.10339055793991417</v>
      </c>
      <c r="F598" s="33">
        <v>0.16008583690987124</v>
      </c>
      <c r="G598" s="33">
        <v>1.2565068669527899</v>
      </c>
      <c r="H598" s="33">
        <v>1.8127268240343346</v>
      </c>
      <c r="L598" s="33">
        <v>0.16839206008583693</v>
      </c>
      <c r="P598" s="33">
        <v>0.19479914163090131</v>
      </c>
      <c r="S598" s="18">
        <f t="shared" si="9"/>
        <v>0.11751219512195123</v>
      </c>
      <c r="T598" s="3" t="s">
        <v>692</v>
      </c>
      <c r="U598" s="3" t="s">
        <v>1205</v>
      </c>
    </row>
    <row r="599" spans="1:21" x14ac:dyDescent="0.3">
      <c r="A599" s="16" t="s">
        <v>541</v>
      </c>
      <c r="B599" s="16" t="s">
        <v>41</v>
      </c>
      <c r="C599" s="16" t="s">
        <v>1049</v>
      </c>
      <c r="D599" s="3">
        <v>24.73</v>
      </c>
      <c r="E599" s="18">
        <v>8.5300000000000001E-2</v>
      </c>
      <c r="F599" s="33">
        <v>0.19359999999999999</v>
      </c>
      <c r="G599" s="33">
        <v>1.212</v>
      </c>
      <c r="H599" s="33">
        <v>2.5451999999999999</v>
      </c>
      <c r="L599" s="33">
        <v>0.2828</v>
      </c>
      <c r="P599" s="3">
        <v>0</v>
      </c>
      <c r="S599" s="18">
        <f t="shared" si="9"/>
        <v>2.1094690000000003E-2</v>
      </c>
      <c r="T599" s="3" t="s">
        <v>1234</v>
      </c>
      <c r="U599" s="3" t="s">
        <v>1205</v>
      </c>
    </row>
    <row r="600" spans="1:21" x14ac:dyDescent="0.3">
      <c r="A600" s="16" t="s">
        <v>759</v>
      </c>
      <c r="B600" s="16" t="s">
        <v>41</v>
      </c>
      <c r="C600" s="16" t="s">
        <v>1049</v>
      </c>
      <c r="D600" s="35">
        <v>902.43902439024396</v>
      </c>
      <c r="E600" s="18">
        <v>4.4187837837837841E-2</v>
      </c>
      <c r="F600" s="18">
        <v>8.6979729729729727E-2</v>
      </c>
      <c r="G600" s="33">
        <v>1.4253750135135137</v>
      </c>
      <c r="H600" s="33">
        <v>3.0023920810810814</v>
      </c>
      <c r="L600" s="33">
        <v>0.16418966216216219</v>
      </c>
      <c r="P600" s="33">
        <v>0.45385540540540537</v>
      </c>
      <c r="S600" s="18">
        <f t="shared" si="9"/>
        <v>0.39876829268292691</v>
      </c>
      <c r="T600" s="3" t="s">
        <v>692</v>
      </c>
      <c r="U600" s="3" t="s">
        <v>1205</v>
      </c>
    </row>
    <row r="601" spans="1:21" x14ac:dyDescent="0.3">
      <c r="A601" s="16" t="s">
        <v>523</v>
      </c>
      <c r="B601" s="16" t="s">
        <v>41</v>
      </c>
      <c r="C601" s="16" t="s">
        <v>1049</v>
      </c>
      <c r="D601" s="3">
        <f>((104.4)+(108.3+28))/0.5</f>
        <v>481.40000000000003</v>
      </c>
      <c r="E601" s="33">
        <f>(((104.4)*0.05+(108.3+28)*0.03)/0.5)/(((104.4)+(108.3+28))/0.5)</f>
        <v>3.8674698795180727E-2</v>
      </c>
      <c r="F601" s="33">
        <f>(((104.4)*0.14+(108.3+28)*0.13)/0.5)/(((104.4)+(108.3+28))/0.5)</f>
        <v>0.13433734939759034</v>
      </c>
      <c r="G601" s="33">
        <v>1.774571878356801</v>
      </c>
      <c r="H601" s="33">
        <v>2.3374716417477144</v>
      </c>
      <c r="L601" s="33">
        <v>0.16283905646683122</v>
      </c>
      <c r="O601" s="33">
        <f>((((104.4)*2.7+(108.3+28)*5.99)/0.5)/(((104.4)+(108.3+28))/0.5))*0.01*P601</f>
        <v>1.3265284999749917E-2</v>
      </c>
      <c r="P601" s="33">
        <v>0.29071334591377573</v>
      </c>
      <c r="S601" s="18">
        <f t="shared" si="9"/>
        <v>0.18618000000000001</v>
      </c>
      <c r="T601" s="3" t="s">
        <v>483</v>
      </c>
      <c r="U601" s="3" t="s">
        <v>1205</v>
      </c>
    </row>
    <row r="602" spans="1:21" x14ac:dyDescent="0.3">
      <c r="A602" s="16" t="s">
        <v>513</v>
      </c>
      <c r="B602" s="16" t="s">
        <v>41</v>
      </c>
      <c r="C602" s="16" t="s">
        <v>1049</v>
      </c>
      <c r="D602" s="36">
        <f>609.4+2170.5</f>
        <v>2779.9</v>
      </c>
      <c r="E602" s="3">
        <v>0.11</v>
      </c>
      <c r="F602" s="3">
        <v>0.18</v>
      </c>
      <c r="G602" s="33">
        <v>0.96424999999999994</v>
      </c>
      <c r="H602" s="33">
        <v>0.86883999999999983</v>
      </c>
      <c r="L602" s="33">
        <v>0.13600999999999999</v>
      </c>
      <c r="O602" s="33">
        <f>2.03*0.01*P602</f>
        <v>1.2362699999999998E-3</v>
      </c>
      <c r="P602" s="33">
        <v>6.0899999999999996E-2</v>
      </c>
      <c r="S602" s="18">
        <f t="shared" ref="S602:S665" si="10">D602*E602/100</f>
        <v>3.05789</v>
      </c>
      <c r="T602" s="3" t="s">
        <v>483</v>
      </c>
      <c r="U602" s="3" t="s">
        <v>1205</v>
      </c>
    </row>
    <row r="603" spans="1:21" x14ac:dyDescent="0.3">
      <c r="A603" s="16" t="s">
        <v>797</v>
      </c>
      <c r="B603" s="16" t="s">
        <v>41</v>
      </c>
      <c r="C603" s="16" t="s">
        <v>1049</v>
      </c>
      <c r="D603" s="3">
        <v>39.74</v>
      </c>
      <c r="E603" s="3">
        <v>8.5000000000000006E-2</v>
      </c>
      <c r="F603" s="3">
        <v>0.14599999999999999</v>
      </c>
      <c r="G603" s="3">
        <v>0.33</v>
      </c>
      <c r="H603" s="3">
        <v>0.22</v>
      </c>
      <c r="S603" s="18">
        <f t="shared" si="10"/>
        <v>3.3779000000000003E-2</v>
      </c>
      <c r="T603" s="3" t="s">
        <v>132</v>
      </c>
      <c r="U603" s="3" t="s">
        <v>1205</v>
      </c>
    </row>
    <row r="604" spans="1:21" x14ac:dyDescent="0.3">
      <c r="A604" s="16" t="s">
        <v>540</v>
      </c>
      <c r="B604" s="16" t="s">
        <v>41</v>
      </c>
      <c r="C604" s="16" t="s">
        <v>1049</v>
      </c>
      <c r="D604" s="35">
        <f>49.538+71.883</f>
        <v>121.42099999999999</v>
      </c>
      <c r="E604" s="33">
        <f>(49.538*0.0876+71.883*0.0953)/(49.538+71.883)</f>
        <v>9.215851211899094E-2</v>
      </c>
      <c r="F604" s="33">
        <f>(49.538*0.1379+71.883*0.1275)/(49.538+71.883)</f>
        <v>0.13174304856655766</v>
      </c>
      <c r="G604" s="33">
        <v>1.4353566920055014</v>
      </c>
      <c r="H604" s="33">
        <v>2.0582793355350391</v>
      </c>
      <c r="L604" s="33">
        <v>0.15701734955238383</v>
      </c>
      <c r="O604" s="33">
        <f>(49.538*4.18*0.07+71.883*3.75*0.07)/(49.538+71.883)</f>
        <v>0.27478036171667175</v>
      </c>
      <c r="P604" s="33">
        <v>0.27478036171667175</v>
      </c>
      <c r="S604" s="18">
        <f t="shared" si="10"/>
        <v>0.11189978699999997</v>
      </c>
      <c r="T604" s="3" t="s">
        <v>488</v>
      </c>
      <c r="U604" s="3" t="s">
        <v>1205</v>
      </c>
    </row>
    <row r="605" spans="1:21" x14ac:dyDescent="0.3">
      <c r="A605" s="16" t="s">
        <v>208</v>
      </c>
      <c r="B605" s="16" t="s">
        <v>41</v>
      </c>
      <c r="C605" s="16" t="s">
        <v>1049</v>
      </c>
      <c r="D605" s="36">
        <v>407.70899999999995</v>
      </c>
      <c r="E605" s="33">
        <v>0.13</v>
      </c>
      <c r="F605" s="33">
        <v>0.35328369008287774</v>
      </c>
      <c r="M605" s="3">
        <v>0.02</v>
      </c>
      <c r="Q605" s="33">
        <v>0.87328369008287787</v>
      </c>
      <c r="S605" s="18">
        <f t="shared" si="10"/>
        <v>0.53002169999999993</v>
      </c>
      <c r="T605" s="3" t="s">
        <v>209</v>
      </c>
      <c r="U605" s="3" t="s">
        <v>1216</v>
      </c>
    </row>
    <row r="606" spans="1:21" x14ac:dyDescent="0.3">
      <c r="A606" s="16" t="s">
        <v>700</v>
      </c>
      <c r="B606" s="16" t="s">
        <v>41</v>
      </c>
      <c r="C606" s="16" t="s">
        <v>1049</v>
      </c>
      <c r="D606" s="33">
        <v>46.965000000000003</v>
      </c>
      <c r="E606" s="3">
        <v>0.1</v>
      </c>
      <c r="F606" s="3">
        <v>0.13</v>
      </c>
      <c r="G606" s="33">
        <v>0.77700000000000002</v>
      </c>
      <c r="H606" s="33">
        <v>0.25530000000000003</v>
      </c>
      <c r="L606" s="33">
        <v>7.7700000000000019E-2</v>
      </c>
      <c r="S606" s="18">
        <f t="shared" si="10"/>
        <v>4.6965000000000007E-2</v>
      </c>
      <c r="T606" s="3" t="s">
        <v>488</v>
      </c>
      <c r="U606" s="3" t="s">
        <v>1205</v>
      </c>
    </row>
    <row r="607" spans="1:21" x14ac:dyDescent="0.3">
      <c r="A607" s="16" t="s">
        <v>40</v>
      </c>
      <c r="B607" s="16" t="s">
        <v>41</v>
      </c>
      <c r="C607" s="16" t="s">
        <v>1047</v>
      </c>
      <c r="D607" s="3">
        <f>6.4+62</f>
        <v>68.400000000000006</v>
      </c>
      <c r="E607" s="33">
        <f>(0.31*6.4+0.6*62)/(6.4+62)</f>
        <v>0.5728654970760233</v>
      </c>
      <c r="S607" s="18">
        <f t="shared" si="10"/>
        <v>0.39183999999999997</v>
      </c>
      <c r="T607" s="3" t="s">
        <v>39</v>
      </c>
      <c r="U607" s="3" t="s">
        <v>1205</v>
      </c>
    </row>
    <row r="608" spans="1:21" x14ac:dyDescent="0.3">
      <c r="A608" s="19" t="s">
        <v>695</v>
      </c>
      <c r="B608" s="16" t="s">
        <v>41</v>
      </c>
      <c r="C608" s="16" t="s">
        <v>1049</v>
      </c>
      <c r="D608" s="35">
        <v>154.11764705882354</v>
      </c>
      <c r="E608" s="3">
        <v>0.01</v>
      </c>
      <c r="F608" s="3">
        <v>0.02</v>
      </c>
      <c r="G608" s="33">
        <v>1.1593260000000003</v>
      </c>
      <c r="H608" s="33">
        <v>2.6621560000000009</v>
      </c>
      <c r="L608" s="33">
        <v>4.2938000000000004E-2</v>
      </c>
      <c r="P608" s="33">
        <v>0.47231800000000018</v>
      </c>
      <c r="S608" s="18">
        <f t="shared" si="10"/>
        <v>1.5411764705882354E-2</v>
      </c>
      <c r="T608" s="3" t="s">
        <v>696</v>
      </c>
      <c r="U608" s="3" t="s">
        <v>1205</v>
      </c>
    </row>
    <row r="609" spans="1:21" x14ac:dyDescent="0.3">
      <c r="A609" s="16" t="s">
        <v>699</v>
      </c>
      <c r="B609" s="16" t="s">
        <v>41</v>
      </c>
      <c r="C609" s="16" t="s">
        <v>1049</v>
      </c>
      <c r="D609" s="35">
        <v>109.29600000000001</v>
      </c>
      <c r="E609" s="18">
        <v>2.4166226577367875E-2</v>
      </c>
      <c r="F609" s="18">
        <v>8.699692669448103E-2</v>
      </c>
      <c r="G609" s="33">
        <v>0.87780607524520571</v>
      </c>
      <c r="H609" s="33">
        <v>1.9083219751866489</v>
      </c>
      <c r="L609" s="33">
        <v>9.485795363050796E-2</v>
      </c>
      <c r="P609" s="33">
        <v>0.23023976815253988</v>
      </c>
      <c r="S609" s="18">
        <f t="shared" si="10"/>
        <v>2.6412718999999994E-2</v>
      </c>
      <c r="T609" s="3" t="s">
        <v>488</v>
      </c>
      <c r="U609" s="3" t="s">
        <v>1205</v>
      </c>
    </row>
    <row r="610" spans="1:21" x14ac:dyDescent="0.3">
      <c r="A610" s="16" t="s">
        <v>538</v>
      </c>
      <c r="B610" s="16" t="s">
        <v>41</v>
      </c>
      <c r="C610" s="16" t="s">
        <v>1049</v>
      </c>
      <c r="D610" s="33">
        <v>5.1340000000000003</v>
      </c>
      <c r="E610" s="33">
        <v>2.7099999999999999E-2</v>
      </c>
      <c r="F610" s="33">
        <v>5.1200000000000002E-2</v>
      </c>
      <c r="G610" s="33">
        <v>1.3774999999999999</v>
      </c>
      <c r="H610" s="33">
        <v>2.8975</v>
      </c>
      <c r="L610" s="33">
        <v>0.14249999999999999</v>
      </c>
      <c r="O610" s="3">
        <f>4.75*0.08</f>
        <v>0.38</v>
      </c>
      <c r="P610" s="3">
        <v>0.38</v>
      </c>
      <c r="S610" s="18">
        <f t="shared" si="10"/>
        <v>1.3913140000000003E-3</v>
      </c>
      <c r="T610" s="3" t="s">
        <v>488</v>
      </c>
      <c r="U610" s="3" t="s">
        <v>1205</v>
      </c>
    </row>
    <row r="611" spans="1:21" x14ac:dyDescent="0.3">
      <c r="A611" s="16" t="s">
        <v>512</v>
      </c>
      <c r="B611" s="16" t="s">
        <v>41</v>
      </c>
      <c r="C611" s="16" t="s">
        <v>1049</v>
      </c>
      <c r="D611" s="3">
        <f>(53+59.6+22.6)+(153.3+239.1+57.8)</f>
        <v>585.4</v>
      </c>
      <c r="E611" s="33">
        <f>((53+59.6+22.6)*0.1+(153.3+239.1+57.8)*0.01)/((53+59.6+22.6)+(153.3+239.1+57.8))</f>
        <v>3.0785787495729414E-2</v>
      </c>
      <c r="F611" s="33">
        <f>((53+59.6+22.6)*0.22+(153.3+239.1+57.8)*0.1)/((53+59.6+22.6)+(153.3+239.1+57.8))</f>
        <v>0.12771438332763921</v>
      </c>
      <c r="G611" s="33">
        <v>1.8974287987796428</v>
      </c>
      <c r="H611" s="33">
        <v>3.0846789226023645</v>
      </c>
      <c r="L611" s="33">
        <v>9.4426146831760496E-2</v>
      </c>
      <c r="O611" s="33">
        <f>(((53+59.6+22.6)*6.4+(153.3+239.1+57.8)*5.33)/((53+59.6+22.6)+(153.3+239.1+57.8)))*P611*0.01</f>
        <v>2.7918284289647981E-2</v>
      </c>
      <c r="P611" s="33">
        <v>0.50058604979101406</v>
      </c>
      <c r="S611" s="18">
        <f t="shared" si="10"/>
        <v>0.18021999999999999</v>
      </c>
      <c r="T611" s="3" t="s">
        <v>483</v>
      </c>
      <c r="U611" s="3" t="s">
        <v>1205</v>
      </c>
    </row>
    <row r="612" spans="1:21" x14ac:dyDescent="0.3">
      <c r="A612" s="16" t="s">
        <v>739</v>
      </c>
      <c r="B612" s="16" t="s">
        <v>41</v>
      </c>
      <c r="C612" s="16" t="s">
        <v>808</v>
      </c>
      <c r="D612" s="3">
        <v>44.15</v>
      </c>
      <c r="E612" s="3">
        <v>0.54</v>
      </c>
      <c r="L612" s="3">
        <v>0.51</v>
      </c>
      <c r="S612" s="18">
        <f t="shared" si="10"/>
        <v>0.23841000000000001</v>
      </c>
      <c r="T612" s="3" t="s">
        <v>740</v>
      </c>
      <c r="U612" s="3" t="s">
        <v>1205</v>
      </c>
    </row>
    <row r="613" spans="1:21" x14ac:dyDescent="0.3">
      <c r="A613" s="16" t="s">
        <v>509</v>
      </c>
      <c r="B613" s="16" t="s">
        <v>41</v>
      </c>
      <c r="C613" s="16" t="s">
        <v>1049</v>
      </c>
      <c r="D613" s="35">
        <v>764.33</v>
      </c>
      <c r="E613" s="3">
        <v>7.0000000000000007E-2</v>
      </c>
      <c r="F613" s="3">
        <v>0.19</v>
      </c>
      <c r="S613" s="18">
        <f t="shared" si="10"/>
        <v>0.53503100000000015</v>
      </c>
      <c r="T613" s="3" t="s">
        <v>787</v>
      </c>
      <c r="U613" s="3" t="s">
        <v>1205</v>
      </c>
    </row>
    <row r="614" spans="1:21" x14ac:dyDescent="0.3">
      <c r="A614" s="16" t="s">
        <v>518</v>
      </c>
      <c r="B614" s="16" t="s">
        <v>41</v>
      </c>
      <c r="C614" s="16" t="s">
        <v>1049</v>
      </c>
      <c r="D614" s="3">
        <f>(13.2+13.8)+(23.8+73.8)</f>
        <v>124.6</v>
      </c>
      <c r="E614" s="33">
        <f>((13.2+13.8)*0.12+(23.8+73.8)*0.01)/((13.2+13.8)+(23.8+73.8))</f>
        <v>3.3836276083467093E-2</v>
      </c>
      <c r="F614" s="33">
        <f>((13.2+13.8)*0.24+(23.8+73.8)*0.1)/((13.2+13.8)+(23.8+73.8))</f>
        <v>0.1303370786516854</v>
      </c>
      <c r="G614" s="33">
        <v>1.3555968025063834</v>
      </c>
      <c r="H614" s="33">
        <v>2.3624196920096159</v>
      </c>
      <c r="L614" s="33">
        <v>6.6501000234458138E-2</v>
      </c>
      <c r="O614" s="33">
        <f>(((13.2+13.8)*5.36+(23.8+73.8)*3.79)/((13.2+13.8)+(23.8+73.8)))*P614*0.01</f>
        <v>1.4448353026671553E-2</v>
      </c>
      <c r="P614" s="33">
        <v>0.34982138165403776</v>
      </c>
      <c r="S614" s="18">
        <f t="shared" si="10"/>
        <v>4.2159999999999996E-2</v>
      </c>
      <c r="T614" s="3" t="s">
        <v>483</v>
      </c>
      <c r="U614" s="3" t="s">
        <v>1205</v>
      </c>
    </row>
    <row r="615" spans="1:21" x14ac:dyDescent="0.3">
      <c r="A615" s="16" t="s">
        <v>758</v>
      </c>
      <c r="B615" s="16" t="s">
        <v>41</v>
      </c>
      <c r="C615" s="16" t="s">
        <v>1049</v>
      </c>
      <c r="D615" s="35">
        <v>605.79</v>
      </c>
      <c r="E615" s="18">
        <v>4.33055415242906E-2</v>
      </c>
      <c r="F615" s="18">
        <v>9.4377063008633355E-2</v>
      </c>
      <c r="G615" s="33">
        <v>1.2827197543703264</v>
      </c>
      <c r="H615" s="33">
        <v>2.0319029696759605</v>
      </c>
      <c r="L615" s="33">
        <v>0.1261210980702884</v>
      </c>
      <c r="P615" s="33">
        <v>0.27524637250532363</v>
      </c>
      <c r="S615" s="18">
        <f t="shared" si="10"/>
        <v>0.26234064000000001</v>
      </c>
      <c r="T615" s="3" t="s">
        <v>1231</v>
      </c>
      <c r="U615" s="3" t="s">
        <v>1205</v>
      </c>
    </row>
    <row r="616" spans="1:21" x14ac:dyDescent="0.3">
      <c r="A616" s="16" t="s">
        <v>573</v>
      </c>
      <c r="B616" s="16" t="s">
        <v>41</v>
      </c>
      <c r="C616" s="16" t="s">
        <v>1119</v>
      </c>
      <c r="D616" s="3">
        <f>16.4+31.9</f>
        <v>48.3</v>
      </c>
      <c r="E616" s="33">
        <f>(16.4*0.64+31.9*0.67)/(16.4+31.9)</f>
        <v>0.65981366459627333</v>
      </c>
      <c r="I616" s="33">
        <f>(16.4*2.91+31.9*2.73)/(16.4+31.9)</f>
        <v>2.79111801242236</v>
      </c>
      <c r="J616" s="33">
        <f>(16.4*0.68+31.9*0.65)/(16.4+31.9)</f>
        <v>0.66018633540372673</v>
      </c>
      <c r="S616" s="18">
        <f t="shared" si="10"/>
        <v>0.31868999999999997</v>
      </c>
      <c r="T616" s="3" t="s">
        <v>1233</v>
      </c>
      <c r="U616" s="3" t="s">
        <v>1205</v>
      </c>
    </row>
    <row r="617" spans="1:21" x14ac:dyDescent="0.3">
      <c r="A617" s="16" t="s">
        <v>520</v>
      </c>
      <c r="B617" s="16" t="s">
        <v>41</v>
      </c>
      <c r="C617" s="16" t="s">
        <v>1049</v>
      </c>
      <c r="D617" s="3">
        <f>(22.6+5.3)+(14+61.5)</f>
        <v>103.4</v>
      </c>
      <c r="E617" s="33">
        <f>((22.6+5.3)*0.1+(14+61.5)*0.01)/((22.6+5.3)+(14+61.5))</f>
        <v>3.4284332688588007E-2</v>
      </c>
      <c r="F617" s="33">
        <f>((22.6+5.3)*0.24+(14+61.5)*0.1)/((22.6+5.3)+(14+61.5))</f>
        <v>0.13777562862669246</v>
      </c>
      <c r="G617" s="33">
        <v>1.3101673270785554</v>
      </c>
      <c r="H617" s="33">
        <v>2.31588548841329</v>
      </c>
      <c r="L617" s="33">
        <v>7.5333886963174682E-2</v>
      </c>
      <c r="O617" s="18">
        <f>(((22.6+5.3)*5.05+(14+61.5)*3.68)/((22.6+5.3)+(14+61.5)))*0.01*P617</f>
        <v>1.4223697557929476E-2</v>
      </c>
      <c r="P617" s="18">
        <v>0.35123176412048379</v>
      </c>
      <c r="S617" s="18">
        <f t="shared" si="10"/>
        <v>3.5450000000000002E-2</v>
      </c>
      <c r="T617" s="3" t="s">
        <v>483</v>
      </c>
      <c r="U617" s="3" t="s">
        <v>1205</v>
      </c>
    </row>
    <row r="618" spans="1:21" x14ac:dyDescent="0.3">
      <c r="A618" s="16" t="s">
        <v>788</v>
      </c>
      <c r="B618" s="16" t="s">
        <v>41</v>
      </c>
      <c r="C618" s="16" t="s">
        <v>1049</v>
      </c>
      <c r="D618" s="35">
        <v>132.480493</v>
      </c>
      <c r="E618" s="33">
        <v>7.7653716241831927E-2</v>
      </c>
      <c r="F618" s="33">
        <v>0.13039669961826003</v>
      </c>
      <c r="S618" s="18">
        <f t="shared" si="10"/>
        <v>0.10287602611</v>
      </c>
      <c r="T618" s="3" t="s">
        <v>789</v>
      </c>
      <c r="U618" s="3" t="s">
        <v>1205</v>
      </c>
    </row>
    <row r="619" spans="1:21" x14ac:dyDescent="0.3">
      <c r="A619" s="16" t="s">
        <v>517</v>
      </c>
      <c r="B619" s="16" t="s">
        <v>41</v>
      </c>
      <c r="C619" s="16" t="s">
        <v>1049</v>
      </c>
      <c r="D619" s="3">
        <f>(29.9+141)+(149.4+216.2)</f>
        <v>536.5</v>
      </c>
      <c r="E619" s="33">
        <f>((29.9+141)*0.1+(149.4+216.2)*0.01)/((29.9+141)+(149.4+216.2))</f>
        <v>3.8669151910531219E-2</v>
      </c>
      <c r="F619" s="33">
        <f>((29.9+141)*0.26+(149.4+216.2)*0.11)/((29.9+141)+(149.4+216.2))</f>
        <v>0.15778191985088538</v>
      </c>
      <c r="G619" s="33">
        <v>1.8465075262650381</v>
      </c>
      <c r="H619" s="33">
        <v>3.8618514114175877</v>
      </c>
      <c r="L619" s="33">
        <v>0.10246943927791273</v>
      </c>
      <c r="O619" s="18">
        <f>(((29.9+141)*8.12+(149.4+216.2)*5.65)/((29.9+141)+(149.4+216.2)))*P619*0.01</f>
        <v>4.0443535111776806E-2</v>
      </c>
      <c r="P619" s="18">
        <v>0.62831653767498263</v>
      </c>
      <c r="S619" s="18">
        <f t="shared" si="10"/>
        <v>0.20745999999999998</v>
      </c>
      <c r="T619" s="3" t="s">
        <v>483</v>
      </c>
      <c r="U619" s="3" t="s">
        <v>1205</v>
      </c>
    </row>
    <row r="620" spans="1:21" x14ac:dyDescent="0.3">
      <c r="A620" s="16" t="s">
        <v>522</v>
      </c>
      <c r="B620" s="16" t="s">
        <v>41</v>
      </c>
      <c r="C620" s="16" t="s">
        <v>1049</v>
      </c>
      <c r="D620" s="3">
        <f>161.4+(171.3+73.4)</f>
        <v>406.1</v>
      </c>
      <c r="E620" s="33">
        <f>(161.4*0.12+(171.3+73.4)*0.02)/(161.4+(171.3+73.4))</f>
        <v>5.9743905442009353E-2</v>
      </c>
      <c r="F620" s="33">
        <f>(161.4*0.29+(171.3+73.4)*0.14)/(161.4+(171.3+73.4))</f>
        <v>0.199615858163014</v>
      </c>
      <c r="G620" s="33">
        <v>2.2377467373162574</v>
      </c>
      <c r="H620" s="33">
        <v>2.6833790937016215</v>
      </c>
      <c r="L620" s="33">
        <v>0.22351641505455977</v>
      </c>
      <c r="O620" s="18">
        <f>((161.4*5.04+(171.3+73.4)*5.76)/(161.4+(171.3+73.4)))*P620*0.01</f>
        <v>1.801998353904562E-2</v>
      </c>
      <c r="P620" s="18">
        <v>0.32920163474509417</v>
      </c>
      <c r="S620" s="18">
        <f t="shared" si="10"/>
        <v>0.24262</v>
      </c>
      <c r="T620" s="3" t="s">
        <v>483</v>
      </c>
      <c r="U620" s="3" t="s">
        <v>1205</v>
      </c>
    </row>
    <row r="621" spans="1:21" x14ac:dyDescent="0.3">
      <c r="A621" s="16" t="s">
        <v>516</v>
      </c>
      <c r="B621" s="16" t="s">
        <v>41</v>
      </c>
      <c r="C621" s="16" t="s">
        <v>1049</v>
      </c>
      <c r="D621" s="35">
        <f>((0.2+69.6)+(104.4+47.8))/0.85</f>
        <v>261.1764705882353</v>
      </c>
      <c r="E621" s="33">
        <f>(((0.2+69.6)*0.07+(104.4+47.8)*0.01)/0.85)/(((0.2+69.6)+(104.4+47.8))/0.85)</f>
        <v>2.8864864864864864E-2</v>
      </c>
      <c r="F621" s="33">
        <f>(((0.2+69.6)*0.26+(104.4+47.8)*0.11)/0.85)/(((0.2+69.6)+(104.4+47.8))/0.85)</f>
        <v>0.15716216216216217</v>
      </c>
      <c r="G621" s="33">
        <v>1.7011570864377887</v>
      </c>
      <c r="H621" s="33">
        <v>3.556220003733463</v>
      </c>
      <c r="L621" s="33">
        <v>7.7299133511890286E-2</v>
      </c>
      <c r="O621" s="18">
        <f>((((0.2+69.6)*6.21+(104.4+47.8)*5.71)/0.85)/(((0.2+69.6)+(104.4+47.8))/0.85))*P621*0.01</f>
        <v>3.1244696245935344E-2</v>
      </c>
      <c r="P621" s="18">
        <v>0.53253098352406458</v>
      </c>
      <c r="S621" s="18">
        <f t="shared" si="10"/>
        <v>7.5388235294117645E-2</v>
      </c>
      <c r="T621" s="3" t="s">
        <v>483</v>
      </c>
      <c r="U621" s="3" t="s">
        <v>1205</v>
      </c>
    </row>
    <row r="622" spans="1:21" x14ac:dyDescent="0.3">
      <c r="A622" s="16" t="s">
        <v>587</v>
      </c>
      <c r="B622" s="16" t="s">
        <v>96</v>
      </c>
      <c r="C622" s="16" t="s">
        <v>1049</v>
      </c>
      <c r="D622" s="33">
        <f>11.32+1.21+0.442</f>
        <v>12.972000000000001</v>
      </c>
      <c r="E622" s="33">
        <f>(11.32*0.5+1.21*0.2+0.442*0.1)/(11.32+1.21+0.442)</f>
        <v>0.45838729571384518</v>
      </c>
      <c r="F622" s="33">
        <f>(11.32*0.6+1.21*0.3+0.442*0.3)/(11.32+1.21+0.442)</f>
        <v>0.56179463459759471</v>
      </c>
      <c r="S622" s="18">
        <f t="shared" si="10"/>
        <v>5.9462000000000001E-2</v>
      </c>
      <c r="T622" s="3" t="s">
        <v>436</v>
      </c>
      <c r="U622" s="3" t="s">
        <v>1291</v>
      </c>
    </row>
    <row r="623" spans="1:21" x14ac:dyDescent="0.3">
      <c r="A623" s="16" t="s">
        <v>89</v>
      </c>
      <c r="B623" s="16" t="s">
        <v>96</v>
      </c>
      <c r="C623" s="16" t="s">
        <v>808</v>
      </c>
      <c r="D623" s="33">
        <f>16.529+0.134</f>
        <v>16.663</v>
      </c>
      <c r="E623" s="33">
        <f>(16.529*6.3+0.134*2.92)/(16.153+0.134)</f>
        <v>6.4176324676122061</v>
      </c>
      <c r="S623" s="18">
        <f t="shared" si="10"/>
        <v>1.0693700980782219</v>
      </c>
      <c r="T623" s="3" t="s">
        <v>94</v>
      </c>
      <c r="U623" s="3" t="s">
        <v>1205</v>
      </c>
    </row>
    <row r="624" spans="1:21" x14ac:dyDescent="0.3">
      <c r="A624" s="16" t="s">
        <v>881</v>
      </c>
      <c r="B624" s="16" t="s">
        <v>96</v>
      </c>
      <c r="C624" s="16" t="s">
        <v>808</v>
      </c>
      <c r="D624" s="3">
        <v>3.71</v>
      </c>
      <c r="E624" s="3">
        <v>0.87</v>
      </c>
      <c r="I624" s="3">
        <v>1.1599999999999999</v>
      </c>
      <c r="J624" s="3">
        <v>1.57</v>
      </c>
      <c r="K624" s="3">
        <v>27.8</v>
      </c>
      <c r="L624" s="3">
        <v>3.26</v>
      </c>
      <c r="S624" s="18">
        <f t="shared" si="10"/>
        <v>3.2277E-2</v>
      </c>
      <c r="T624" s="3" t="s">
        <v>882</v>
      </c>
      <c r="U624" s="3" t="s">
        <v>1205</v>
      </c>
    </row>
    <row r="625" spans="1:21" x14ac:dyDescent="0.3">
      <c r="A625" s="16" t="s">
        <v>39</v>
      </c>
      <c r="B625" s="16" t="s">
        <v>96</v>
      </c>
      <c r="C625" s="16" t="s">
        <v>808</v>
      </c>
      <c r="D625" s="3">
        <f>47.6+155.5+2.1</f>
        <v>205.2</v>
      </c>
      <c r="E625" s="33">
        <f>(0.38*47.6+0.49*155.5+0.5*2.1)/D625</f>
        <v>0.46458576998050677</v>
      </c>
      <c r="S625" s="18">
        <f t="shared" si="10"/>
        <v>0.95332999999999979</v>
      </c>
      <c r="T625" s="3" t="s">
        <v>1097</v>
      </c>
      <c r="U625" s="3" t="s">
        <v>1208</v>
      </c>
    </row>
    <row r="626" spans="1:21" x14ac:dyDescent="0.3">
      <c r="A626" s="16" t="s">
        <v>109</v>
      </c>
      <c r="B626" s="16" t="s">
        <v>115</v>
      </c>
      <c r="C626" s="16" t="s">
        <v>1056</v>
      </c>
      <c r="D626" s="37">
        <f>504+229+708+845+164</f>
        <v>2450</v>
      </c>
      <c r="E626" s="33">
        <f>(0.25*504+0.24*229+0.19*708+0.19*845+0.15*164)/D626</f>
        <v>0.2043387755102041</v>
      </c>
      <c r="K626" s="33">
        <f>(1.6*504+1.7*229+1*708+1.1*845+0.6*164)/D626</f>
        <v>1.1965714285714286</v>
      </c>
      <c r="L626" s="33">
        <f>(0.15*504+0.13*229+0.12*708+0.11*845+0.11*164)/D626</f>
        <v>0.12298775510204081</v>
      </c>
      <c r="S626" s="18">
        <f t="shared" si="10"/>
        <v>5.0063000000000004</v>
      </c>
      <c r="T626" s="3" t="s">
        <v>116</v>
      </c>
      <c r="U626" s="3" t="s">
        <v>1205</v>
      </c>
    </row>
    <row r="627" spans="1:21" x14ac:dyDescent="0.3">
      <c r="A627" s="16" t="s">
        <v>979</v>
      </c>
      <c r="B627" s="16" t="s">
        <v>115</v>
      </c>
      <c r="C627" s="34" t="s">
        <v>1049</v>
      </c>
      <c r="D627" s="3">
        <v>7.0000000000000007E-2</v>
      </c>
      <c r="E627" s="33">
        <v>0.27</v>
      </c>
      <c r="F627" s="3">
        <v>0.46</v>
      </c>
      <c r="J627" s="33"/>
      <c r="K627" s="33"/>
      <c r="L627" s="33"/>
      <c r="M627" s="33"/>
      <c r="S627" s="18">
        <f t="shared" si="10"/>
        <v>1.8900000000000004E-4</v>
      </c>
      <c r="T627" s="3" t="s">
        <v>973</v>
      </c>
      <c r="U627" s="3" t="s">
        <v>1265</v>
      </c>
    </row>
    <row r="628" spans="1:21" x14ac:dyDescent="0.3">
      <c r="A628" s="16" t="s">
        <v>977</v>
      </c>
      <c r="B628" s="16" t="s">
        <v>115</v>
      </c>
      <c r="C628" s="34" t="s">
        <v>1049</v>
      </c>
      <c r="D628" s="3">
        <v>0.32600000000000001</v>
      </c>
      <c r="E628" s="33">
        <v>0.04</v>
      </c>
      <c r="F628" s="3">
        <v>0.63</v>
      </c>
      <c r="J628" s="33"/>
      <c r="K628" s="33"/>
      <c r="L628" s="33"/>
      <c r="M628" s="33"/>
      <c r="S628" s="18">
        <f t="shared" si="10"/>
        <v>1.3040000000000003E-4</v>
      </c>
      <c r="T628" s="3" t="s">
        <v>973</v>
      </c>
      <c r="U628" s="3" t="s">
        <v>1265</v>
      </c>
    </row>
    <row r="629" spans="1:21" x14ac:dyDescent="0.3">
      <c r="A629" s="16" t="s">
        <v>110</v>
      </c>
      <c r="B629" s="16" t="s">
        <v>115</v>
      </c>
      <c r="C629" s="16" t="s">
        <v>808</v>
      </c>
      <c r="D629" s="3">
        <f>18.8+6.3+2.6+9.9+26.8</f>
        <v>64.400000000000006</v>
      </c>
      <c r="E629" s="33">
        <f>(0.06*18.8+0.04*6.3+0.07*2.6+0.06*9.9+0.06*26.8)/$D629</f>
        <v>5.8447204968944087E-2</v>
      </c>
      <c r="I629" s="33">
        <f>(2.3*18.8+1.4*6.3+1.7*2.6+2.3*9.9+2.5*26.8)/$D629</f>
        <v>2.2709627329192545</v>
      </c>
      <c r="J629" s="33">
        <f>(5.8*18.8+3.6*6.3+3.9*2.6+5.1*9.9+5.2*26.8)/$D629</f>
        <v>5.1507763975155276</v>
      </c>
      <c r="K629" s="35">
        <f>(121*18.8+217*6.3+95*2.6+164*9.9+146*26.8)/$D629</f>
        <v>146.35559006211179</v>
      </c>
      <c r="L629" s="33">
        <f>(0.3*18.8+0.2*6.3+0.3*2.6+0.5*9.9+0.5*26.8)/$D629</f>
        <v>0.4041925465838509</v>
      </c>
      <c r="M629" s="33"/>
      <c r="S629" s="18">
        <f t="shared" si="10"/>
        <v>3.7639999999999993E-2</v>
      </c>
      <c r="T629" s="3" t="s">
        <v>116</v>
      </c>
      <c r="U629" s="3" t="s">
        <v>1205</v>
      </c>
    </row>
    <row r="630" spans="1:21" x14ac:dyDescent="0.3">
      <c r="A630" s="16" t="s">
        <v>980</v>
      </c>
      <c r="B630" s="16" t="s">
        <v>115</v>
      </c>
      <c r="C630" s="34" t="s">
        <v>1049</v>
      </c>
      <c r="D630" s="3">
        <v>3.5000000000000003E-2</v>
      </c>
      <c r="E630" s="33">
        <v>0.18</v>
      </c>
      <c r="F630" s="3">
        <v>0.4</v>
      </c>
      <c r="J630" s="33"/>
      <c r="K630" s="33"/>
      <c r="L630" s="33"/>
      <c r="M630" s="33"/>
      <c r="S630" s="18">
        <f t="shared" si="10"/>
        <v>6.3E-5</v>
      </c>
      <c r="T630" s="3" t="s">
        <v>973</v>
      </c>
      <c r="U630" s="3" t="s">
        <v>1265</v>
      </c>
    </row>
    <row r="631" spans="1:21" x14ac:dyDescent="0.3">
      <c r="A631" s="16" t="s">
        <v>981</v>
      </c>
      <c r="B631" s="16" t="s">
        <v>115</v>
      </c>
      <c r="C631" s="34" t="s">
        <v>1049</v>
      </c>
      <c r="D631" s="3">
        <v>0.26100000000000001</v>
      </c>
      <c r="E631" s="33">
        <v>0.41</v>
      </c>
      <c r="F631" s="3">
        <v>0.73</v>
      </c>
      <c r="J631" s="33"/>
      <c r="K631" s="33"/>
      <c r="L631" s="33"/>
      <c r="M631" s="33"/>
      <c r="S631" s="18">
        <f t="shared" si="10"/>
        <v>1.0701E-3</v>
      </c>
      <c r="T631" s="3" t="s">
        <v>973</v>
      </c>
      <c r="U631" s="3" t="s">
        <v>1265</v>
      </c>
    </row>
    <row r="632" spans="1:21" x14ac:dyDescent="0.3">
      <c r="A632" s="16" t="s">
        <v>111</v>
      </c>
      <c r="B632" s="16" t="s">
        <v>115</v>
      </c>
      <c r="C632" s="16" t="s">
        <v>808</v>
      </c>
      <c r="D632" s="3">
        <f>0.05+1.66+2.3+1.34+2.8</f>
        <v>8.1499999999999986</v>
      </c>
      <c r="E632" s="33">
        <f>(1.3*0.05+0.8*1.66+0.7*2.3+1.3*1.34+0.4*2.8)/(0.05+1.66+2.3+1.34+2.8)</f>
        <v>0.71963190184049097</v>
      </c>
      <c r="I632" s="33">
        <f>(0.2*0.05+0.3*1.66+0.3*2.3+0.1*1.34+0.4*2.8)/(0.05+1.66+2.3+1.34+2.8)</f>
        <v>0.30085889570552155</v>
      </c>
      <c r="J632" s="33">
        <f>(4.2*0.05+6.8*1.66+4.2*2.3+2.1*1.34+7.9*2.8)/(0.05+1.66+2.3+1.34+2.8)</f>
        <v>5.6554601226993872</v>
      </c>
      <c r="K632" s="35">
        <f>(45*0.05+33*1.66+45*2.3+24*1.34+43*2.8)/(0.05+1.66+2.3+1.34+2.8)</f>
        <v>38.4159509202454</v>
      </c>
      <c r="L632" s="33">
        <f>(0.7*0.05+0.7*1.66+0.8*2.3+1.3*1.34+0.6*2.8)/(0.05+1.66+2.3+1.34+2.8)</f>
        <v>0.79251533742331293</v>
      </c>
      <c r="M632" s="33"/>
      <c r="S632" s="18">
        <f t="shared" si="10"/>
        <v>5.8650000000000001E-2</v>
      </c>
      <c r="T632" s="3" t="s">
        <v>116</v>
      </c>
      <c r="U632" s="3" t="s">
        <v>1205</v>
      </c>
    </row>
    <row r="633" spans="1:21" x14ac:dyDescent="0.3">
      <c r="A633" s="16" t="s">
        <v>975</v>
      </c>
      <c r="B633" s="16" t="s">
        <v>115</v>
      </c>
      <c r="C633" s="34" t="s">
        <v>1049</v>
      </c>
      <c r="D633" s="3">
        <v>0.64500000000000002</v>
      </c>
      <c r="E633" s="33">
        <v>0.66</v>
      </c>
      <c r="F633" s="3">
        <v>1.33</v>
      </c>
      <c r="J633" s="33"/>
      <c r="K633" s="33"/>
      <c r="L633" s="33"/>
      <c r="M633" s="33">
        <v>0.09</v>
      </c>
      <c r="S633" s="18">
        <f t="shared" si="10"/>
        <v>4.2570000000000004E-3</v>
      </c>
      <c r="T633" s="3" t="s">
        <v>973</v>
      </c>
      <c r="U633" s="3" t="s">
        <v>1265</v>
      </c>
    </row>
    <row r="634" spans="1:21" x14ac:dyDescent="0.3">
      <c r="A634" s="16" t="s">
        <v>976</v>
      </c>
      <c r="B634" s="16" t="s">
        <v>115</v>
      </c>
      <c r="C634" s="34" t="s">
        <v>1049</v>
      </c>
      <c r="D634" s="33">
        <v>1.139</v>
      </c>
      <c r="E634" s="33">
        <v>0.19</v>
      </c>
      <c r="F634" s="3">
        <v>0.91</v>
      </c>
      <c r="J634" s="33"/>
      <c r="K634" s="33"/>
      <c r="L634" s="33"/>
      <c r="M634" s="33">
        <v>0.02</v>
      </c>
      <c r="S634" s="18">
        <f t="shared" si="10"/>
        <v>2.1641E-3</v>
      </c>
      <c r="T634" s="3" t="s">
        <v>973</v>
      </c>
      <c r="U634" s="3" t="s">
        <v>1265</v>
      </c>
    </row>
    <row r="635" spans="1:21" x14ac:dyDescent="0.3">
      <c r="A635" s="16" t="s">
        <v>879</v>
      </c>
      <c r="B635" s="16" t="s">
        <v>115</v>
      </c>
      <c r="C635" s="16" t="s">
        <v>131</v>
      </c>
      <c r="D635" s="3">
        <v>5.4</v>
      </c>
      <c r="E635" s="3">
        <v>0.8</v>
      </c>
      <c r="L635" s="3">
        <v>0.3</v>
      </c>
      <c r="M635" s="33"/>
      <c r="S635" s="18">
        <f t="shared" si="10"/>
        <v>4.3200000000000002E-2</v>
      </c>
      <c r="T635" s="3" t="s">
        <v>880</v>
      </c>
      <c r="U635" s="3" t="s">
        <v>1205</v>
      </c>
    </row>
    <row r="636" spans="1:21" x14ac:dyDescent="0.3">
      <c r="A636" s="16" t="s">
        <v>112</v>
      </c>
      <c r="B636" s="16" t="s">
        <v>115</v>
      </c>
      <c r="C636" s="16" t="s">
        <v>808</v>
      </c>
      <c r="D636" s="3">
        <f>1.05+0.36+1.3</f>
        <v>2.71</v>
      </c>
      <c r="E636" s="33">
        <f>(0.4*1.05+0.7*0.36+0.2*1.3)/(1.05+0.36+1.3)</f>
        <v>0.34391143911439115</v>
      </c>
      <c r="I636" s="33">
        <f>(0.2*1.05+0.2*0.36+0.4*1.3)/(1.05+0.36+1.3)</f>
        <v>0.29594095940959414</v>
      </c>
      <c r="J636" s="33">
        <f>(3.3*1.05+2.9*0.36+3.6*1.3)/(1.05+0.36+1.3)</f>
        <v>3.3907749077490776</v>
      </c>
      <c r="K636" s="35">
        <f>(40*1.05+45*0.36+51*1.3)/(1.05+0.36+1.3)</f>
        <v>45.940959409594093</v>
      </c>
      <c r="L636" s="33">
        <f>(1.3*1.05+0.9*0.36+1.3*1.3)/(1.05+0.36+1.3)</f>
        <v>1.2468634686346864</v>
      </c>
      <c r="M636" s="33"/>
      <c r="S636" s="18">
        <f t="shared" si="10"/>
        <v>9.3200000000000002E-3</v>
      </c>
      <c r="T636" s="3" t="s">
        <v>116</v>
      </c>
      <c r="U636" s="3" t="s">
        <v>1205</v>
      </c>
    </row>
    <row r="637" spans="1:21" x14ac:dyDescent="0.3">
      <c r="A637" s="16" t="s">
        <v>114</v>
      </c>
      <c r="B637" s="16" t="s">
        <v>115</v>
      </c>
      <c r="C637" s="16" t="s">
        <v>808</v>
      </c>
      <c r="D637" s="3">
        <f>0.41+1.06</f>
        <v>1.47</v>
      </c>
      <c r="E637" s="33">
        <f>(0.4*0.41+1.1*1.06)/(0.41+1.06)</f>
        <v>0.90476190476190488</v>
      </c>
      <c r="J637" s="3">
        <f>(0.4*0.41+0.4*1.06)/(0.41+1.06)</f>
        <v>0.40000000000000008</v>
      </c>
      <c r="K637" s="35">
        <f>(13*0.41+12*1.06)/(0.41+1.06)</f>
        <v>12.278911564625851</v>
      </c>
      <c r="L637" s="33">
        <f>(0.5*0.41+0.6*1.06)/(0.41+1.06)</f>
        <v>0.57210884353741498</v>
      </c>
      <c r="S637" s="18">
        <f t="shared" si="10"/>
        <v>1.3300000000000001E-2</v>
      </c>
      <c r="T637" s="3" t="s">
        <v>116</v>
      </c>
      <c r="U637" s="3" t="s">
        <v>1205</v>
      </c>
    </row>
    <row r="638" spans="1:21" x14ac:dyDescent="0.3">
      <c r="A638" s="16" t="s">
        <v>978</v>
      </c>
      <c r="B638" s="16" t="s">
        <v>115</v>
      </c>
      <c r="C638" s="34" t="s">
        <v>1049</v>
      </c>
      <c r="D638" s="3">
        <v>0.21299999999999999</v>
      </c>
      <c r="E638" s="33">
        <v>0.2</v>
      </c>
      <c r="F638" s="3">
        <v>1.4</v>
      </c>
      <c r="J638" s="33"/>
      <c r="K638" s="33"/>
      <c r="L638" s="33"/>
      <c r="M638" s="33"/>
      <c r="S638" s="18">
        <f t="shared" si="10"/>
        <v>4.26E-4</v>
      </c>
      <c r="T638" s="3" t="s">
        <v>973</v>
      </c>
      <c r="U638" s="3" t="s">
        <v>1265</v>
      </c>
    </row>
    <row r="639" spans="1:21" x14ac:dyDescent="0.3">
      <c r="A639" s="16" t="s">
        <v>458</v>
      </c>
      <c r="B639" s="16" t="s">
        <v>115</v>
      </c>
      <c r="C639" s="16" t="s">
        <v>808</v>
      </c>
      <c r="D639" s="3">
        <f>0.31+1.2+0.72</f>
        <v>2.23</v>
      </c>
      <c r="E639" s="33">
        <f>(1.8*0.31+0.6*1.2+0.5*0.72)/(0.31+1.2+0.72)</f>
        <v>0.7345291479820627</v>
      </c>
      <c r="I639" s="33">
        <f>(0.3*0.31+0.3*1.2+0.2*0.72)/(0.31+1.2+0.72)</f>
        <v>0.26771300448430491</v>
      </c>
      <c r="J639" s="33">
        <f>(3.1*0.31+1.8*1.2+1.2*0.72)/(0.31+1.2+0.72)</f>
        <v>1.7869955156950672</v>
      </c>
      <c r="K639" s="35">
        <f>(73*0.31+52*1.2+33*0.72)/(0.31+1.2+0.72)</f>
        <v>48.784753363228695</v>
      </c>
      <c r="L639" s="33">
        <f>(8.1*0.31+2.7*1.2+3.3*0.72)/(0.31+1.2+0.72)</f>
        <v>3.6443946188340801</v>
      </c>
      <c r="M639" s="33"/>
      <c r="S639" s="18">
        <f t="shared" si="10"/>
        <v>1.6379999999999999E-2</v>
      </c>
      <c r="T639" s="3" t="s">
        <v>116</v>
      </c>
      <c r="U639" s="3" t="s">
        <v>1205</v>
      </c>
    </row>
    <row r="640" spans="1:21" x14ac:dyDescent="0.3">
      <c r="A640" s="16" t="s">
        <v>113</v>
      </c>
      <c r="B640" s="16" t="s">
        <v>115</v>
      </c>
      <c r="C640" s="16" t="s">
        <v>808</v>
      </c>
      <c r="D640" s="33">
        <f>0.01+1.51+1.89+0.017+1.59</f>
        <v>5.0170000000000003</v>
      </c>
      <c r="E640" s="33">
        <f>(0.9*0.01+1.3*1.51+0.6*1.89+0.6*0.017+0.4*1.59)/(0.01+1.51+1.89+0.017+1.59)</f>
        <v>0.74789714969105037</v>
      </c>
      <c r="I640" s="33">
        <f>(1.4*0.01+1.51+2.1*1.89+1.8*0.017+1.7*1.59)/(0.01+1.51+1.89+0.017+1.59)</f>
        <v>1.6397448674506676</v>
      </c>
      <c r="J640" s="33">
        <f>(8.6*0.01+4.5*1.51+9.2*1.89+9.1*0.017+7.5*1.59)/(0.01+1.51+1.89+0.017+1.59)</f>
        <v>7.2451066374327269</v>
      </c>
      <c r="K640" s="35">
        <f>(167*0.01+115*1.51+233*1.89+179*0.017+188*1.59)/(0.01+1.51+1.89+0.017+1.59)</f>
        <v>182.90871038469203</v>
      </c>
      <c r="L640" s="33">
        <f>(3.4*0.01+1.9*1.51+3.3*1.89+3.6*0.017+2.4*1.59)/(0.01+1.51+1.89+0.017+1.59)</f>
        <v>2.5946182977875218</v>
      </c>
      <c r="M640" s="33"/>
      <c r="S640" s="18">
        <f t="shared" si="10"/>
        <v>3.7522E-2</v>
      </c>
      <c r="T640" s="3" t="s">
        <v>116</v>
      </c>
      <c r="U640" s="3" t="s">
        <v>1205</v>
      </c>
    </row>
    <row r="641" spans="1:22" x14ac:dyDescent="0.3">
      <c r="A641" s="16" t="s">
        <v>974</v>
      </c>
      <c r="B641" s="16" t="s">
        <v>115</v>
      </c>
      <c r="C641" s="34" t="s">
        <v>1049</v>
      </c>
      <c r="D641" s="3">
        <v>6.37</v>
      </c>
      <c r="E641" s="33">
        <v>0.04</v>
      </c>
      <c r="F641" s="3">
        <v>0.35</v>
      </c>
      <c r="J641" s="33"/>
      <c r="K641" s="33"/>
      <c r="L641" s="33"/>
      <c r="M641" s="33">
        <v>0.01</v>
      </c>
      <c r="S641" s="18">
        <f t="shared" si="10"/>
        <v>2.5480000000000004E-3</v>
      </c>
      <c r="T641" s="3" t="s">
        <v>973</v>
      </c>
      <c r="U641" s="3" t="s">
        <v>1265</v>
      </c>
    </row>
    <row r="642" spans="1:22" x14ac:dyDescent="0.3">
      <c r="A642" s="16" t="s">
        <v>961</v>
      </c>
      <c r="B642" s="16" t="s">
        <v>115</v>
      </c>
      <c r="C642" s="16" t="s">
        <v>1087</v>
      </c>
      <c r="D642" s="33">
        <f>44.7+9+12.5</f>
        <v>66.2</v>
      </c>
      <c r="E642" s="33">
        <f>(44.7*1.16+9*0.55+12.5*0.27)/D642</f>
        <v>0.90901812688821748</v>
      </c>
      <c r="J642" s="33">
        <f>(0.05*44.7+0.22*12.5)/D642</f>
        <v>7.5302114803625378E-2</v>
      </c>
      <c r="K642" s="33">
        <f>(6.16*14.44+3.48*4.69+2.23*2.48+0*0.12+0*4.12+0.33*15.41+0*1.379+0*6.103+0*4.46)/D642</f>
        <v>1.7505634441087614</v>
      </c>
      <c r="L642" s="33">
        <f>(0*14.44+0*4.69+0*2.48+0*0.12+0.02*4.12+0.02*15.41+0*0.024+0*0.321+0*0.24+0*1.379+0*6.103+0*4.46)/D642</f>
        <v>5.9003021148036263E-3</v>
      </c>
      <c r="M642" s="33"/>
      <c r="S642" s="18">
        <f t="shared" si="10"/>
        <v>0.60177000000000003</v>
      </c>
      <c r="T642" s="3" t="s">
        <v>962</v>
      </c>
      <c r="U642" s="3" t="s">
        <v>1217</v>
      </c>
      <c r="V642" s="55" t="s">
        <v>1292</v>
      </c>
    </row>
    <row r="643" spans="1:22" x14ac:dyDescent="0.3">
      <c r="A643" s="16" t="s">
        <v>161</v>
      </c>
      <c r="B643" s="16" t="s">
        <v>115</v>
      </c>
      <c r="C643" s="16" t="s">
        <v>1120</v>
      </c>
      <c r="D643" s="3">
        <f>4.114+0.238+0.988</f>
        <v>5.34</v>
      </c>
      <c r="E643" s="33">
        <f>(2.6*4114+2.3*238+2.2*988)/(4114+238+988)</f>
        <v>2.512621722846442</v>
      </c>
      <c r="S643" s="18">
        <f t="shared" si="10"/>
        <v>0.13417400000000002</v>
      </c>
      <c r="T643" s="3" t="s">
        <v>436</v>
      </c>
      <c r="U643" s="3" t="s">
        <v>1291</v>
      </c>
    </row>
    <row r="644" spans="1:22" x14ac:dyDescent="0.3">
      <c r="A644" s="16" t="s">
        <v>84</v>
      </c>
      <c r="B644" s="16" t="s">
        <v>87</v>
      </c>
      <c r="C644" s="16" t="s">
        <v>1064</v>
      </c>
      <c r="D644" s="33">
        <f>0.976+22.927</f>
        <v>23.902999999999999</v>
      </c>
      <c r="E644" s="33">
        <f>(0.415*0.976+0.673*22.927)/(0.976+22.927)</f>
        <v>0.66246542275028242</v>
      </c>
      <c r="S644" s="18">
        <f t="shared" si="10"/>
        <v>0.15834910999999999</v>
      </c>
      <c r="T644" s="3" t="s">
        <v>80</v>
      </c>
      <c r="U644" s="3" t="s">
        <v>1205</v>
      </c>
    </row>
    <row r="645" spans="1:22" x14ac:dyDescent="0.3">
      <c r="A645" s="16" t="s">
        <v>85</v>
      </c>
      <c r="B645" s="16" t="s">
        <v>87</v>
      </c>
      <c r="C645" s="16" t="s">
        <v>1088</v>
      </c>
      <c r="D645" s="33">
        <f>3.425+41.852+0.061+14.666+5.119</f>
        <v>65.12299999999999</v>
      </c>
      <c r="E645" s="33">
        <f>(0.006*3.425+0.125*41.852+0.08*0.061+0.082*14.666+0.079*5.119)/(3.425+41.852+0.061+14.666+5.119)</f>
        <v>0.10539967446217159</v>
      </c>
      <c r="S645" s="18">
        <f t="shared" si="10"/>
        <v>6.8639430000000001E-2</v>
      </c>
      <c r="T645" s="3" t="s">
        <v>80</v>
      </c>
      <c r="U645" s="3" t="s">
        <v>1205</v>
      </c>
    </row>
    <row r="646" spans="1:22" x14ac:dyDescent="0.3">
      <c r="A646" s="16" t="s">
        <v>570</v>
      </c>
      <c r="B646" s="16" t="s">
        <v>87</v>
      </c>
      <c r="C646" s="16" t="s">
        <v>1049</v>
      </c>
      <c r="D646" s="3">
        <f>37.2+21</f>
        <v>58.2</v>
      </c>
      <c r="E646" s="33">
        <f>(37.2*0.35+21*0.3)/(37.2+21)</f>
        <v>0.33195876288659792</v>
      </c>
      <c r="F646" s="33">
        <f>(37.2*2.63+21*2.6)/(37.2+21)</f>
        <v>2.6191752577319587</v>
      </c>
      <c r="G646" s="33">
        <f>(37.2*0.25+21*0.3)/(37.2+21)</f>
        <v>0.26804123711340205</v>
      </c>
      <c r="H646" s="33">
        <f>(37.2*0.32+21*0.3)/(37.2+21)</f>
        <v>0.31278350515463915</v>
      </c>
      <c r="M646" s="3">
        <f>(37.2*0.2+21*0.2)/(37.2+21)</f>
        <v>0.2</v>
      </c>
      <c r="S646" s="18">
        <f t="shared" si="10"/>
        <v>0.19320000000000001</v>
      </c>
      <c r="T646" s="3" t="s">
        <v>27</v>
      </c>
      <c r="U646" s="3" t="s">
        <v>1205</v>
      </c>
    </row>
    <row r="647" spans="1:22" x14ac:dyDescent="0.3">
      <c r="A647" s="16" t="s">
        <v>186</v>
      </c>
      <c r="B647" s="16" t="s">
        <v>190</v>
      </c>
      <c r="C647" s="16" t="s">
        <v>1048</v>
      </c>
      <c r="D647" s="3">
        <v>164</v>
      </c>
      <c r="E647" s="3">
        <v>0.53</v>
      </c>
      <c r="L647" s="3">
        <v>0.09</v>
      </c>
      <c r="S647" s="18">
        <f t="shared" si="10"/>
        <v>0.86919999999999997</v>
      </c>
      <c r="T647" s="3" t="s">
        <v>191</v>
      </c>
      <c r="U647" s="3" t="s">
        <v>1290</v>
      </c>
    </row>
    <row r="648" spans="1:22" x14ac:dyDescent="0.3">
      <c r="A648" s="16" t="s">
        <v>187</v>
      </c>
      <c r="B648" s="16" t="s">
        <v>190</v>
      </c>
      <c r="C648" s="16" t="s">
        <v>1048</v>
      </c>
      <c r="D648" s="3">
        <v>36</v>
      </c>
      <c r="E648" s="3">
        <v>0.42</v>
      </c>
      <c r="S648" s="18">
        <f t="shared" si="10"/>
        <v>0.1512</v>
      </c>
      <c r="T648" s="3" t="s">
        <v>191</v>
      </c>
      <c r="U648" s="3" t="s">
        <v>1290</v>
      </c>
    </row>
    <row r="649" spans="1:22" x14ac:dyDescent="0.3">
      <c r="A649" s="16" t="s">
        <v>88</v>
      </c>
      <c r="B649" s="16" t="s">
        <v>95</v>
      </c>
      <c r="C649" s="16" t="s">
        <v>808</v>
      </c>
      <c r="D649" s="33">
        <f>8.991+1.752+2.353</f>
        <v>13.096</v>
      </c>
      <c r="E649" s="35">
        <f>(8.991*3.5+1.752*3+2.353*2.9)/(8.991+1.752+2.353)</f>
        <v>3.3253054367745878</v>
      </c>
      <c r="J649" s="35">
        <f>(8.991*4.9+1.752*2.6+2.353*2.4)/(8.991+1.752+2.353)</f>
        <v>4.1431200366524132</v>
      </c>
      <c r="L649" s="3">
        <v>0.5</v>
      </c>
      <c r="S649" s="18">
        <f t="shared" si="10"/>
        <v>0.43548200000000004</v>
      </c>
      <c r="T649" s="3" t="s">
        <v>94</v>
      </c>
      <c r="U649" s="3" t="s">
        <v>1205</v>
      </c>
    </row>
    <row r="650" spans="1:22" x14ac:dyDescent="0.3">
      <c r="A650" s="16" t="s">
        <v>908</v>
      </c>
      <c r="B650" s="16" t="s">
        <v>95</v>
      </c>
      <c r="C650" s="16" t="s">
        <v>808</v>
      </c>
      <c r="D650" s="33">
        <f>24.284+0.218</f>
        <v>24.501999999999999</v>
      </c>
      <c r="E650" s="33">
        <f>(0.31*24.284+0.3*0.218)/D650</f>
        <v>0.30991102767121054</v>
      </c>
      <c r="I650" s="33">
        <f>(1.16*24.284+0.71*0.218)/D650</f>
        <v>1.155996245204473</v>
      </c>
      <c r="J650" s="33">
        <f>(1.5*24.284+1.16*0.218)/D650</f>
        <v>1.4969749408211575</v>
      </c>
      <c r="K650" s="35">
        <f>(33.8*24.284+22.7*0.218)/D650</f>
        <v>33.701240715043667</v>
      </c>
      <c r="L650" s="33">
        <f>(1.09*24.284+0.49*0.218)/D650</f>
        <v>1.0846616602726309</v>
      </c>
      <c r="S650" s="18">
        <f t="shared" si="10"/>
        <v>7.5934399999999999E-2</v>
      </c>
      <c r="T650" s="3" t="s">
        <v>909</v>
      </c>
      <c r="U650" s="3" t="s">
        <v>1236</v>
      </c>
    </row>
    <row r="651" spans="1:22" x14ac:dyDescent="0.3">
      <c r="A651" s="46" t="s">
        <v>874</v>
      </c>
      <c r="B651" s="16" t="s">
        <v>872</v>
      </c>
      <c r="C651" s="46" t="s">
        <v>1048</v>
      </c>
      <c r="D651" s="33">
        <v>1.331</v>
      </c>
      <c r="E651" s="3">
        <v>1.08</v>
      </c>
      <c r="J651" s="3">
        <v>0.66</v>
      </c>
      <c r="S651" s="18">
        <f t="shared" si="10"/>
        <v>1.43748E-2</v>
      </c>
      <c r="T651" s="26" t="s">
        <v>873</v>
      </c>
      <c r="U651" s="3" t="s">
        <v>1236</v>
      </c>
    </row>
    <row r="652" spans="1:22" x14ac:dyDescent="0.3">
      <c r="A652" s="16" t="s">
        <v>218</v>
      </c>
      <c r="B652" s="16" t="s">
        <v>46</v>
      </c>
      <c r="C652" s="16" t="s">
        <v>45</v>
      </c>
      <c r="D652" s="3">
        <v>865</v>
      </c>
      <c r="E652" s="3">
        <v>0.33</v>
      </c>
      <c r="K652" s="3">
        <v>0.9</v>
      </c>
      <c r="L652" s="3">
        <v>0.06</v>
      </c>
      <c r="N652" s="3">
        <v>6.0000000000000001E-3</v>
      </c>
      <c r="S652" s="18">
        <f t="shared" si="10"/>
        <v>2.8544999999999998</v>
      </c>
      <c r="T652" s="3" t="s">
        <v>228</v>
      </c>
      <c r="U652" s="3" t="s">
        <v>1205</v>
      </c>
    </row>
    <row r="653" spans="1:22" x14ac:dyDescent="0.3">
      <c r="A653" s="16" t="s">
        <v>182</v>
      </c>
      <c r="B653" s="16" t="s">
        <v>46</v>
      </c>
      <c r="C653" s="16" t="s">
        <v>808</v>
      </c>
      <c r="D653" s="3">
        <f>16.8+12.1</f>
        <v>28.9</v>
      </c>
      <c r="E653" s="33">
        <f>(4.14*16.8+3.53*12.1)/(16.8+12.1)</f>
        <v>3.8846020761245672</v>
      </c>
      <c r="S653" s="18">
        <f t="shared" si="10"/>
        <v>1.1226499999999999</v>
      </c>
      <c r="T653" s="3" t="s">
        <v>183</v>
      </c>
      <c r="U653" s="3" t="s">
        <v>1267</v>
      </c>
    </row>
    <row r="654" spans="1:22" x14ac:dyDescent="0.3">
      <c r="A654" s="16" t="s">
        <v>877</v>
      </c>
      <c r="B654" s="16" t="s">
        <v>46</v>
      </c>
      <c r="C654" s="16" t="s">
        <v>45</v>
      </c>
      <c r="D654" s="3">
        <v>810</v>
      </c>
      <c r="E654" s="3">
        <v>0.4</v>
      </c>
      <c r="N654" s="3">
        <v>4.0000000000000001E-3</v>
      </c>
      <c r="S654" s="18">
        <f t="shared" si="10"/>
        <v>3.24</v>
      </c>
      <c r="T654" s="3" t="s">
        <v>878</v>
      </c>
      <c r="U654" s="3" t="s">
        <v>1254</v>
      </c>
    </row>
    <row r="655" spans="1:22" x14ac:dyDescent="0.3">
      <c r="A655" s="16" t="s">
        <v>596</v>
      </c>
      <c r="B655" s="16" t="s">
        <v>46</v>
      </c>
      <c r="C655" s="16" t="s">
        <v>808</v>
      </c>
      <c r="D655" s="3">
        <f>17.9+3.4</f>
        <v>21.299999999999997</v>
      </c>
      <c r="E655" s="33">
        <f>(17.9*0.19+3.4*0.44)/(17.9+3.4)</f>
        <v>0.22990610328638503</v>
      </c>
      <c r="J655" s="33">
        <f>(17.9*2.44+3.4*1.96)/(17.9+3.4)</f>
        <v>2.3633802816901408</v>
      </c>
      <c r="K655" s="33">
        <f>(17.9*19.6+3.4*24.33)/(17.9+3.4)</f>
        <v>20.355023474178406</v>
      </c>
      <c r="L655" s="33">
        <f>(17.9*1.57+3.4*1.29)/(17.9+3.4)</f>
        <v>1.525305164319249</v>
      </c>
      <c r="S655" s="18">
        <f t="shared" si="10"/>
        <v>4.897E-2</v>
      </c>
      <c r="T655" s="3" t="s">
        <v>925</v>
      </c>
      <c r="U655" s="3" t="s">
        <v>1206</v>
      </c>
    </row>
    <row r="656" spans="1:22" x14ac:dyDescent="0.3">
      <c r="A656" s="16" t="s">
        <v>211</v>
      </c>
      <c r="B656" s="16" t="s">
        <v>46</v>
      </c>
      <c r="C656" s="16" t="s">
        <v>45</v>
      </c>
      <c r="D656" s="37">
        <f>978+122+176+778+238+36</f>
        <v>2328</v>
      </c>
      <c r="E656" s="33">
        <f>(0.37*978+0.14*122+0.36*176+0.12*778+0.35*238+0.13*36)/D656</f>
        <v>0.26788659793814429</v>
      </c>
      <c r="K656" s="33">
        <f>(1.75*978+0*122+1.7*176+0*778+0.8*238+0.8*36)/D656</f>
        <v>0.95786082474226808</v>
      </c>
      <c r="N656" s="18">
        <f>(0.022*978+0*122+0.029*176+0*778+0.023*238+0*36)/D656</f>
        <v>1.3786082474226802E-2</v>
      </c>
      <c r="S656" s="18">
        <f t="shared" si="10"/>
        <v>6.2363999999999988</v>
      </c>
      <c r="T656" s="3" t="s">
        <v>228</v>
      </c>
      <c r="U656" s="3" t="s">
        <v>1205</v>
      </c>
    </row>
    <row r="657" spans="1:22" x14ac:dyDescent="0.3">
      <c r="A657" s="16" t="s">
        <v>38</v>
      </c>
      <c r="B657" s="16" t="s">
        <v>46</v>
      </c>
      <c r="C657" s="16" t="s">
        <v>45</v>
      </c>
      <c r="D657" s="37">
        <f>86+974</f>
        <v>1060</v>
      </c>
      <c r="E657" s="33">
        <f>(0.14*86+0.44*974)/(86+974)</f>
        <v>0.4156603773584906</v>
      </c>
      <c r="L657" s="33">
        <f>(0.1*86+0.2*974)/(86+974)</f>
        <v>0.19188679245283019</v>
      </c>
      <c r="N657" s="18">
        <f>(0.007*86+0.038*974)/(86+974)</f>
        <v>3.5484905660377354E-2</v>
      </c>
      <c r="S657" s="18">
        <f t="shared" si="10"/>
        <v>4.4060000000000006</v>
      </c>
      <c r="T657" s="3" t="s">
        <v>39</v>
      </c>
      <c r="U657" s="3" t="s">
        <v>1205</v>
      </c>
    </row>
    <row r="658" spans="1:22" x14ac:dyDescent="0.3">
      <c r="A658" s="16" t="s">
        <v>802</v>
      </c>
      <c r="B658" s="16" t="s">
        <v>46</v>
      </c>
      <c r="C658" s="16" t="s">
        <v>1049</v>
      </c>
      <c r="D658" s="35">
        <v>216.81</v>
      </c>
      <c r="E658" s="33">
        <v>0.52209665605829991</v>
      </c>
      <c r="F658" s="33">
        <v>0.16678624602186248</v>
      </c>
      <c r="G658" s="33">
        <v>0.49950372215303723</v>
      </c>
      <c r="H658" s="33">
        <v>0.23365009455283425</v>
      </c>
      <c r="L658" s="33">
        <v>0.1144172870255062</v>
      </c>
      <c r="N658" s="18">
        <v>9.8155205018218717E-3</v>
      </c>
      <c r="S658" s="18">
        <f t="shared" si="10"/>
        <v>1.1319577600000001</v>
      </c>
      <c r="T658" s="3" t="s">
        <v>803</v>
      </c>
      <c r="U658" s="3" t="s">
        <v>1286</v>
      </c>
      <c r="V658" s="55" t="s">
        <v>1287</v>
      </c>
    </row>
    <row r="659" spans="1:22" x14ac:dyDescent="0.3">
      <c r="A659" s="16" t="s">
        <v>930</v>
      </c>
      <c r="B659" s="16" t="s">
        <v>46</v>
      </c>
      <c r="C659" s="16" t="s">
        <v>808</v>
      </c>
      <c r="D659" s="33">
        <f>(3.02+3.12)*0.9072</f>
        <v>5.5702080000000009</v>
      </c>
      <c r="E659" s="33">
        <f>(0.64*3.02+0.39*3.12)/(3.02+3.12)</f>
        <v>0.51296416938110756</v>
      </c>
      <c r="F659" s="33"/>
      <c r="G659" s="33"/>
      <c r="H659" s="33"/>
      <c r="I659" s="33">
        <f>(0.26*3.02+0.39*3.12)/(3.02+3.12)</f>
        <v>0.3260586319218241</v>
      </c>
      <c r="J659" s="33">
        <f>(5.63*3.02+5.58*3.12)/(3.02+3.12)</f>
        <v>5.6045928338762208</v>
      </c>
      <c r="K659" s="35">
        <f>31.1*(1.36*3.02+1.56*3.12)/(3.02+3.12)/0.9072</f>
        <v>50.106538211858513</v>
      </c>
      <c r="L659" s="33">
        <f>31.1*(0.04*3.02+0.04*3.12)/(3.02+3.12)/0.9072</f>
        <v>1.371252204585538</v>
      </c>
      <c r="N659" s="18"/>
      <c r="S659" s="18">
        <f t="shared" si="10"/>
        <v>2.8573171200000008E-2</v>
      </c>
      <c r="T659" s="3" t="s">
        <v>929</v>
      </c>
      <c r="U659" s="3" t="s">
        <v>1289</v>
      </c>
    </row>
    <row r="660" spans="1:22" x14ac:dyDescent="0.3">
      <c r="A660" s="16" t="s">
        <v>240</v>
      </c>
      <c r="B660" s="16" t="s">
        <v>46</v>
      </c>
      <c r="C660" s="16" t="s">
        <v>45</v>
      </c>
      <c r="D660" s="33">
        <f>15.564+49.945+3.038</f>
        <v>68.546999999999997</v>
      </c>
      <c r="E660" s="33">
        <f>(0.52*15.564+0.44*49.945+0.27*3.038)/(15.564+49.945+3.038)</f>
        <v>0.45063007863217941</v>
      </c>
      <c r="S660" s="18">
        <f t="shared" si="10"/>
        <v>0.30889339999999998</v>
      </c>
      <c r="T660" s="3" t="s">
        <v>234</v>
      </c>
      <c r="U660" s="3" t="s">
        <v>1206</v>
      </c>
    </row>
    <row r="661" spans="1:22" s="16" customFormat="1" x14ac:dyDescent="0.3">
      <c r="A661" s="16" t="s">
        <v>181</v>
      </c>
      <c r="B661" s="16" t="s">
        <v>46</v>
      </c>
      <c r="C661" s="16" t="s">
        <v>45</v>
      </c>
      <c r="D661" s="16">
        <v>53.7</v>
      </c>
      <c r="E661" s="16">
        <v>0.5</v>
      </c>
      <c r="S661" s="41">
        <f t="shared" si="10"/>
        <v>0.26850000000000002</v>
      </c>
      <c r="T661" s="16" t="s">
        <v>183</v>
      </c>
      <c r="U661" s="3" t="s">
        <v>1205</v>
      </c>
      <c r="V661" s="57"/>
    </row>
    <row r="662" spans="1:22" x14ac:dyDescent="0.3">
      <c r="A662" s="16" t="s">
        <v>215</v>
      </c>
      <c r="B662" s="16" t="s">
        <v>46</v>
      </c>
      <c r="C662" s="16" t="s">
        <v>45</v>
      </c>
      <c r="D662" s="3">
        <f>112+164+69+58+213+21</f>
        <v>637</v>
      </c>
      <c r="E662" s="33">
        <f>(0.58*112+0.36*164+0.56*69+0.31*58+0.43*213+0.26*21)/D662</f>
        <v>0.43590266875981154</v>
      </c>
      <c r="K662" s="33">
        <f>(0.52*112+0*164+0.5*69+0*58+0*213+0*21)/D662</f>
        <v>0.14558869701726845</v>
      </c>
      <c r="L662" s="33">
        <f>(0.04*112+0*164+0.04*69+0*58+0*213+0*21)/D662</f>
        <v>1.1365777080062795E-2</v>
      </c>
      <c r="N662" s="18">
        <f>(0.01*112+0*164+0.006*69+0*58+0.013*213+0*21)/D662</f>
        <v>6.7551020408163267E-3</v>
      </c>
      <c r="S662" s="18">
        <f t="shared" si="10"/>
        <v>2.7766999999999995</v>
      </c>
      <c r="T662" s="3" t="s">
        <v>228</v>
      </c>
      <c r="U662" s="3" t="s">
        <v>1205</v>
      </c>
    </row>
    <row r="663" spans="1:22" x14ac:dyDescent="0.3">
      <c r="A663" s="16" t="s">
        <v>217</v>
      </c>
      <c r="B663" s="16" t="s">
        <v>46</v>
      </c>
      <c r="C663" s="16" t="s">
        <v>1052</v>
      </c>
      <c r="D663" s="3">
        <f>71+2+44+11</f>
        <v>128</v>
      </c>
      <c r="E663" s="33">
        <f>(0.4*71+0.23*2+0.55*44+0.28*11)/D663</f>
        <v>0.43859375</v>
      </c>
      <c r="S663" s="18">
        <f t="shared" si="10"/>
        <v>0.56140000000000001</v>
      </c>
      <c r="T663" s="3" t="s">
        <v>228</v>
      </c>
      <c r="U663" s="3" t="s">
        <v>1205</v>
      </c>
    </row>
    <row r="664" spans="1:22" x14ac:dyDescent="0.3">
      <c r="A664" s="16" t="s">
        <v>219</v>
      </c>
      <c r="B664" s="16" t="s">
        <v>46</v>
      </c>
      <c r="C664" s="16" t="s">
        <v>45</v>
      </c>
      <c r="D664" s="3">
        <v>229</v>
      </c>
      <c r="E664" s="3">
        <v>0.48</v>
      </c>
      <c r="S664" s="18">
        <f t="shared" si="10"/>
        <v>1.0992</v>
      </c>
      <c r="T664" s="3" t="s">
        <v>228</v>
      </c>
      <c r="U664" s="3" t="s">
        <v>1205</v>
      </c>
    </row>
    <row r="665" spans="1:22" x14ac:dyDescent="0.3">
      <c r="A665" s="16" t="s">
        <v>1106</v>
      </c>
      <c r="B665" s="16" t="s">
        <v>46</v>
      </c>
      <c r="C665" s="16" t="s">
        <v>1060</v>
      </c>
      <c r="D665" s="3">
        <f>19.47+3.27</f>
        <v>22.74</v>
      </c>
      <c r="E665" s="33">
        <f>(1.86*19.47+1.49*3.27)/D665</f>
        <v>1.8067941952506599</v>
      </c>
      <c r="S665" s="18">
        <f t="shared" si="10"/>
        <v>0.41086500000000004</v>
      </c>
      <c r="T665" s="3" t="s">
        <v>1107</v>
      </c>
      <c r="U665" s="3" t="s">
        <v>1236</v>
      </c>
    </row>
    <row r="666" spans="1:22" x14ac:dyDescent="0.3">
      <c r="A666" s="16" t="s">
        <v>1116</v>
      </c>
      <c r="B666" s="16" t="s">
        <v>46</v>
      </c>
      <c r="C666" s="16" t="s">
        <v>1048</v>
      </c>
      <c r="D666" s="3">
        <v>22.13</v>
      </c>
      <c r="E666" s="33">
        <v>0.35</v>
      </c>
      <c r="J666" s="3">
        <v>4.99</v>
      </c>
      <c r="S666" s="18">
        <f t="shared" ref="S666:S732" si="11">D666*E666/100</f>
        <v>7.7454999999999996E-2</v>
      </c>
      <c r="T666" s="3" t="s">
        <v>1207</v>
      </c>
      <c r="U666" s="3" t="s">
        <v>1208</v>
      </c>
    </row>
    <row r="667" spans="1:22" x14ac:dyDescent="0.3">
      <c r="A667" s="16" t="s">
        <v>1172</v>
      </c>
      <c r="B667" s="16" t="s">
        <v>46</v>
      </c>
      <c r="C667" s="16" t="s">
        <v>45</v>
      </c>
      <c r="D667" s="37">
        <f>(2026+3947)*0.9072</f>
        <v>5418.7056000000002</v>
      </c>
      <c r="E667" s="18">
        <f>(0.081*2026+0.07*3947)/(2026+3947)</f>
        <v>7.3731123388581954E-2</v>
      </c>
      <c r="K667" s="35">
        <f>((2.38*2026+2.11*3947)/(2026+3947))*31.1/0.9072</f>
        <v>75.473108374811872</v>
      </c>
      <c r="N667" s="18">
        <f>(95.96/(95.96+2*32.06))*((0.059*2026+0.033*3947)/(2026+3947))</f>
        <v>2.5068422385157666E-2</v>
      </c>
      <c r="S667" s="18">
        <f t="shared" si="11"/>
        <v>3.9952725120000001</v>
      </c>
      <c r="T667" s="3" t="s">
        <v>1175</v>
      </c>
      <c r="U667" s="3" t="s">
        <v>1236</v>
      </c>
    </row>
    <row r="668" spans="1:22" x14ac:dyDescent="0.3">
      <c r="A668" s="16" t="s">
        <v>42</v>
      </c>
      <c r="B668" s="16" t="s">
        <v>46</v>
      </c>
      <c r="C668" s="16" t="s">
        <v>1049</v>
      </c>
      <c r="D668" s="3">
        <f>0.7+4.1</f>
        <v>4.8</v>
      </c>
      <c r="E668" s="33">
        <f>(0.75*0.7+2.68*4.1)/(0.7+4.1)</f>
        <v>2.3985416666666666</v>
      </c>
      <c r="F668" s="33">
        <f>(0.87*0.7+3.15*4.1)/(0.7+4.1)</f>
        <v>2.8174999999999999</v>
      </c>
      <c r="S668" s="18">
        <f t="shared" si="11"/>
        <v>0.11513</v>
      </c>
      <c r="T668" s="3" t="s">
        <v>39</v>
      </c>
      <c r="U668" s="3" t="s">
        <v>1205</v>
      </c>
    </row>
    <row r="669" spans="1:22" x14ac:dyDescent="0.3">
      <c r="A669" s="16" t="s">
        <v>1098</v>
      </c>
      <c r="B669" s="16" t="s">
        <v>46</v>
      </c>
      <c r="C669" s="16" t="s">
        <v>45</v>
      </c>
      <c r="D669" s="33">
        <f>2.33*0.9072</f>
        <v>2.1137760000000001</v>
      </c>
      <c r="E669" s="33">
        <v>0.6</v>
      </c>
      <c r="S669" s="18">
        <f t="shared" si="11"/>
        <v>1.2682656E-2</v>
      </c>
      <c r="T669" s="3" t="s">
        <v>1099</v>
      </c>
      <c r="U669" s="3" t="s">
        <v>1284</v>
      </c>
    </row>
    <row r="670" spans="1:22" x14ac:dyDescent="0.3">
      <c r="A670" s="16" t="s">
        <v>1031</v>
      </c>
      <c r="B670" s="16" t="s">
        <v>46</v>
      </c>
      <c r="C670" s="16" t="s">
        <v>1089</v>
      </c>
      <c r="D670" s="33">
        <f>(0.5093+0.5568+0.1246+0.3648+0.48)*0.9072</f>
        <v>1.8466056</v>
      </c>
      <c r="E670" s="33">
        <f>(0.51*0.5093+0.52*0.5568+0.55*0.1246+0.46*0.3648+0.56*0.48)/(0.5093+0.5568+0.1246+0.3648+0.48)</f>
        <v>0.51801375583394749</v>
      </c>
      <c r="K670" s="35">
        <f>31.1*(15.74*0.5093+17.67*0.5568+15.02*0.1246+16.85*0.3648+18.68*0.48)/(0.5093+0.5568+0.1246+0.3648+0.48)/0.9072</f>
        <v>586.76205195088767</v>
      </c>
      <c r="S670" s="18">
        <f t="shared" si="11"/>
        <v>9.5656710240000012E-3</v>
      </c>
      <c r="T670" s="3" t="s">
        <v>1030</v>
      </c>
      <c r="U670" s="3" t="s">
        <v>1283</v>
      </c>
    </row>
    <row r="671" spans="1:22" x14ac:dyDescent="0.3">
      <c r="A671" s="16" t="s">
        <v>952</v>
      </c>
      <c r="B671" s="16" t="s">
        <v>46</v>
      </c>
      <c r="C671" s="16" t="s">
        <v>1080</v>
      </c>
      <c r="D671" s="35">
        <f>1.2*0.9072</f>
        <v>1.0886400000000001</v>
      </c>
      <c r="E671" s="33">
        <v>0.40600000000000003</v>
      </c>
      <c r="L671" s="33">
        <f>31.1*260000/(D671*1000000)</f>
        <v>7.4276161081716641</v>
      </c>
      <c r="S671" s="18">
        <f t="shared" si="11"/>
        <v>4.4198784000000005E-3</v>
      </c>
      <c r="T671" s="3" t="s">
        <v>953</v>
      </c>
      <c r="U671" s="3" t="s">
        <v>1288</v>
      </c>
    </row>
    <row r="672" spans="1:22" x14ac:dyDescent="0.3">
      <c r="A672" s="16" t="s">
        <v>1100</v>
      </c>
      <c r="B672" s="16" t="s">
        <v>46</v>
      </c>
      <c r="C672" s="16" t="s">
        <v>45</v>
      </c>
      <c r="D672" s="35">
        <f>(553.7+200.2)*0.9072</f>
        <v>683.93808000000013</v>
      </c>
      <c r="E672" s="33">
        <f>(0.32*553.7+0.3*200.2)/(553.7+200.2)</f>
        <v>0.31468895078922932</v>
      </c>
      <c r="L672" s="33"/>
      <c r="S672" s="18">
        <f t="shared" si="11"/>
        <v>2.1522775680000006</v>
      </c>
      <c r="T672" s="3" t="s">
        <v>1101</v>
      </c>
      <c r="U672" s="3" t="s">
        <v>1283</v>
      </c>
    </row>
    <row r="673" spans="1:22" x14ac:dyDescent="0.3">
      <c r="A673" s="16" t="s">
        <v>751</v>
      </c>
      <c r="B673" s="16" t="s">
        <v>46</v>
      </c>
      <c r="C673" s="16" t="s">
        <v>1060</v>
      </c>
      <c r="D673" s="33">
        <f>(0.0692+0.0107+0.0523+0.0917+0.0098+0.0139+0.0368+0.0173+0.0046+0.1759+0.0083+0.0503+0.2995+0.1378+0.0977+0.7714+0.5987+0.8389)*0.9072</f>
        <v>2.9799705599999999</v>
      </c>
      <c r="E673" s="18">
        <f>(0.04*0.0692+0.07*0.0107+0.03*0.0523+0.51*0.0917+2.3*0.0098+0.366*0.0139+0.35*0.0368+0.15*0.0173+0.5*0.0046+0.58*0.1759+0.63*0.0083+0.52*0.0503+0.55*0.2995+0.46*0.1378+0.47*0.0977+0.798*0.7714+0.748*0.5987+0.919*0.8389)/(0.0692+0.0107+0.0523+0.0917+0.0098+0.0139+0.0368+0.0173+0.0046+0.1759+0.0083+0.0503+0.2995+0.1378+0.0977+0.7714+0.5987+0.8389)</f>
        <v>0.712082409887969</v>
      </c>
      <c r="L673" s="18">
        <f>31.1*(0.005*0.0692+0*0.0107+0.006*0.0523+0.01*0.0917+0.012*0.0098+0.008*0.0139+0.017*0.0368+0.019*0.0173+0.013*0.0046+0.016*0.1759+0.01*0.0083+0.015*0.0503+0.014*0.2995+0.013*0.1378+0.015*0.0977+0.019*0.7714+0.018*0.5987+0.019*0.8389)/(0.0692+0.0107+0.0523+0.0917+0.0098+0.0139+0.0368+0.0173+0.0046+0.1759+0.0083+0.0503+0.2995+0.1378+0.0977+0.7714+0.5987+0.8389)/0.9072</f>
        <v>0.57706515731484276</v>
      </c>
      <c r="M673" s="42">
        <f>(0.434*0.0692+0.32*0.0107+0.494*0.0523+0.63*0.0917+0.276*0.0098+0.366*0.0139+0.915*0.0368+1.345*0.0173+0.435*0.0046+0.413*0.1759+0.388*0.0083+0.385*0.0503+0.584*0.2995+0.635*0.1378+0.752*0.0977+0.73*0.7714+0.63*0.5987+0.6*0.8389)/(0.0692+0.0107+0.0523+0.0917+0.0098+0.0139+0.0368+0.0173+0.0046+0.1759+0.0083+0.0503+0.2995+0.1378+0.0977+0.7714+0.5987+0.8389)</f>
        <v>0.62669103141743787</v>
      </c>
      <c r="S673" s="18">
        <f t="shared" si="11"/>
        <v>2.1219846177600005E-2</v>
      </c>
      <c r="T673" s="3" t="s">
        <v>752</v>
      </c>
      <c r="U673" s="3" t="s">
        <v>1206</v>
      </c>
    </row>
    <row r="674" spans="1:22" x14ac:dyDescent="0.3">
      <c r="A674" s="16" t="s">
        <v>1008</v>
      </c>
      <c r="B674" s="16" t="s">
        <v>46</v>
      </c>
      <c r="C674" s="16" t="s">
        <v>1051</v>
      </c>
      <c r="D674" s="35">
        <f>111.3*0.9072</f>
        <v>100.97136</v>
      </c>
      <c r="E674" s="18">
        <v>0.28999999999999998</v>
      </c>
      <c r="L674" s="18"/>
      <c r="M674" s="42"/>
      <c r="S674" s="18">
        <f t="shared" si="11"/>
        <v>0.29281694399999997</v>
      </c>
      <c r="T674" s="3" t="s">
        <v>1009</v>
      </c>
      <c r="U674" s="3" t="s">
        <v>1280</v>
      </c>
    </row>
    <row r="675" spans="1:22" x14ac:dyDescent="0.3">
      <c r="A675" s="16" t="s">
        <v>1002</v>
      </c>
      <c r="B675" s="16" t="s">
        <v>46</v>
      </c>
      <c r="C675" s="16" t="s">
        <v>1060</v>
      </c>
      <c r="D675" s="33">
        <f>(3.931+37.871)*0.9072</f>
        <v>37.922774400000002</v>
      </c>
      <c r="E675" s="33">
        <f>(0.309*3.931+0.44*37.871)/D675</f>
        <v>0.47142961671074363</v>
      </c>
      <c r="L675" s="18"/>
      <c r="M675" s="42"/>
      <c r="S675" s="18">
        <f t="shared" si="11"/>
        <v>0.17877919000000003</v>
      </c>
      <c r="T675" s="3" t="s">
        <v>1003</v>
      </c>
      <c r="U675" s="3" t="s">
        <v>1280</v>
      </c>
    </row>
    <row r="676" spans="1:22" x14ac:dyDescent="0.3">
      <c r="A676" s="16" t="s">
        <v>220</v>
      </c>
      <c r="B676" s="16" t="s">
        <v>46</v>
      </c>
      <c r="C676" s="16" t="s">
        <v>45</v>
      </c>
      <c r="D676" s="3">
        <v>716</v>
      </c>
      <c r="E676" s="3">
        <v>0.44</v>
      </c>
      <c r="S676" s="18">
        <f t="shared" si="11"/>
        <v>3.1504000000000003</v>
      </c>
      <c r="T676" s="3" t="s">
        <v>228</v>
      </c>
      <c r="U676" s="3" t="s">
        <v>1205</v>
      </c>
    </row>
    <row r="677" spans="1:22" x14ac:dyDescent="0.3">
      <c r="A677" s="16" t="s">
        <v>804</v>
      </c>
      <c r="B677" s="16" t="s">
        <v>46</v>
      </c>
      <c r="C677" s="16" t="s">
        <v>1049</v>
      </c>
      <c r="D677" s="3">
        <v>119.9</v>
      </c>
      <c r="E677" s="3">
        <v>0.67</v>
      </c>
      <c r="F677" s="33">
        <v>0.25</v>
      </c>
      <c r="G677" s="3">
        <v>0.25</v>
      </c>
      <c r="H677" s="3">
        <v>0.09</v>
      </c>
      <c r="L677" s="33">
        <v>0.04</v>
      </c>
      <c r="N677" s="3">
        <v>0.02</v>
      </c>
      <c r="S677" s="18">
        <f t="shared" si="11"/>
        <v>0.8033300000000001</v>
      </c>
      <c r="T677" s="3" t="s">
        <v>803</v>
      </c>
      <c r="U677" s="3" t="s">
        <v>1254</v>
      </c>
      <c r="V677" s="55" t="s">
        <v>1285</v>
      </c>
    </row>
    <row r="678" spans="1:22" x14ac:dyDescent="0.3">
      <c r="A678" s="16" t="s">
        <v>917</v>
      </c>
      <c r="B678" s="16" t="s">
        <v>46</v>
      </c>
      <c r="C678" s="16" t="s">
        <v>1049</v>
      </c>
      <c r="D678" s="37">
        <v>1200</v>
      </c>
      <c r="E678" s="3">
        <v>0.43</v>
      </c>
      <c r="F678" s="33">
        <v>0.09</v>
      </c>
      <c r="L678" s="33"/>
      <c r="S678" s="18">
        <f t="shared" si="11"/>
        <v>5.16</v>
      </c>
      <c r="T678" s="3" t="s">
        <v>108</v>
      </c>
      <c r="U678" s="3" t="s">
        <v>1206</v>
      </c>
    </row>
    <row r="679" spans="1:22" x14ac:dyDescent="0.3">
      <c r="A679" s="16" t="s">
        <v>216</v>
      </c>
      <c r="B679" s="16" t="s">
        <v>46</v>
      </c>
      <c r="C679" s="16" t="s">
        <v>45</v>
      </c>
      <c r="D679" s="3">
        <f>66+13+61</f>
        <v>140</v>
      </c>
      <c r="E679" s="33">
        <f>(0.45*66+0.36*13+0.43*61)/D679</f>
        <v>0.43292857142857144</v>
      </c>
      <c r="S679" s="18">
        <f t="shared" si="11"/>
        <v>0.60609999999999997</v>
      </c>
      <c r="T679" s="3" t="s">
        <v>228</v>
      </c>
      <c r="U679" s="3" t="s">
        <v>1205</v>
      </c>
    </row>
    <row r="680" spans="1:22" x14ac:dyDescent="0.3">
      <c r="A680" s="16" t="s">
        <v>164</v>
      </c>
      <c r="B680" s="16" t="s">
        <v>46</v>
      </c>
      <c r="C680" s="16" t="s">
        <v>45</v>
      </c>
      <c r="D680" s="35">
        <f>(333.5+84.6+74.4)*0.9072</f>
        <v>446.79599999999999</v>
      </c>
      <c r="E680" s="33">
        <f>(0.15*333.5+0.11*84.6+0.07*74.4)/(333.5+84.6+74.4)</f>
        <v>0.13104365482233502</v>
      </c>
      <c r="K680" s="33">
        <f>31.1*(0.079*333.5+0.085*84.6+0*74.4)/(333.5+84.6+74.4)/0.9072</f>
        <v>2.3344350665628162</v>
      </c>
      <c r="N680" s="18">
        <f>(0.041*333.5+0.036*84.6+0*74.4)/(333.5+84.6+74.4)</f>
        <v>3.3947411167512695E-2</v>
      </c>
      <c r="S680" s="18">
        <f t="shared" si="11"/>
        <v>0.58549780799999995</v>
      </c>
      <c r="T680" s="3" t="s">
        <v>165</v>
      </c>
      <c r="U680" s="3" t="s">
        <v>1284</v>
      </c>
    </row>
    <row r="681" spans="1:22" x14ac:dyDescent="0.3">
      <c r="A681" s="16" t="s">
        <v>69</v>
      </c>
      <c r="B681" s="16" t="s">
        <v>46</v>
      </c>
      <c r="C681" s="16" t="s">
        <v>45</v>
      </c>
      <c r="D681" s="3">
        <v>361.9</v>
      </c>
      <c r="E681" s="3">
        <v>0.43</v>
      </c>
      <c r="S681" s="18">
        <f t="shared" si="11"/>
        <v>1.5561699999999998</v>
      </c>
      <c r="T681" s="3" t="s">
        <v>66</v>
      </c>
      <c r="U681" s="3" t="s">
        <v>1205</v>
      </c>
    </row>
    <row r="682" spans="1:22" x14ac:dyDescent="0.3">
      <c r="A682" s="16" t="s">
        <v>1006</v>
      </c>
      <c r="B682" s="16" t="s">
        <v>46</v>
      </c>
      <c r="C682" s="16" t="s">
        <v>1060</v>
      </c>
      <c r="D682" s="35">
        <f>(4.026+77.48+35.08)*0.9072</f>
        <v>105.7668192</v>
      </c>
      <c r="E682" s="33">
        <f>(0.74*4.026+0.75*77.48+0.71*35.08)/(4.026+77.48+35.08)</f>
        <v>0.73761892508534466</v>
      </c>
      <c r="K682" s="35">
        <f>31.1*(1.85*4.026+2.05*77.48+1.85*35.08)/(4.026+77.48+35.08)/0.9072</f>
        <v>67.976905842319226</v>
      </c>
      <c r="S682" s="18">
        <f t="shared" si="11"/>
        <v>0.78015607487999983</v>
      </c>
      <c r="T682" s="3" t="s">
        <v>1007</v>
      </c>
      <c r="U682" s="3" t="s">
        <v>1283</v>
      </c>
    </row>
    <row r="683" spans="1:22" x14ac:dyDescent="0.3">
      <c r="A683" s="16" t="s">
        <v>968</v>
      </c>
      <c r="B683" s="16" t="s">
        <v>46</v>
      </c>
      <c r="C683" s="16" t="s">
        <v>1090</v>
      </c>
      <c r="D683" s="35">
        <f>(161.57+88.35)*0.9072</f>
        <v>226.72742399999998</v>
      </c>
      <c r="E683" s="18">
        <f>(0.324*161.57+0.282*88.35)/(161.57+88.35)</f>
        <v>0.30915244878361076</v>
      </c>
      <c r="K683" s="33">
        <f>((0.112*161.57+0.089*88.35)/(161.57+88.35))*31.1/0.9072</f>
        <v>3.560771673566935</v>
      </c>
      <c r="L683" s="18">
        <f>((0.003*161.57+0.003*88.35)/(161.57+88.35))*31.1/0.9072</f>
        <v>0.10284391534391535</v>
      </c>
      <c r="S683" s="18">
        <f t="shared" si="11"/>
        <v>0.70093338336</v>
      </c>
      <c r="T683" s="3" t="s">
        <v>967</v>
      </c>
      <c r="U683" s="3" t="s">
        <v>1282</v>
      </c>
    </row>
    <row r="684" spans="1:22" x14ac:dyDescent="0.3">
      <c r="A684" s="16" t="s">
        <v>210</v>
      </c>
      <c r="B684" s="16" t="s">
        <v>46</v>
      </c>
      <c r="C684" s="16" t="s">
        <v>45</v>
      </c>
      <c r="D684" s="37">
        <f>485+658+3477+6+6+24+400+2014</f>
        <v>7070</v>
      </c>
      <c r="E684" s="33">
        <f>(0.46*485+0.58*658+0.18*3477+0.47*6+0.49*6+0.16*24+0.39*400+0.25*2014)/D684</f>
        <v>0.26869872701555869</v>
      </c>
      <c r="N684" s="38">
        <f>(0.024*485+0*658+0*3477+0.024*6+0*6+0*24+0.013*400+0*2014)/D684</f>
        <v>2.4022630834512025E-3</v>
      </c>
      <c r="S684" s="18">
        <f t="shared" si="11"/>
        <v>18.997</v>
      </c>
      <c r="T684" s="3" t="s">
        <v>228</v>
      </c>
      <c r="U684" s="3" t="s">
        <v>1205</v>
      </c>
    </row>
    <row r="685" spans="1:22" x14ac:dyDescent="0.3">
      <c r="A685" s="16" t="s">
        <v>965</v>
      </c>
      <c r="B685" s="16" t="s">
        <v>46</v>
      </c>
      <c r="C685" s="16" t="s">
        <v>1049</v>
      </c>
      <c r="D685" s="35">
        <f>145*0.9072</f>
        <v>131.54400000000001</v>
      </c>
      <c r="E685" s="3">
        <v>0.28999999999999998</v>
      </c>
      <c r="F685" s="3">
        <v>0.31</v>
      </c>
      <c r="S685" s="18">
        <f t="shared" si="11"/>
        <v>0.38147759999999997</v>
      </c>
      <c r="T685" s="3" t="s">
        <v>967</v>
      </c>
      <c r="U685" s="3" t="s">
        <v>1265</v>
      </c>
    </row>
    <row r="686" spans="1:22" x14ac:dyDescent="0.3">
      <c r="A686" s="16" t="s">
        <v>918</v>
      </c>
      <c r="B686" s="16" t="s">
        <v>46</v>
      </c>
      <c r="C686" s="16" t="s">
        <v>1049</v>
      </c>
      <c r="D686" s="35">
        <f>550.038+273.835</f>
        <v>823.87300000000005</v>
      </c>
      <c r="E686" s="33">
        <f>(0.639*550.038+0.632*273.835)/D686</f>
        <v>0.63667337320193762</v>
      </c>
      <c r="F686" s="33">
        <f>(0.2*550.038+0.207*273.835)/D686</f>
        <v>0.20232662679806229</v>
      </c>
      <c r="G686" s="33">
        <f>(0.392*550.038+0.409*273.835)/D686</f>
        <v>0.39765037936672276</v>
      </c>
      <c r="H686" s="33">
        <f>(0.176*550.038+0.185*273.835)/D686</f>
        <v>0.1789913773117944</v>
      </c>
      <c r="L686" s="18">
        <f>(0.092*550.038+0.091*273.835)/D686</f>
        <v>9.1667624743133946E-2</v>
      </c>
      <c r="M686" s="3">
        <f>(0.01*550.038+0.01*273.835)/D686</f>
        <v>0.01</v>
      </c>
      <c r="S686" s="18">
        <f t="shared" si="11"/>
        <v>5.2453800199999998</v>
      </c>
      <c r="T686" s="3" t="s">
        <v>919</v>
      </c>
      <c r="U686" s="3" t="s">
        <v>1205</v>
      </c>
    </row>
    <row r="687" spans="1:22" x14ac:dyDescent="0.3">
      <c r="A687" s="16" t="s">
        <v>763</v>
      </c>
      <c r="B687" s="16" t="s">
        <v>46</v>
      </c>
      <c r="C687" s="16" t="s">
        <v>1049</v>
      </c>
      <c r="D687" s="36">
        <v>1029.3998399999998</v>
      </c>
      <c r="E687" s="18">
        <v>0.2376462501101613</v>
      </c>
      <c r="F687" s="18">
        <v>6.6789371640081086E-2</v>
      </c>
      <c r="G687" s="18">
        <v>0.20430792279897772</v>
      </c>
      <c r="H687" s="18">
        <v>5.8083193795716935E-2</v>
      </c>
      <c r="L687" s="18">
        <v>2.9898651625980443E-2</v>
      </c>
      <c r="M687" s="38">
        <v>6.2941394201110439E-3</v>
      </c>
      <c r="S687" s="18">
        <f t="shared" si="11"/>
        <v>2.4463301183999997</v>
      </c>
      <c r="T687" s="3" t="s">
        <v>764</v>
      </c>
      <c r="U687" s="3" t="s">
        <v>1280</v>
      </c>
    </row>
    <row r="688" spans="1:22" x14ac:dyDescent="0.3">
      <c r="A688" s="16" t="s">
        <v>966</v>
      </c>
      <c r="B688" s="16" t="s">
        <v>46</v>
      </c>
      <c r="C688" s="16" t="s">
        <v>1049</v>
      </c>
      <c r="D688" s="33">
        <f>60*0.9072</f>
        <v>54.432000000000002</v>
      </c>
      <c r="E688" s="3">
        <v>0.52</v>
      </c>
      <c r="F688" s="3">
        <v>0.59</v>
      </c>
      <c r="S688" s="18">
        <f t="shared" si="11"/>
        <v>0.28304640000000003</v>
      </c>
      <c r="T688" s="3" t="s">
        <v>967</v>
      </c>
      <c r="U688" s="3" t="s">
        <v>1265</v>
      </c>
    </row>
    <row r="689" spans="1:22" x14ac:dyDescent="0.3">
      <c r="A689" s="16" t="s">
        <v>1037</v>
      </c>
      <c r="B689" s="16" t="s">
        <v>46</v>
      </c>
      <c r="C689" s="16" t="s">
        <v>1048</v>
      </c>
      <c r="D689" s="33">
        <f>8.2*0.9072</f>
        <v>7.4390399999999994</v>
      </c>
      <c r="E689" s="3">
        <v>2.34</v>
      </c>
      <c r="S689" s="18">
        <f t="shared" si="11"/>
        <v>0.17407353599999997</v>
      </c>
      <c r="T689" s="3" t="s">
        <v>1038</v>
      </c>
      <c r="U689" s="3" t="s">
        <v>1206</v>
      </c>
    </row>
    <row r="690" spans="1:22" x14ac:dyDescent="0.3">
      <c r="A690" s="16" t="s">
        <v>178</v>
      </c>
      <c r="B690" s="16" t="s">
        <v>46</v>
      </c>
      <c r="C690" s="16" t="s">
        <v>45</v>
      </c>
      <c r="D690" s="37">
        <f>5942+4835</f>
        <v>10777</v>
      </c>
      <c r="E690" s="33">
        <f>(0.42*5942+0.24*4835)/(5942+4835)</f>
        <v>0.33924468776097244</v>
      </c>
      <c r="L690" s="33">
        <f>(0.35*5942+0.26*4835)/(5942+4835)</f>
        <v>0.30962234388048626</v>
      </c>
      <c r="S690" s="18">
        <f t="shared" si="11"/>
        <v>36.560400000000001</v>
      </c>
      <c r="T690" s="3" t="s">
        <v>179</v>
      </c>
      <c r="U690" s="3" t="s">
        <v>1281</v>
      </c>
    </row>
    <row r="691" spans="1:22" x14ac:dyDescent="0.3">
      <c r="A691" s="16" t="s">
        <v>1225</v>
      </c>
      <c r="B691" s="16" t="s">
        <v>46</v>
      </c>
      <c r="C691" s="16" t="s">
        <v>45</v>
      </c>
      <c r="D691" s="3">
        <v>931</v>
      </c>
      <c r="E691" s="33">
        <v>0.22216970998925886</v>
      </c>
      <c r="S691" s="18">
        <f t="shared" si="11"/>
        <v>2.0684</v>
      </c>
      <c r="T691" s="3" t="s">
        <v>44</v>
      </c>
      <c r="U691" s="3" t="s">
        <v>1205</v>
      </c>
    </row>
    <row r="692" spans="1:22" x14ac:dyDescent="0.3">
      <c r="A692" s="16" t="s">
        <v>70</v>
      </c>
      <c r="B692" s="16" t="s">
        <v>46</v>
      </c>
      <c r="C692" s="16" t="s">
        <v>45</v>
      </c>
      <c r="D692" s="3">
        <f>555.6+239.3</f>
        <v>794.90000000000009</v>
      </c>
      <c r="E692" s="33">
        <f>(3+0.67)*100/794.9</f>
        <v>0.46169329475405713</v>
      </c>
      <c r="S692" s="18">
        <f t="shared" si="11"/>
        <v>3.6700000000000004</v>
      </c>
      <c r="T692" s="3" t="s">
        <v>66</v>
      </c>
      <c r="U692" s="3" t="s">
        <v>1205</v>
      </c>
    </row>
    <row r="693" spans="1:22" x14ac:dyDescent="0.3">
      <c r="A693" s="16" t="s">
        <v>196</v>
      </c>
      <c r="B693" s="16" t="s">
        <v>46</v>
      </c>
      <c r="C693" s="16" t="s">
        <v>45</v>
      </c>
      <c r="D693" s="37">
        <v>1624</v>
      </c>
      <c r="E693" s="3">
        <v>1.47</v>
      </c>
      <c r="N693" s="3">
        <v>3.6999999999999998E-2</v>
      </c>
      <c r="S693" s="18">
        <f t="shared" si="11"/>
        <v>23.872799999999998</v>
      </c>
      <c r="T693" s="3" t="s">
        <v>811</v>
      </c>
      <c r="U693" s="3" t="s">
        <v>1205</v>
      </c>
    </row>
    <row r="694" spans="1:22" x14ac:dyDescent="0.3">
      <c r="A694" s="16" t="s">
        <v>238</v>
      </c>
      <c r="B694" s="16" t="s">
        <v>46</v>
      </c>
      <c r="C694" s="16" t="s">
        <v>239</v>
      </c>
      <c r="D694" s="36">
        <f>1090.629+454.686+204.028</f>
        <v>1749.3429999999998</v>
      </c>
      <c r="E694" s="33">
        <f>(0.3*1090.629+0.19*454.686+0.16*204.028)/(1090.629+454.686+204.028)</f>
        <v>0.25508063312912332</v>
      </c>
      <c r="L694" s="33">
        <f>(0.151*1090.629+0.113*454.686+0.099*204.028)/(1090.629+454.686+204.028)</f>
        <v>0.13505828702547185</v>
      </c>
      <c r="S694" s="18">
        <f t="shared" si="11"/>
        <v>4.4622351999999994</v>
      </c>
      <c r="T694" s="3" t="s">
        <v>234</v>
      </c>
      <c r="U694" s="3" t="s">
        <v>1206</v>
      </c>
    </row>
    <row r="695" spans="1:22" x14ac:dyDescent="0.3">
      <c r="A695" s="16" t="s">
        <v>998</v>
      </c>
      <c r="B695" s="16" t="s">
        <v>46</v>
      </c>
      <c r="C695" s="16" t="s">
        <v>45</v>
      </c>
      <c r="D695" s="35">
        <f>(21.6+4.9+132.3+81.7+34.3+464.5+30.4+21.1+208.8)*0.9072</f>
        <v>906.83711999999991</v>
      </c>
      <c r="E695" s="33">
        <f>(0.2*21.6+0.65*4.9+0.5*132.3+0.2*81.7+0.49*34.3+0.44*464.5+0.24*30.4+0.35*21.1+0.38*208.8)/(21.6+4.9+132.3+81.7+34.3+464.5+30.4+21.1+208.8)</f>
        <v>0.40536914765906368</v>
      </c>
      <c r="K695" s="33">
        <f>31.1*(0*21.6+0.08*4.9+0.14*132.3+0*81.7+0.05*34.3+0.11*464.5+0*30.4+0.02*21.1+0.06*208.8)/(21.6+4.9+132.3+81.7+34.3+464.5+30.4+21.1+208.8)/0.9072</f>
        <v>2.9038967879920934</v>
      </c>
      <c r="N695" s="18">
        <f>(0*21.6+0.007*4.9+0.016*132.3+0*81.7+0.005*34.3+0.014*464.5+0*30.4+0.004*21.1+0.007*208.8)/(21.6+4.9+132.3+81.7+34.3+464.5+30.4+21.1+208.8)</f>
        <v>1.037575030012005E-2</v>
      </c>
      <c r="S695" s="18">
        <f t="shared" si="11"/>
        <v>3.6760379040000002</v>
      </c>
      <c r="T695" s="3" t="s">
        <v>999</v>
      </c>
      <c r="U695" s="3" t="s">
        <v>1281</v>
      </c>
    </row>
    <row r="696" spans="1:22" x14ac:dyDescent="0.3">
      <c r="A696" s="16" t="s">
        <v>212</v>
      </c>
      <c r="B696" s="16" t="s">
        <v>46</v>
      </c>
      <c r="C696" s="16" t="s">
        <v>45</v>
      </c>
      <c r="D696" s="3">
        <f>132+82+655+100</f>
        <v>969</v>
      </c>
      <c r="E696" s="33">
        <f>(0.44*132+0.44*82+0.47*655+0.27*100)/D696</f>
        <v>0.44273477812177503</v>
      </c>
      <c r="K696" s="33">
        <f>(0*132+0*82+1.5*655+1.5*100)/D696</f>
        <v>1.1687306501547987</v>
      </c>
      <c r="L696" s="33">
        <f>(0*132+0*82+0.08*655+0*100)/D696</f>
        <v>5.4076367389060888E-2</v>
      </c>
      <c r="N696" s="18">
        <f>(0*132+0*82+0.004*655+0*100)/D696</f>
        <v>2.7038183694530443E-3</v>
      </c>
      <c r="S696" s="18">
        <f t="shared" si="11"/>
        <v>4.2900999999999998</v>
      </c>
      <c r="T696" s="3" t="s">
        <v>228</v>
      </c>
      <c r="U696" s="3" t="s">
        <v>1205</v>
      </c>
    </row>
    <row r="697" spans="1:22" x14ac:dyDescent="0.3">
      <c r="A697" s="16" t="s">
        <v>221</v>
      </c>
      <c r="B697" s="16" t="s">
        <v>46</v>
      </c>
      <c r="C697" s="16" t="s">
        <v>45</v>
      </c>
      <c r="D697" s="3">
        <v>181</v>
      </c>
      <c r="E697" s="3">
        <v>0.28999999999999998</v>
      </c>
      <c r="S697" s="18">
        <f t="shared" si="11"/>
        <v>0.52489999999999992</v>
      </c>
      <c r="T697" s="3" t="s">
        <v>228</v>
      </c>
      <c r="U697" s="3" t="s">
        <v>1205</v>
      </c>
    </row>
    <row r="698" spans="1:22" x14ac:dyDescent="0.3">
      <c r="A698" s="16" t="s">
        <v>213</v>
      </c>
      <c r="B698" s="16" t="s">
        <v>46</v>
      </c>
      <c r="C698" s="16" t="s">
        <v>45</v>
      </c>
      <c r="D698" s="37">
        <f>2385+11+359+6+1211+17</f>
        <v>3989</v>
      </c>
      <c r="E698" s="33">
        <f>(0.24*2385+0.18*11+0.22*359+0.17*6+0.19*1211+0.15*17)/D698</f>
        <v>0.22236650789671597</v>
      </c>
      <c r="K698" s="33">
        <f>(1.43*2385+0*11+1.97*359+0*6+1.1*1211+1.1*17)/D698</f>
        <v>1.3709150162948107</v>
      </c>
      <c r="N698" s="18">
        <f>(0.026*2385+0*11+0.021*359+0*6+0.022*1211+0*17)/D698</f>
        <v>2.4114063675106542E-2</v>
      </c>
      <c r="S698" s="18">
        <f t="shared" si="11"/>
        <v>8.8702000000000005</v>
      </c>
      <c r="T698" s="3" t="s">
        <v>228</v>
      </c>
      <c r="U698" s="3" t="s">
        <v>1205</v>
      </c>
    </row>
    <row r="699" spans="1:22" x14ac:dyDescent="0.3">
      <c r="A699" s="16" t="s">
        <v>71</v>
      </c>
      <c r="B699" s="16" t="s">
        <v>46</v>
      </c>
      <c r="C699" s="16" t="s">
        <v>45</v>
      </c>
      <c r="D699" s="3">
        <v>156.5</v>
      </c>
      <c r="E699" s="3">
        <v>0.33</v>
      </c>
      <c r="S699" s="18">
        <f t="shared" si="11"/>
        <v>0.51645000000000008</v>
      </c>
      <c r="T699" s="3" t="s">
        <v>66</v>
      </c>
      <c r="U699" s="3" t="s">
        <v>1205</v>
      </c>
    </row>
    <row r="700" spans="1:22" x14ac:dyDescent="0.3">
      <c r="A700" s="16" t="s">
        <v>805</v>
      </c>
      <c r="B700" s="16" t="s">
        <v>46</v>
      </c>
      <c r="C700" s="16" t="s">
        <v>1049</v>
      </c>
      <c r="D700" s="3">
        <f>124.4+376.7+28.4</f>
        <v>529.5</v>
      </c>
      <c r="E700" s="33">
        <f>(0.59*124.4+0.39*376.7+0.23*28.4)/D700</f>
        <v>0.42840604343720495</v>
      </c>
      <c r="F700" s="33">
        <f>(0.21*124.4+0.14*376.7+0.09*28.4)/D700</f>
        <v>0.15376392823418319</v>
      </c>
      <c r="L700" s="33"/>
      <c r="S700" s="18">
        <f t="shared" si="11"/>
        <v>2.2684100000000003</v>
      </c>
      <c r="T700" s="3" t="s">
        <v>803</v>
      </c>
      <c r="U700" s="3" t="s">
        <v>1280</v>
      </c>
      <c r="V700" s="55" t="s">
        <v>1285</v>
      </c>
    </row>
    <row r="701" spans="1:22" x14ac:dyDescent="0.3">
      <c r="A701" s="16" t="s">
        <v>765</v>
      </c>
      <c r="B701" s="16" t="s">
        <v>46</v>
      </c>
      <c r="C701" s="16" t="s">
        <v>1049</v>
      </c>
      <c r="D701" s="33">
        <v>37.011945600000004</v>
      </c>
      <c r="E701" s="2">
        <v>7.0000000000000007E-2</v>
      </c>
      <c r="F701" s="2">
        <v>0.1</v>
      </c>
      <c r="S701" s="18">
        <f t="shared" si="11"/>
        <v>2.5908361920000008E-2</v>
      </c>
      <c r="T701" s="3" t="s">
        <v>766</v>
      </c>
      <c r="U701" s="3" t="s">
        <v>1216</v>
      </c>
    </row>
    <row r="702" spans="1:22" x14ac:dyDescent="0.3">
      <c r="A702" s="16" t="s">
        <v>753</v>
      </c>
      <c r="B702" s="16" t="s">
        <v>46</v>
      </c>
      <c r="C702" s="16" t="s">
        <v>1057</v>
      </c>
      <c r="D702" s="18">
        <f>0.2607*0.9072</f>
        <v>0.23650704</v>
      </c>
      <c r="E702" s="3">
        <v>0.32700000000000001</v>
      </c>
      <c r="L702" s="18">
        <f>31.1*0.013/0.9072</f>
        <v>0.44565696649029979</v>
      </c>
      <c r="M702" s="42">
        <v>0.60399999999999998</v>
      </c>
      <c r="S702" s="18">
        <f t="shared" si="11"/>
        <v>7.7337802080000009E-4</v>
      </c>
      <c r="T702" s="3" t="s">
        <v>752</v>
      </c>
      <c r="U702" s="3" t="s">
        <v>1206</v>
      </c>
    </row>
    <row r="703" spans="1:22" x14ac:dyDescent="0.3">
      <c r="A703" s="16" t="s">
        <v>754</v>
      </c>
      <c r="B703" s="16" t="s">
        <v>46</v>
      </c>
      <c r="C703" s="16" t="s">
        <v>1057</v>
      </c>
      <c r="D703" s="18">
        <f>0.1005*0.9072</f>
        <v>9.1173600000000007E-2</v>
      </c>
      <c r="E703" s="3">
        <v>0.94</v>
      </c>
      <c r="G703" s="18"/>
      <c r="L703" s="18">
        <f>31.1*0.014/0.9072</f>
        <v>0.47993827160493829</v>
      </c>
      <c r="M703" s="42">
        <v>0.42199999999999999</v>
      </c>
      <c r="S703" s="18">
        <f t="shared" si="11"/>
        <v>8.5703183999999996E-4</v>
      </c>
      <c r="T703" s="3" t="s">
        <v>752</v>
      </c>
      <c r="U703" s="3" t="s">
        <v>1206</v>
      </c>
      <c r="V703" s="55" t="s">
        <v>1279</v>
      </c>
    </row>
    <row r="704" spans="1:22" x14ac:dyDescent="0.3">
      <c r="A704" s="16" t="s">
        <v>222</v>
      </c>
      <c r="B704" s="16" t="s">
        <v>46</v>
      </c>
      <c r="C704" s="16" t="s">
        <v>45</v>
      </c>
      <c r="D704" s="3">
        <v>483</v>
      </c>
      <c r="E704" s="3">
        <v>0.67</v>
      </c>
      <c r="S704" s="18">
        <f t="shared" si="11"/>
        <v>3.2361</v>
      </c>
      <c r="T704" s="3" t="s">
        <v>228</v>
      </c>
      <c r="U704" s="3" t="s">
        <v>1205</v>
      </c>
    </row>
    <row r="705" spans="1:22" x14ac:dyDescent="0.3">
      <c r="A705" s="16" t="s">
        <v>223</v>
      </c>
      <c r="B705" s="16" t="s">
        <v>46</v>
      </c>
      <c r="C705" s="16" t="s">
        <v>45</v>
      </c>
      <c r="D705" s="3">
        <v>692</v>
      </c>
      <c r="E705" s="3">
        <v>0.39</v>
      </c>
      <c r="N705" s="3">
        <v>2.4E-2</v>
      </c>
      <c r="S705" s="18">
        <f t="shared" si="11"/>
        <v>2.6987999999999999</v>
      </c>
      <c r="T705" s="3" t="s">
        <v>228</v>
      </c>
      <c r="U705" s="3" t="s">
        <v>1205</v>
      </c>
    </row>
    <row r="706" spans="1:22" x14ac:dyDescent="0.3">
      <c r="A706" s="16" t="s">
        <v>214</v>
      </c>
      <c r="B706" s="16" t="s">
        <v>46</v>
      </c>
      <c r="C706" s="16" t="s">
        <v>45</v>
      </c>
      <c r="D706" s="3">
        <f>163+20+209</f>
        <v>392</v>
      </c>
      <c r="E706" s="33">
        <f>(0.29*163+0.19*20+0.25*209)/D706</f>
        <v>0.26357142857142857</v>
      </c>
      <c r="S706" s="18">
        <f t="shared" si="11"/>
        <v>1.0331999999999999</v>
      </c>
      <c r="T706" s="3" t="s">
        <v>228</v>
      </c>
      <c r="U706" s="3" t="s">
        <v>1205</v>
      </c>
    </row>
    <row r="707" spans="1:22" x14ac:dyDescent="0.3">
      <c r="A707" s="16" t="s">
        <v>1010</v>
      </c>
      <c r="B707" s="16" t="s">
        <v>46</v>
      </c>
      <c r="C707" s="16" t="s">
        <v>45</v>
      </c>
      <c r="D707" s="3">
        <v>30.2</v>
      </c>
      <c r="E707" s="3">
        <v>0.36</v>
      </c>
      <c r="S707" s="18">
        <f t="shared" si="11"/>
        <v>0.10872</v>
      </c>
      <c r="T707" s="3" t="s">
        <v>228</v>
      </c>
      <c r="U707" s="3" t="s">
        <v>1205</v>
      </c>
    </row>
    <row r="708" spans="1:22" x14ac:dyDescent="0.3">
      <c r="A708" s="16" t="s">
        <v>1173</v>
      </c>
      <c r="B708" s="16" t="s">
        <v>1174</v>
      </c>
      <c r="C708" s="16" t="s">
        <v>1052</v>
      </c>
      <c r="D708" s="35">
        <v>556.85</v>
      </c>
      <c r="E708" s="39">
        <v>0.127</v>
      </c>
      <c r="L708" s="3">
        <v>0.66100000000000003</v>
      </c>
      <c r="S708" s="18">
        <f t="shared" si="11"/>
        <v>0.70719949999999998</v>
      </c>
      <c r="T708" s="26" t="s">
        <v>1303</v>
      </c>
      <c r="U708" s="3" t="s">
        <v>1267</v>
      </c>
      <c r="V708" s="55" t="s">
        <v>1278</v>
      </c>
    </row>
    <row r="709" spans="1:22" x14ac:dyDescent="0.3">
      <c r="A709" s="16" t="s">
        <v>914</v>
      </c>
      <c r="B709" s="16" t="s">
        <v>913</v>
      </c>
      <c r="C709" s="34" t="s">
        <v>1049</v>
      </c>
      <c r="D709" s="3">
        <v>21.75</v>
      </c>
      <c r="E709" s="3">
        <v>0.13</v>
      </c>
      <c r="F709" s="3">
        <v>0.75</v>
      </c>
      <c r="G709" s="3">
        <f>(1449491+165446+1614937)/10000000</f>
        <v>0.32298739999999998</v>
      </c>
      <c r="M709" s="3">
        <v>0.09</v>
      </c>
      <c r="S709" s="18">
        <f t="shared" si="11"/>
        <v>2.8275000000000002E-2</v>
      </c>
      <c r="T709" s="3" t="s">
        <v>915</v>
      </c>
      <c r="U709" s="3" t="s">
        <v>1206</v>
      </c>
    </row>
    <row r="710" spans="1:22" x14ac:dyDescent="0.3">
      <c r="A710" s="16" t="s">
        <v>990</v>
      </c>
      <c r="B710" s="16" t="s">
        <v>16</v>
      </c>
      <c r="C710" s="16" t="s">
        <v>1057</v>
      </c>
      <c r="D710" s="3">
        <v>1.6</v>
      </c>
      <c r="E710" s="3">
        <v>1.3</v>
      </c>
      <c r="M710" s="3">
        <v>0.21</v>
      </c>
      <c r="S710" s="18">
        <f t="shared" si="11"/>
        <v>2.0799999999999999E-2</v>
      </c>
      <c r="T710" s="3" t="s">
        <v>991</v>
      </c>
      <c r="U710" s="3" t="s">
        <v>1205</v>
      </c>
    </row>
    <row r="711" spans="1:22" x14ac:dyDescent="0.3">
      <c r="A711" s="16" t="s">
        <v>743</v>
      </c>
      <c r="B711" s="16" t="s">
        <v>16</v>
      </c>
      <c r="C711" s="16" t="s">
        <v>1091</v>
      </c>
      <c r="D711" s="3">
        <v>6.23</v>
      </c>
      <c r="E711" s="3">
        <v>1.0900000000000001</v>
      </c>
      <c r="L711" s="3">
        <v>0.3</v>
      </c>
      <c r="S711" s="18">
        <f t="shared" si="11"/>
        <v>6.7907000000000009E-2</v>
      </c>
      <c r="T711" s="3" t="s">
        <v>744</v>
      </c>
      <c r="U711" s="3" t="s">
        <v>1254</v>
      </c>
      <c r="V711" s="55" t="s">
        <v>1276</v>
      </c>
    </row>
    <row r="712" spans="1:22" x14ac:dyDescent="0.3">
      <c r="A712" s="16" t="s">
        <v>168</v>
      </c>
      <c r="B712" s="16" t="s">
        <v>16</v>
      </c>
      <c r="C712" s="16" t="s">
        <v>1057</v>
      </c>
      <c r="D712" s="3">
        <v>5.7</v>
      </c>
      <c r="E712" s="3">
        <v>3.9</v>
      </c>
      <c r="S712" s="18">
        <f t="shared" si="11"/>
        <v>0.2223</v>
      </c>
      <c r="T712" s="3" t="s">
        <v>166</v>
      </c>
      <c r="U712" s="3" t="s">
        <v>1205</v>
      </c>
    </row>
    <row r="713" spans="1:22" x14ac:dyDescent="0.3">
      <c r="A713" s="16" t="s">
        <v>741</v>
      </c>
      <c r="B713" s="16" t="s">
        <v>16</v>
      </c>
      <c r="C713" s="16" t="s">
        <v>1091</v>
      </c>
      <c r="D713" s="3">
        <v>21.85</v>
      </c>
      <c r="E713" s="3">
        <v>0.89</v>
      </c>
      <c r="S713" s="18">
        <f t="shared" si="11"/>
        <v>0.194465</v>
      </c>
      <c r="T713" s="3" t="s">
        <v>742</v>
      </c>
      <c r="U713" s="3" t="s">
        <v>1205</v>
      </c>
    </row>
    <row r="714" spans="1:22" x14ac:dyDescent="0.3">
      <c r="A714" s="16" t="s">
        <v>457</v>
      </c>
      <c r="B714" s="16" t="s">
        <v>16</v>
      </c>
      <c r="C714" s="16" t="s">
        <v>1057</v>
      </c>
      <c r="D714" s="3">
        <f>356.5+161.4</f>
        <v>517.9</v>
      </c>
      <c r="E714" s="33">
        <f>(1.1*356.5+0.75*161.4)/(356.5+161.4)</f>
        <v>0.99092488897470565</v>
      </c>
      <c r="L714" s="33">
        <f>(0.13*356.5+0.04*161.4)/(356.5+161.4)</f>
        <v>0.10195211430778144</v>
      </c>
      <c r="S714" s="18">
        <f t="shared" si="11"/>
        <v>5.1320000000000006</v>
      </c>
      <c r="T714" s="3" t="s">
        <v>19</v>
      </c>
      <c r="U714" s="3" t="s">
        <v>1205</v>
      </c>
    </row>
    <row r="715" spans="1:22" x14ac:dyDescent="0.3">
      <c r="A715" s="16" t="s">
        <v>550</v>
      </c>
      <c r="B715" s="16" t="s">
        <v>16</v>
      </c>
      <c r="C715" s="16" t="s">
        <v>1057</v>
      </c>
      <c r="D715" s="3">
        <f>100.8+219.6+385.6</f>
        <v>706</v>
      </c>
      <c r="E715" s="33">
        <f>(1.6*100.8+2.7*219.6+1.6*385.6)/D715</f>
        <v>1.9421529745042494</v>
      </c>
      <c r="S715" s="18">
        <f t="shared" si="11"/>
        <v>13.711600000000001</v>
      </c>
      <c r="T715" s="3" t="s">
        <v>551</v>
      </c>
      <c r="U715" s="3" t="s">
        <v>1230</v>
      </c>
    </row>
    <row r="716" spans="1:22" x14ac:dyDescent="0.3">
      <c r="A716" s="16" t="s">
        <v>597</v>
      </c>
      <c r="B716" s="16" t="s">
        <v>16</v>
      </c>
      <c r="C716" s="16" t="s">
        <v>1057</v>
      </c>
      <c r="D716" s="3">
        <v>57.4</v>
      </c>
      <c r="E716" s="33">
        <v>2.42</v>
      </c>
      <c r="S716" s="18">
        <f t="shared" si="11"/>
        <v>1.3890799999999999</v>
      </c>
      <c r="T716" s="3" t="s">
        <v>598</v>
      </c>
      <c r="U716" s="3" t="s">
        <v>1275</v>
      </c>
    </row>
    <row r="717" spans="1:22" x14ac:dyDescent="0.3">
      <c r="A717" s="16" t="s">
        <v>554</v>
      </c>
      <c r="B717" s="16" t="s">
        <v>16</v>
      </c>
      <c r="C717" s="16" t="s">
        <v>1057</v>
      </c>
      <c r="D717" s="3">
        <f>82.5+133.7+544.7</f>
        <v>760.90000000000009</v>
      </c>
      <c r="E717" s="33">
        <f>(0.76*82.5+0.6*133.7+0.63*544.7)/D717</f>
        <v>0.63882376133526086</v>
      </c>
      <c r="L717" s="18">
        <f>(0.02*82.5+0.02*133.7+0.01*544.7)/D717</f>
        <v>1.2841372059403338E-2</v>
      </c>
      <c r="M717" s="38">
        <f>(0.0296*82.5+0.0149*133.7+0.0045*544.7)/D717</f>
        <v>9.0488631883296079E-3</v>
      </c>
      <c r="S717" s="18">
        <f t="shared" si="11"/>
        <v>4.8608100000000007</v>
      </c>
      <c r="T717" s="3" t="s">
        <v>1356</v>
      </c>
      <c r="U717" s="3" t="s">
        <v>1206</v>
      </c>
    </row>
    <row r="718" spans="1:22" x14ac:dyDescent="0.3">
      <c r="A718" s="16" t="s">
        <v>553</v>
      </c>
      <c r="B718" s="16" t="s">
        <v>16</v>
      </c>
      <c r="C718" s="16" t="s">
        <v>1057</v>
      </c>
      <c r="D718" s="3">
        <f>17.6+88.7+16.2</f>
        <v>122.50000000000001</v>
      </c>
      <c r="E718" s="33">
        <f>(1.29*17.6+0.81*88.7+0.76*16.2)/D718</f>
        <v>0.87235102040816326</v>
      </c>
      <c r="L718" s="18">
        <f>(0.07*17.6+0.01*88.7+0.03*16.2)/D718</f>
        <v>2.1265306122448979E-2</v>
      </c>
      <c r="M718" s="38">
        <f>(0.0131*17.6+0.0158*88.7+0.0106*16.2)/D718</f>
        <v>1.4724408163265307E-2</v>
      </c>
      <c r="S718" s="18">
        <f t="shared" si="11"/>
        <v>1.0686300000000002</v>
      </c>
      <c r="T718" s="3" t="s">
        <v>1356</v>
      </c>
      <c r="U718" s="3" t="s">
        <v>1206</v>
      </c>
    </row>
    <row r="719" spans="1:22" x14ac:dyDescent="0.3">
      <c r="A719" s="16" t="s">
        <v>15</v>
      </c>
      <c r="B719" s="16" t="s">
        <v>16</v>
      </c>
      <c r="C719" s="16" t="s">
        <v>1089</v>
      </c>
      <c r="D719" s="3">
        <v>18.5</v>
      </c>
      <c r="E719" s="3">
        <v>0.83</v>
      </c>
      <c r="S719" s="18">
        <f t="shared" si="11"/>
        <v>0.15354999999999999</v>
      </c>
      <c r="T719" s="3" t="s">
        <v>17</v>
      </c>
      <c r="U719" s="3" t="s">
        <v>1203</v>
      </c>
    </row>
    <row r="720" spans="1:22" x14ac:dyDescent="0.3">
      <c r="A720" s="16" t="s">
        <v>18</v>
      </c>
      <c r="B720" s="16" t="s">
        <v>16</v>
      </c>
      <c r="C720" s="16" t="s">
        <v>1057</v>
      </c>
      <c r="D720" s="3">
        <v>41</v>
      </c>
      <c r="E720" s="3">
        <v>1.7</v>
      </c>
      <c r="S720" s="18">
        <f t="shared" si="11"/>
        <v>0.69700000000000006</v>
      </c>
      <c r="T720" s="3" t="s">
        <v>17</v>
      </c>
      <c r="U720" s="3" t="s">
        <v>1203</v>
      </c>
    </row>
    <row r="721" spans="1:22" x14ac:dyDescent="0.3">
      <c r="A721" s="16" t="s">
        <v>847</v>
      </c>
      <c r="B721" s="16" t="s">
        <v>16</v>
      </c>
      <c r="C721" s="16" t="s">
        <v>1057</v>
      </c>
      <c r="D721" s="3">
        <v>64.94</v>
      </c>
      <c r="E721" s="33">
        <v>3</v>
      </c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18">
        <f t="shared" si="11"/>
        <v>1.9481999999999999</v>
      </c>
      <c r="T721" s="3" t="s">
        <v>846</v>
      </c>
      <c r="U721" s="3" t="s">
        <v>1205</v>
      </c>
    </row>
    <row r="722" spans="1:22" x14ac:dyDescent="0.3">
      <c r="A722" s="16" t="s">
        <v>130</v>
      </c>
      <c r="B722" s="16" t="s">
        <v>16</v>
      </c>
      <c r="C722" s="16" t="s">
        <v>131</v>
      </c>
      <c r="D722" s="3">
        <v>345</v>
      </c>
      <c r="E722" s="3">
        <v>0.47</v>
      </c>
      <c r="K722" s="3">
        <v>1.38</v>
      </c>
      <c r="L722" s="3">
        <v>0.06</v>
      </c>
      <c r="S722" s="18">
        <f t="shared" si="11"/>
        <v>1.6214999999999997</v>
      </c>
      <c r="T722" s="3" t="s">
        <v>132</v>
      </c>
      <c r="U722" s="3" t="s">
        <v>1217</v>
      </c>
      <c r="V722" s="8" t="s">
        <v>1274</v>
      </c>
    </row>
    <row r="723" spans="1:22" x14ac:dyDescent="0.3">
      <c r="A723" s="16" t="s">
        <v>585</v>
      </c>
      <c r="B723" s="16" t="s">
        <v>16</v>
      </c>
      <c r="C723" s="16" t="s">
        <v>1049</v>
      </c>
      <c r="D723" s="33">
        <v>8.3389000000000006</v>
      </c>
      <c r="E723" s="3">
        <v>0.14000000000000001</v>
      </c>
      <c r="F723" s="3">
        <v>1.08</v>
      </c>
      <c r="G723" s="3">
        <v>0.49</v>
      </c>
      <c r="H723" s="3">
        <v>0.21</v>
      </c>
      <c r="M723" s="3">
        <v>0.06</v>
      </c>
      <c r="S723" s="18">
        <f t="shared" si="11"/>
        <v>1.1674460000000003E-2</v>
      </c>
      <c r="T723" s="3" t="s">
        <v>660</v>
      </c>
      <c r="U723" s="3" t="s">
        <v>1205</v>
      </c>
    </row>
    <row r="724" spans="1:22" x14ac:dyDescent="0.3">
      <c r="A724" s="16" t="s">
        <v>599</v>
      </c>
      <c r="B724" s="16" t="s">
        <v>16</v>
      </c>
      <c r="C724" s="16" t="s">
        <v>1057</v>
      </c>
      <c r="D724" s="3">
        <f>12.44+1.77</f>
        <v>14.209999999999999</v>
      </c>
      <c r="E724" s="33">
        <f>(1.74*12.44+2.1*1.77)/(12.44+1.77)</f>
        <v>1.7848416608022519</v>
      </c>
      <c r="S724" s="18">
        <f t="shared" si="11"/>
        <v>0.25362599999999996</v>
      </c>
      <c r="T724" s="3" t="s">
        <v>598</v>
      </c>
      <c r="U724" s="3" t="s">
        <v>1205</v>
      </c>
    </row>
    <row r="725" spans="1:22" x14ac:dyDescent="0.3">
      <c r="A725" s="16" t="s">
        <v>830</v>
      </c>
      <c r="B725" s="16" t="s">
        <v>16</v>
      </c>
      <c r="C725" s="16" t="s">
        <v>1057</v>
      </c>
      <c r="D725" s="35">
        <f>43.656+78.218+63.909</f>
        <v>185.78299999999999</v>
      </c>
      <c r="E725" s="18">
        <f>(0.099*43.656+0.012*78.218+0.035*63.909)/D725</f>
        <v>4.0355549216020845E-2</v>
      </c>
      <c r="F725" s="18">
        <f>(0.011*43.656+0.019*78.218+0.028*63.909)/D725</f>
        <v>2.0216112346124245E-2</v>
      </c>
      <c r="M725" s="18">
        <f>(0.055*43.656+0.043*78.218+0.08*63.909)/D725</f>
        <v>5.8547735799292726E-2</v>
      </c>
      <c r="S725" s="18">
        <f t="shared" si="11"/>
        <v>7.4973750000000006E-2</v>
      </c>
      <c r="T725" s="3" t="s">
        <v>661</v>
      </c>
      <c r="U725" s="3" t="s">
        <v>1273</v>
      </c>
    </row>
    <row r="726" spans="1:22" x14ac:dyDescent="0.3">
      <c r="A726" s="16" t="s">
        <v>845</v>
      </c>
      <c r="B726" s="16" t="s">
        <v>16</v>
      </c>
      <c r="C726" s="16" t="s">
        <v>1057</v>
      </c>
      <c r="D726" s="3">
        <v>195</v>
      </c>
      <c r="E726" s="39">
        <v>2.19</v>
      </c>
      <c r="F726" s="39"/>
      <c r="G726" s="39"/>
      <c r="H726" s="39"/>
      <c r="I726" s="39"/>
      <c r="J726" s="39"/>
      <c r="K726" s="39"/>
      <c r="L726" s="39"/>
      <c r="M726" s="39">
        <v>0.15</v>
      </c>
      <c r="N726" s="39"/>
      <c r="O726" s="39"/>
      <c r="P726" s="39"/>
      <c r="Q726" s="39"/>
      <c r="R726" s="39"/>
      <c r="S726" s="18">
        <f t="shared" si="11"/>
        <v>4.2705000000000002</v>
      </c>
      <c r="T726" s="3" t="s">
        <v>846</v>
      </c>
      <c r="U726" s="3" t="s">
        <v>1205</v>
      </c>
    </row>
    <row r="727" spans="1:22" x14ac:dyDescent="0.3">
      <c r="A727" s="16" t="s">
        <v>623</v>
      </c>
      <c r="B727" s="16" t="s">
        <v>16</v>
      </c>
      <c r="C727" s="16" t="s">
        <v>131</v>
      </c>
      <c r="D727" s="3">
        <v>1.4</v>
      </c>
      <c r="E727" s="3">
        <v>1.2</v>
      </c>
      <c r="S727" s="18">
        <f t="shared" si="11"/>
        <v>1.6799999999999999E-2</v>
      </c>
      <c r="T727" s="3" t="s">
        <v>1227</v>
      </c>
      <c r="U727" s="3" t="s">
        <v>1228</v>
      </c>
      <c r="V727" s="8" t="s">
        <v>1229</v>
      </c>
    </row>
    <row r="728" spans="1:22" x14ac:dyDescent="0.3">
      <c r="A728" s="16" t="s">
        <v>140</v>
      </c>
      <c r="B728" s="16" t="s">
        <v>16</v>
      </c>
      <c r="C728" s="16" t="s">
        <v>1057</v>
      </c>
      <c r="D728" s="37">
        <v>1450</v>
      </c>
      <c r="E728" s="33">
        <v>0.76</v>
      </c>
      <c r="S728" s="18">
        <f t="shared" si="11"/>
        <v>11.02</v>
      </c>
      <c r="T728" s="3" t="s">
        <v>19</v>
      </c>
      <c r="U728" s="3" t="s">
        <v>1205</v>
      </c>
    </row>
    <row r="729" spans="1:22" x14ac:dyDescent="0.3">
      <c r="A729" s="16" t="s">
        <v>694</v>
      </c>
      <c r="B729" s="16" t="s">
        <v>528</v>
      </c>
      <c r="C729" s="16" t="s">
        <v>1049</v>
      </c>
      <c r="D729" s="3">
        <v>48.6</v>
      </c>
      <c r="E729" s="3">
        <v>0.11</v>
      </c>
      <c r="F729" s="3">
        <v>0.14000000000000001</v>
      </c>
      <c r="G729" s="33">
        <v>1.3213200000000003</v>
      </c>
      <c r="H729" s="33">
        <v>1.6671200000000004</v>
      </c>
      <c r="L729" s="33">
        <v>0.26572000000000001</v>
      </c>
      <c r="P729" s="33"/>
      <c r="S729" s="18">
        <f t="shared" si="11"/>
        <v>5.3460000000000001E-2</v>
      </c>
      <c r="T729" s="3" t="s">
        <v>692</v>
      </c>
      <c r="U729" s="3" t="s">
        <v>1205</v>
      </c>
    </row>
    <row r="730" spans="1:22" x14ac:dyDescent="0.3">
      <c r="A730" s="16" t="s">
        <v>693</v>
      </c>
      <c r="B730" s="16" t="s">
        <v>528</v>
      </c>
      <c r="C730" s="16" t="s">
        <v>1049</v>
      </c>
      <c r="D730" s="3">
        <v>86.61999999999999</v>
      </c>
      <c r="E730" s="33">
        <v>0.11557723389517432</v>
      </c>
      <c r="F730" s="33">
        <v>0.13843223274070654</v>
      </c>
      <c r="G730" s="33">
        <v>1.3561796501962595</v>
      </c>
      <c r="H730" s="33">
        <v>1.7111026991456939</v>
      </c>
      <c r="L730" s="33">
        <v>0.27273034287693376</v>
      </c>
      <c r="P730" s="33"/>
      <c r="S730" s="18">
        <f t="shared" si="11"/>
        <v>0.10011299999999998</v>
      </c>
      <c r="T730" s="3" t="s">
        <v>692</v>
      </c>
      <c r="U730" s="3" t="s">
        <v>1205</v>
      </c>
    </row>
    <row r="731" spans="1:22" x14ac:dyDescent="0.3">
      <c r="A731" s="16" t="s">
        <v>527</v>
      </c>
      <c r="B731" s="16" t="s">
        <v>528</v>
      </c>
      <c r="C731" s="16" t="s">
        <v>1049</v>
      </c>
      <c r="D731" s="3">
        <v>124.3</v>
      </c>
      <c r="E731" s="3">
        <v>0.15</v>
      </c>
      <c r="F731" s="3">
        <v>0.22</v>
      </c>
      <c r="G731" s="33">
        <f>0.401*4.17</f>
        <v>1.6721700000000002</v>
      </c>
      <c r="H731" s="33">
        <f>0.482*4.17</f>
        <v>2.0099399999999998</v>
      </c>
      <c r="L731" s="33">
        <f>0.074*4.17</f>
        <v>0.30857999999999997</v>
      </c>
      <c r="P731" s="33">
        <f>0.043*4.17</f>
        <v>0.17930999999999997</v>
      </c>
      <c r="S731" s="18">
        <f t="shared" si="11"/>
        <v>0.18645</v>
      </c>
      <c r="T731" s="3" t="s">
        <v>483</v>
      </c>
      <c r="U731" s="3" t="s">
        <v>1205</v>
      </c>
    </row>
    <row r="732" spans="1:22" x14ac:dyDescent="0.3">
      <c r="A732" s="16" t="s">
        <v>691</v>
      </c>
      <c r="B732" s="16" t="s">
        <v>528</v>
      </c>
      <c r="C732" s="16" t="s">
        <v>1049</v>
      </c>
      <c r="D732" s="36">
        <v>1879</v>
      </c>
      <c r="E732" s="33">
        <v>0.1103246407663651</v>
      </c>
      <c r="F732" s="33">
        <v>0.13275976583288981</v>
      </c>
      <c r="G732" s="33">
        <v>1.3986639118680151</v>
      </c>
      <c r="H732" s="33">
        <v>1.8080756648217138</v>
      </c>
      <c r="L732" s="33">
        <v>0.26809001596593934</v>
      </c>
      <c r="P732" s="33">
        <v>0.15166235188930283</v>
      </c>
      <c r="S732" s="18">
        <f t="shared" si="11"/>
        <v>2.073</v>
      </c>
      <c r="T732" s="3" t="s">
        <v>692</v>
      </c>
      <c r="U732" s="3" t="s">
        <v>1205</v>
      </c>
    </row>
  </sheetData>
  <sortState ref="A4:AN701">
    <sortCondition ref="B4:B667"/>
    <sortCondition ref="A4:A667"/>
  </sortState>
  <hyperlinks>
    <hyperlink ref="V533" r:id="rId1"/>
    <hyperlink ref="V280" r:id="rId2"/>
  </hyperlinks>
  <pageMargins left="0.7" right="0.7" top="0.75" bottom="0.75" header="0.3" footer="0.3"/>
  <pageSetup paperSize="9" orientation="portrait" r:id="rId3"/>
  <rowBreaks count="1" manualBreakCount="1">
    <brk id="613" max="16383" man="1"/>
  </rowBreaks>
  <colBreaks count="1" manualBreakCount="1">
    <brk id="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9.6640625" defaultRowHeight="14.4" x14ac:dyDescent="0.3"/>
  <cols>
    <col min="1" max="1" width="24.6640625" style="1" customWidth="1"/>
    <col min="2" max="7" width="15.6640625" style="1" customWidth="1"/>
    <col min="8" max="8" width="10.6640625" style="1" customWidth="1"/>
    <col min="9" max="9" width="12.6640625" style="1" customWidth="1"/>
    <col min="10" max="10" width="9.6640625" style="1" customWidth="1"/>
    <col min="11" max="11" width="10.6640625" style="1" customWidth="1"/>
    <col min="12" max="12" width="9.6640625" style="1"/>
    <col min="13" max="13" width="24.6640625" style="1" customWidth="1"/>
    <col min="14" max="14" width="21.44140625" style="1" bestFit="1" customWidth="1"/>
    <col min="15" max="15" width="32.6640625" style="1" bestFit="1" customWidth="1"/>
    <col min="16" max="16" width="27.109375" style="1" bestFit="1" customWidth="1"/>
    <col min="17" max="16384" width="9.6640625" style="1"/>
  </cols>
  <sheetData>
    <row r="1" spans="1:14" x14ac:dyDescent="0.3">
      <c r="B1" s="13" t="s">
        <v>124</v>
      </c>
      <c r="C1" s="13" t="s">
        <v>124</v>
      </c>
      <c r="D1" s="13" t="s">
        <v>124</v>
      </c>
      <c r="E1" s="13" t="s">
        <v>124</v>
      </c>
      <c r="F1" s="13" t="s">
        <v>124</v>
      </c>
      <c r="G1" s="13" t="s">
        <v>124</v>
      </c>
      <c r="H1" s="13" t="s">
        <v>997</v>
      </c>
      <c r="I1" s="13" t="s">
        <v>994</v>
      </c>
      <c r="J1" s="13" t="s">
        <v>3</v>
      </c>
      <c r="K1" s="13" t="s">
        <v>124</v>
      </c>
    </row>
    <row r="2" spans="1:14" x14ac:dyDescent="0.3">
      <c r="A2" s="10" t="s">
        <v>479</v>
      </c>
      <c r="B2" s="10">
        <v>635</v>
      </c>
      <c r="C2" s="10"/>
      <c r="D2" s="10">
        <v>550</v>
      </c>
      <c r="E2" s="10"/>
      <c r="F2" s="10">
        <v>1000</v>
      </c>
      <c r="G2" s="10"/>
      <c r="H2" s="1">
        <f>SUM(H4:H57)</f>
        <v>730</v>
      </c>
      <c r="I2" s="14">
        <f>SUM(I4:I57)</f>
        <v>363269.78287714656</v>
      </c>
      <c r="J2" s="6">
        <f>100*K2/I2</f>
        <v>0.4902319623939444</v>
      </c>
      <c r="K2" s="14">
        <f>SUM(K4:K57)</f>
        <v>1780.8645853828566</v>
      </c>
    </row>
    <row r="3" spans="1:14" x14ac:dyDescent="0.3">
      <c r="A3" s="4" t="s">
        <v>6</v>
      </c>
      <c r="B3" s="4" t="s">
        <v>1185</v>
      </c>
      <c r="C3" s="4" t="s">
        <v>1187</v>
      </c>
      <c r="D3" s="4" t="s">
        <v>1189</v>
      </c>
      <c r="E3" s="4" t="s">
        <v>1188</v>
      </c>
      <c r="F3" s="4" t="s">
        <v>1186</v>
      </c>
      <c r="G3" s="4" t="s">
        <v>1190</v>
      </c>
      <c r="H3" s="5" t="s">
        <v>1138</v>
      </c>
      <c r="I3" s="5" t="s">
        <v>1138</v>
      </c>
      <c r="J3" s="5" t="s">
        <v>1138</v>
      </c>
      <c r="K3" s="5" t="s">
        <v>1138</v>
      </c>
      <c r="L3" s="4" t="s">
        <v>469</v>
      </c>
      <c r="M3" s="1" t="s">
        <v>470</v>
      </c>
    </row>
    <row r="4" spans="1:14" x14ac:dyDescent="0.3">
      <c r="A4" s="12" t="s">
        <v>22</v>
      </c>
      <c r="B4" s="20">
        <v>150</v>
      </c>
      <c r="C4" s="24">
        <v>132.34561143884775</v>
      </c>
      <c r="D4" s="20">
        <v>160</v>
      </c>
      <c r="E4" s="24">
        <v>120.6708602415117</v>
      </c>
      <c r="F4" s="20">
        <v>360</v>
      </c>
      <c r="G4" s="24">
        <v>433.26822051881857</v>
      </c>
      <c r="H4" s="20">
        <f>COUNT('Master Data'!D284:D334)</f>
        <v>51</v>
      </c>
      <c r="I4" s="21">
        <f>SUM('Master Data'!D284:D334)</f>
        <v>122767.86637779998</v>
      </c>
      <c r="J4" s="22">
        <f>100*K4/I4</f>
        <v>0.53612971578631341</v>
      </c>
      <c r="K4" s="23">
        <f>SUM('Master Data'!S284:S334)</f>
        <v>658.19501308821998</v>
      </c>
    </row>
    <row r="5" spans="1:14" x14ac:dyDescent="0.3">
      <c r="A5" s="12" t="s">
        <v>46</v>
      </c>
      <c r="B5" s="20">
        <v>35</v>
      </c>
      <c r="C5" s="24">
        <v>27.947783547709339</v>
      </c>
      <c r="D5" s="20">
        <v>35</v>
      </c>
      <c r="E5" s="24">
        <v>19.145650427966839</v>
      </c>
      <c r="F5" s="20">
        <v>70</v>
      </c>
      <c r="G5" s="24">
        <v>41.40913477290534</v>
      </c>
      <c r="H5" s="20">
        <f>COUNT('Master Data'!D652:D707)</f>
        <v>56</v>
      </c>
      <c r="I5" s="21">
        <f>SUM('Master Data'!D652:D707)</f>
        <v>49427.461883999997</v>
      </c>
      <c r="J5" s="22">
        <f>100*K5/I5</f>
        <v>0.34415769883641878</v>
      </c>
      <c r="K5" s="23">
        <f>SUM('Master Data'!S652:S707)</f>
        <v>170.10841541322239</v>
      </c>
    </row>
    <row r="6" spans="1:14" x14ac:dyDescent="0.3">
      <c r="A6" s="12" t="s">
        <v>32</v>
      </c>
      <c r="B6" s="20">
        <v>90</v>
      </c>
      <c r="C6" s="24">
        <v>47.480082578083135</v>
      </c>
      <c r="D6" s="20">
        <v>60</v>
      </c>
      <c r="E6" s="24">
        <v>45.04221299512902</v>
      </c>
      <c r="F6" s="20">
        <v>120</v>
      </c>
      <c r="G6" s="24">
        <v>55.147537572658926</v>
      </c>
      <c r="H6" s="20">
        <f>COUNT('Master Data'!D495:D546)</f>
        <v>52</v>
      </c>
      <c r="I6" s="21">
        <f>SUM('Master Data'!D495:D546)</f>
        <v>35088.066734952001</v>
      </c>
      <c r="J6" s="22">
        <f>100*K6/I6</f>
        <v>0.47935631379058957</v>
      </c>
      <c r="K6" s="23">
        <f>SUM('Master Data'!S495:S546)</f>
        <v>168.196863281048</v>
      </c>
      <c r="N6" s="7"/>
    </row>
    <row r="7" spans="1:14" x14ac:dyDescent="0.3">
      <c r="A7" s="12" t="s">
        <v>8</v>
      </c>
      <c r="B7" s="20">
        <v>80</v>
      </c>
      <c r="C7" s="24">
        <v>19.003935295925064</v>
      </c>
      <c r="D7" s="20">
        <v>24</v>
      </c>
      <c r="E7" s="24">
        <v>17.011447408349149</v>
      </c>
      <c r="F7" s="20">
        <v>43</v>
      </c>
      <c r="G7" s="24">
        <v>90.137883008380385</v>
      </c>
      <c r="H7" s="20">
        <f>COUNT('Master Data'!D15:D163)</f>
        <v>149</v>
      </c>
      <c r="I7" s="21">
        <f>SUM('Master Data'!D15:D163)</f>
        <v>20292.444829666674</v>
      </c>
      <c r="J7" s="22">
        <f>100*K7/I7</f>
        <v>0.62530764315869269</v>
      </c>
      <c r="K7" s="23">
        <f>SUM('Master Data'!S15:S163)</f>
        <v>126.89020850366667</v>
      </c>
      <c r="L7" s="1">
        <f>85.6+1.9+0.8+43.3</f>
        <v>131.6</v>
      </c>
      <c r="M7" s="1" t="s">
        <v>471</v>
      </c>
      <c r="N7" s="7" t="s">
        <v>481</v>
      </c>
    </row>
    <row r="8" spans="1:14" x14ac:dyDescent="0.3">
      <c r="A8" s="12" t="s">
        <v>477</v>
      </c>
      <c r="B8" s="20">
        <v>30</v>
      </c>
      <c r="C8" s="20"/>
      <c r="D8" s="20">
        <v>30</v>
      </c>
      <c r="E8" s="20"/>
      <c r="F8" s="20">
        <v>63</v>
      </c>
      <c r="G8" s="20"/>
      <c r="H8" s="20"/>
      <c r="I8" s="21"/>
      <c r="J8" s="20"/>
      <c r="K8" s="23"/>
      <c r="L8" s="15">
        <v>80.41</v>
      </c>
      <c r="M8" s="1" t="s">
        <v>1125</v>
      </c>
    </row>
    <row r="9" spans="1:14" x14ac:dyDescent="0.3">
      <c r="A9" s="12" t="s">
        <v>474</v>
      </c>
      <c r="B9" s="20"/>
      <c r="C9" s="20"/>
      <c r="D9" s="20"/>
      <c r="E9" s="20"/>
      <c r="F9" s="20"/>
      <c r="G9" s="20"/>
      <c r="H9" s="20">
        <f>COUNT('Master Data'!D338:D358)</f>
        <v>21</v>
      </c>
      <c r="I9" s="21">
        <f>SUM('Master Data'!D338:D358)</f>
        <v>2288.8989999999999</v>
      </c>
      <c r="J9" s="22">
        <f t="shared" ref="J9:J57" si="0">100*K9/I9</f>
        <v>2.3435821414575306</v>
      </c>
      <c r="K9" s="23">
        <f>SUM('Master Data'!S338:S358)</f>
        <v>53.642228199999998</v>
      </c>
    </row>
    <row r="10" spans="1:14" x14ac:dyDescent="0.3">
      <c r="A10" s="12" t="s">
        <v>65</v>
      </c>
      <c r="B10" s="20">
        <v>38</v>
      </c>
      <c r="C10" s="20"/>
      <c r="D10" s="20">
        <v>38</v>
      </c>
      <c r="E10" s="20"/>
      <c r="F10" s="20">
        <v>40</v>
      </c>
      <c r="G10" s="20"/>
      <c r="H10" s="20">
        <f>COUNT('Master Data'!D433:D462)</f>
        <v>30</v>
      </c>
      <c r="I10" s="21">
        <f>SUM('Master Data'!D433:D462)</f>
        <v>17369.403408000002</v>
      </c>
      <c r="J10" s="22">
        <f t="shared" si="0"/>
        <v>0.32646789574984819</v>
      </c>
      <c r="K10" s="23">
        <f>SUM('Master Data'!S433:S462)</f>
        <v>56.705525810400019</v>
      </c>
    </row>
    <row r="11" spans="1:14" x14ac:dyDescent="0.3">
      <c r="A11" s="12" t="s">
        <v>43</v>
      </c>
      <c r="B11" s="20"/>
      <c r="C11" s="20"/>
      <c r="D11" s="20"/>
      <c r="E11" s="20"/>
      <c r="F11" s="20"/>
      <c r="G11" s="20"/>
      <c r="H11" s="20">
        <f>COUNT('Master Data'!D463:D464)</f>
        <v>2</v>
      </c>
      <c r="I11" s="21">
        <f>SUM('Master Data'!D463:D464)</f>
        <v>6265</v>
      </c>
      <c r="J11" s="22">
        <f t="shared" si="0"/>
        <v>0.79952753391859532</v>
      </c>
      <c r="K11" s="23">
        <f>SUM('Master Data'!S463:S464)</f>
        <v>50.090399999999995</v>
      </c>
    </row>
    <row r="12" spans="1:14" x14ac:dyDescent="0.3">
      <c r="A12" s="12" t="s">
        <v>473</v>
      </c>
      <c r="B12" s="20">
        <v>30</v>
      </c>
      <c r="C12" s="24">
        <v>24.867258987381078</v>
      </c>
      <c r="D12" s="20">
        <v>36</v>
      </c>
      <c r="E12" s="24">
        <v>26.347999747043673</v>
      </c>
      <c r="F12" s="20">
        <v>38</v>
      </c>
      <c r="G12" s="24">
        <v>39.44549577899825</v>
      </c>
      <c r="H12" s="20">
        <f>COUNT('Master Data'!D413:D417)</f>
        <v>5</v>
      </c>
      <c r="I12" s="21">
        <f>SUM('Master Data'!D413:D417)</f>
        <v>7367.8911616574851</v>
      </c>
      <c r="J12" s="22">
        <f t="shared" si="0"/>
        <v>0.67334450806080504</v>
      </c>
      <c r="K12" s="23">
        <f>SUM('Master Data'!S413:S417)</f>
        <v>49.61129049691813</v>
      </c>
    </row>
    <row r="13" spans="1:14" x14ac:dyDescent="0.3">
      <c r="A13" s="12" t="s">
        <v>28</v>
      </c>
      <c r="B13" s="20">
        <v>8</v>
      </c>
      <c r="C13" s="24">
        <v>8.4607791586298475</v>
      </c>
      <c r="D13" s="20">
        <v>10</v>
      </c>
      <c r="E13" s="24">
        <v>6.3653946862633592</v>
      </c>
      <c r="F13" s="20">
        <v>20</v>
      </c>
      <c r="G13" s="24">
        <v>11.07961118424141</v>
      </c>
      <c r="H13" s="20">
        <f>COUNT('Master Data'!D189:D283)</f>
        <v>95</v>
      </c>
      <c r="I13" s="21">
        <f>SUM('Master Data'!D189:D283)</f>
        <v>17660.721596261599</v>
      </c>
      <c r="J13" s="22">
        <f t="shared" si="0"/>
        <v>0.30643196277569362</v>
      </c>
      <c r="K13" s="23">
        <f>SUM('Master Data'!S189:S283)</f>
        <v>54.118095827775228</v>
      </c>
      <c r="L13" s="1">
        <v>7.29</v>
      </c>
      <c r="M13" s="1" t="s">
        <v>472</v>
      </c>
      <c r="N13" s="7" t="s">
        <v>482</v>
      </c>
    </row>
    <row r="14" spans="1:14" x14ac:dyDescent="0.3">
      <c r="A14" s="12" t="s">
        <v>16</v>
      </c>
      <c r="B14" s="20">
        <v>20</v>
      </c>
      <c r="C14" s="20"/>
      <c r="D14" s="20">
        <v>19</v>
      </c>
      <c r="E14" s="20"/>
      <c r="F14" s="20">
        <v>35</v>
      </c>
      <c r="G14" s="20"/>
      <c r="H14" s="20">
        <f>COUNT('Master Data'!D710:D728)</f>
        <v>19</v>
      </c>
      <c r="I14" s="21">
        <f>SUM('Master Data'!D710:D728)</f>
        <v>4524.2519000000002</v>
      </c>
      <c r="J14" s="22">
        <f t="shared" si="0"/>
        <v>1.0329976589057739</v>
      </c>
      <c r="K14" s="23">
        <f>SUM('Master Data'!S710:S728)</f>
        <v>46.735416209999997</v>
      </c>
    </row>
    <row r="15" spans="1:14" x14ac:dyDescent="0.3">
      <c r="A15" s="12" t="s">
        <v>207</v>
      </c>
      <c r="B15" s="20">
        <v>30</v>
      </c>
      <c r="C15" s="20"/>
      <c r="D15" s="20">
        <v>20</v>
      </c>
      <c r="E15" s="20"/>
      <c r="F15" s="20">
        <v>30</v>
      </c>
      <c r="G15" s="20"/>
      <c r="H15" s="20">
        <f>COUNT('Master Data'!D566:D579)</f>
        <v>14</v>
      </c>
      <c r="I15" s="21">
        <f>SUM('Master Data'!D566:D579)</f>
        <v>5516.49</v>
      </c>
      <c r="J15" s="22">
        <f t="shared" si="0"/>
        <v>1.0725338811454386</v>
      </c>
      <c r="K15" s="23">
        <f>SUM('Master Data'!S566:S579)</f>
        <v>59.166224300000003</v>
      </c>
    </row>
    <row r="16" spans="1:14" x14ac:dyDescent="0.3">
      <c r="A16" s="12" t="s">
        <v>107</v>
      </c>
      <c r="B16" s="20">
        <v>18</v>
      </c>
      <c r="C16" s="20"/>
      <c r="D16" s="20">
        <v>18</v>
      </c>
      <c r="E16" s="20"/>
      <c r="F16" s="20">
        <v>22</v>
      </c>
      <c r="G16" s="20"/>
      <c r="H16" s="20">
        <f>COUNT('Master Data'!D420:D426)</f>
        <v>7</v>
      </c>
      <c r="I16" s="21">
        <f>SUM('Master Data'!D420:D426)</f>
        <v>6682.0320000000011</v>
      </c>
      <c r="J16" s="22">
        <f t="shared" si="0"/>
        <v>0.46726711575161567</v>
      </c>
      <c r="K16" s="23">
        <f>SUM('Master Data'!S420:S426)</f>
        <v>31.222938200000002</v>
      </c>
    </row>
    <row r="17" spans="1:13" x14ac:dyDescent="0.3">
      <c r="A17" s="12" t="s">
        <v>156</v>
      </c>
      <c r="B17" s="20">
        <v>26</v>
      </c>
      <c r="C17" s="20"/>
      <c r="D17" s="20">
        <v>30</v>
      </c>
      <c r="E17" s="20"/>
      <c r="F17" s="20">
        <v>48</v>
      </c>
      <c r="G17" s="20"/>
      <c r="H17" s="20">
        <f>COUNT('Master Data'!D560:D563)</f>
        <v>4</v>
      </c>
      <c r="I17" s="21">
        <f>SUM('Master Data'!D560:D563)</f>
        <v>1539</v>
      </c>
      <c r="J17" s="22">
        <f t="shared" si="0"/>
        <v>1.9991617933723198</v>
      </c>
      <c r="K17" s="23">
        <f>SUM('Master Data'!S560:S563)</f>
        <v>30.767099999999999</v>
      </c>
    </row>
    <row r="18" spans="1:13" x14ac:dyDescent="0.3">
      <c r="A18" s="20" t="s">
        <v>30</v>
      </c>
      <c r="B18" s="20"/>
      <c r="C18" s="20"/>
      <c r="D18" s="20"/>
      <c r="E18" s="20"/>
      <c r="F18" s="20"/>
      <c r="G18" s="20"/>
      <c r="H18" s="20">
        <f>COUNT('Master Data'!D6:D14)</f>
        <v>9</v>
      </c>
      <c r="I18" s="21">
        <f>SUM('Master Data'!D6:D14)</f>
        <v>7817.6419999999998</v>
      </c>
      <c r="J18" s="22">
        <f t="shared" si="0"/>
        <v>0.36792942296411119</v>
      </c>
      <c r="K18" s="23">
        <f>SUM('Master Data'!S6:S14)</f>
        <v>28.7634051</v>
      </c>
    </row>
    <row r="19" spans="1:13" x14ac:dyDescent="0.3">
      <c r="A19" s="12" t="s">
        <v>98</v>
      </c>
      <c r="B19" s="20"/>
      <c r="C19" s="20"/>
      <c r="D19" s="20"/>
      <c r="E19" s="20"/>
      <c r="F19" s="20"/>
      <c r="G19" s="20"/>
      <c r="H19" s="20">
        <f>COUNT('Master Data'!D481:D494)</f>
        <v>14</v>
      </c>
      <c r="I19" s="21">
        <f>SUM('Master Data'!D481:D494)</f>
        <v>5611.8509999999997</v>
      </c>
      <c r="J19" s="22">
        <f t="shared" si="0"/>
        <v>0.47818277962119804</v>
      </c>
      <c r="K19" s="23">
        <f>SUM('Master Data'!S481:S494)</f>
        <v>26.834905099999997</v>
      </c>
    </row>
    <row r="20" spans="1:13" x14ac:dyDescent="0.3">
      <c r="A20" s="12" t="s">
        <v>662</v>
      </c>
      <c r="B20" s="20"/>
      <c r="C20" s="20"/>
      <c r="D20" s="20"/>
      <c r="E20" s="20"/>
      <c r="F20" s="20"/>
      <c r="G20" s="20"/>
      <c r="H20" s="20">
        <f>COUNT('Master Data'!D547:D559)</f>
        <v>13</v>
      </c>
      <c r="I20" s="21">
        <f>SUM('Master Data'!D547:D559)</f>
        <v>5363.3242870000004</v>
      </c>
      <c r="J20" s="22">
        <f t="shared" si="0"/>
        <v>0.4679449172881982</v>
      </c>
      <c r="K20" s="23">
        <f>SUM('Master Data'!S547:S559)</f>
        <v>25.097403398699999</v>
      </c>
    </row>
    <row r="21" spans="1:13" x14ac:dyDescent="0.3">
      <c r="A21" s="12" t="s">
        <v>55</v>
      </c>
      <c r="B21" s="20"/>
      <c r="C21" s="20"/>
      <c r="D21" s="20"/>
      <c r="E21" s="20"/>
      <c r="F21" s="20"/>
      <c r="G21" s="20"/>
      <c r="H21" s="20">
        <f>COUNT('Master Data'!D479:D479)</f>
        <v>1</v>
      </c>
      <c r="I21" s="21">
        <f>SUM('Master Data'!D479:D479)</f>
        <v>5867.8</v>
      </c>
      <c r="J21" s="22">
        <f t="shared" si="0"/>
        <v>0.41</v>
      </c>
      <c r="K21" s="23">
        <f>SUM('Master Data'!S479:S479)</f>
        <v>24.057979999999997</v>
      </c>
    </row>
    <row r="22" spans="1:13" x14ac:dyDescent="0.3">
      <c r="A22" s="12" t="s">
        <v>97</v>
      </c>
      <c r="B22" s="20"/>
      <c r="C22" s="20"/>
      <c r="D22" s="20"/>
      <c r="E22" s="20"/>
      <c r="F22" s="20"/>
      <c r="G22" s="20"/>
      <c r="H22" s="20">
        <f>COUNT('Master Data'!D480:D480)</f>
        <v>1</v>
      </c>
      <c r="I22" s="21">
        <f>SUM('Master Data'!D480:D480)</f>
        <v>6465</v>
      </c>
      <c r="J22" s="22">
        <f t="shared" si="0"/>
        <v>0.29947718484145402</v>
      </c>
      <c r="K22" s="23">
        <f>SUM('Master Data'!S480:S480)</f>
        <v>19.361200000000004</v>
      </c>
    </row>
    <row r="23" spans="1:13" x14ac:dyDescent="0.3">
      <c r="A23" s="12" t="s">
        <v>41</v>
      </c>
      <c r="B23" s="20"/>
      <c r="C23" s="20"/>
      <c r="D23" s="20"/>
      <c r="E23" s="20"/>
      <c r="F23" s="20"/>
      <c r="G23" s="20"/>
      <c r="H23" s="20">
        <f>COUNT('Master Data'!D583:D621)</f>
        <v>39</v>
      </c>
      <c r="I23" s="21">
        <f>SUM('Master Data'!D583:D621)</f>
        <v>14610.250195209812</v>
      </c>
      <c r="J23" s="22">
        <f t="shared" si="0"/>
        <v>7.9782595891185276E-2</v>
      </c>
      <c r="K23" s="23">
        <f>SUM('Master Data'!S583:S621)</f>
        <v>11.656436871935352</v>
      </c>
      <c r="L23" s="1">
        <v>13</v>
      </c>
      <c r="M23" s="1" t="s">
        <v>1195</v>
      </c>
    </row>
    <row r="24" spans="1:13" x14ac:dyDescent="0.3">
      <c r="A24" s="12" t="s">
        <v>552</v>
      </c>
      <c r="B24" s="20"/>
      <c r="C24" s="20"/>
      <c r="D24" s="20"/>
      <c r="E24" s="20"/>
      <c r="F24" s="20"/>
      <c r="G24" s="20"/>
      <c r="H24" s="20">
        <f>COUNT('Master Data'!D399:D412)</f>
        <v>14</v>
      </c>
      <c r="I24" s="21">
        <f>SUM('Master Data'!D399:D412)</f>
        <v>1394.4250000000002</v>
      </c>
      <c r="J24" s="22">
        <f t="shared" si="0"/>
        <v>0.81877117808415667</v>
      </c>
      <c r="K24" s="23">
        <f>SUM('Master Data'!S399:S412)</f>
        <v>11.417150000000003</v>
      </c>
      <c r="L24" s="6">
        <v>11.417719999999999</v>
      </c>
      <c r="M24" s="1" t="s">
        <v>1196</v>
      </c>
    </row>
    <row r="25" spans="1:13" x14ac:dyDescent="0.3">
      <c r="A25" s="12" t="s">
        <v>129</v>
      </c>
      <c r="B25" s="20"/>
      <c r="C25" s="20"/>
      <c r="D25" s="20"/>
      <c r="E25" s="20"/>
      <c r="F25" s="20"/>
      <c r="G25" s="20"/>
      <c r="H25" s="20">
        <f>COUNT('Master Data'!D175:D186)</f>
        <v>12</v>
      </c>
      <c r="I25" s="21">
        <f>SUM('Master Data'!D175:D186)</f>
        <v>2855.8091764705878</v>
      </c>
      <c r="J25" s="22">
        <f t="shared" si="0"/>
        <v>0.56363654426078402</v>
      </c>
      <c r="K25" s="23">
        <f>SUM('Master Data'!S175:S186)</f>
        <v>16.096384152941177</v>
      </c>
    </row>
    <row r="26" spans="1:13" x14ac:dyDescent="0.3">
      <c r="A26" s="12" t="s">
        <v>1012</v>
      </c>
      <c r="B26" s="20"/>
      <c r="C26" s="20"/>
      <c r="D26" s="20"/>
      <c r="E26" s="20"/>
      <c r="F26" s="20"/>
      <c r="G26" s="20"/>
      <c r="H26" s="20">
        <f>COUNT('Master Data'!D418:D418)</f>
        <v>1</v>
      </c>
      <c r="I26" s="21">
        <f>SUM('Master Data'!D418:D418)</f>
        <v>1200</v>
      </c>
      <c r="J26" s="22">
        <f t="shared" si="0"/>
        <v>0.7</v>
      </c>
      <c r="K26" s="23">
        <f>SUM('Master Data'!S418:S418)</f>
        <v>8.4</v>
      </c>
    </row>
    <row r="27" spans="1:13" x14ac:dyDescent="0.3">
      <c r="A27" s="12" t="s">
        <v>177</v>
      </c>
      <c r="B27" s="20"/>
      <c r="C27" s="20"/>
      <c r="D27" s="20"/>
      <c r="E27" s="20"/>
      <c r="F27" s="20"/>
      <c r="G27" s="20"/>
      <c r="H27" s="20">
        <f>COUNT('Master Data'!D365:D365)</f>
        <v>1</v>
      </c>
      <c r="I27" s="21">
        <f>SUM('Master Data'!D365:D365)</f>
        <v>2287.6751501286817</v>
      </c>
      <c r="J27" s="22">
        <f t="shared" si="0"/>
        <v>0.35000000000000003</v>
      </c>
      <c r="K27" s="23">
        <f>SUM('Master Data'!S365:S365)</f>
        <v>8.0068630254503859</v>
      </c>
    </row>
    <row r="28" spans="1:13" x14ac:dyDescent="0.3">
      <c r="A28" s="12" t="s">
        <v>13</v>
      </c>
      <c r="B28" s="20"/>
      <c r="C28" s="20"/>
      <c r="D28" s="20"/>
      <c r="E28" s="20"/>
      <c r="F28" s="20"/>
      <c r="G28" s="20"/>
      <c r="H28" s="20">
        <f>COUNT('Master Data'!D166:D174)</f>
        <v>9</v>
      </c>
      <c r="I28" s="21">
        <f>SUM('Master Data'!D166:D174)</f>
        <v>1287.6695319999999</v>
      </c>
      <c r="J28" s="22">
        <f t="shared" si="0"/>
        <v>0.51141054419232768</v>
      </c>
      <c r="K28" s="23">
        <f>SUM('Master Data'!S166:S174)</f>
        <v>6.5852777609999986</v>
      </c>
    </row>
    <row r="29" spans="1:13" x14ac:dyDescent="0.3">
      <c r="A29" s="12" t="s">
        <v>115</v>
      </c>
      <c r="B29" s="20"/>
      <c r="C29" s="20"/>
      <c r="D29" s="20"/>
      <c r="E29" s="20"/>
      <c r="F29" s="20"/>
      <c r="G29" s="20"/>
      <c r="H29" s="20">
        <f>COUNT('Master Data'!D626:D643)</f>
        <v>18</v>
      </c>
      <c r="I29" s="21">
        <f>SUM('Master Data'!D626:D643)</f>
        <v>2619.9760000000001</v>
      </c>
      <c r="J29" s="22">
        <f t="shared" si="0"/>
        <v>0.22783046867604886</v>
      </c>
      <c r="K29" s="23">
        <f>SUM('Master Data'!S626:S643)</f>
        <v>5.9691035999999986</v>
      </c>
    </row>
    <row r="30" spans="1:13" x14ac:dyDescent="0.3">
      <c r="A30" s="12" t="s">
        <v>1157</v>
      </c>
      <c r="B30" s="20"/>
      <c r="C30" s="20"/>
      <c r="D30" s="20"/>
      <c r="E30" s="20"/>
      <c r="F30" s="20"/>
      <c r="G30" s="20"/>
      <c r="H30" s="20">
        <f>COUNT('Master Data'!D3:D3)</f>
        <v>1</v>
      </c>
      <c r="I30" s="21">
        <f>SUM('Master Data'!D3:D3)</f>
        <v>240</v>
      </c>
      <c r="J30" s="22">
        <f>100*K30/I30</f>
        <v>2.2999999999999998</v>
      </c>
      <c r="K30" s="23">
        <f>SUM('Master Data'!S3:S3)</f>
        <v>5.52</v>
      </c>
    </row>
    <row r="31" spans="1:13" x14ac:dyDescent="0.3">
      <c r="A31" s="12" t="s">
        <v>36</v>
      </c>
      <c r="B31" s="20"/>
      <c r="C31" s="20"/>
      <c r="D31" s="20"/>
      <c r="E31" s="20"/>
      <c r="F31" s="20"/>
      <c r="G31" s="20"/>
      <c r="H31" s="20">
        <f>COUNT('Master Data'!D366:D396)</f>
        <v>31</v>
      </c>
      <c r="I31" s="21">
        <f>SUM('Master Data'!D366:D396)</f>
        <v>2197.66068</v>
      </c>
      <c r="J31" s="22">
        <f t="shared" si="0"/>
        <v>0.19488866952836414</v>
      </c>
      <c r="K31" s="23">
        <f>SUM('Master Data'!S366:S396)</f>
        <v>4.2829916600000004</v>
      </c>
    </row>
    <row r="32" spans="1:13" x14ac:dyDescent="0.3">
      <c r="A32" s="12" t="s">
        <v>189</v>
      </c>
      <c r="B32" s="20"/>
      <c r="C32" s="20"/>
      <c r="D32" s="20"/>
      <c r="E32" s="20"/>
      <c r="F32" s="20"/>
      <c r="G32" s="20"/>
      <c r="H32" s="20">
        <f>COUNT('Master Data'!D429:D431)</f>
        <v>3</v>
      </c>
      <c r="I32" s="21">
        <f>SUM('Master Data'!D429:D431)</f>
        <v>399.8</v>
      </c>
      <c r="J32" s="22">
        <f t="shared" si="0"/>
        <v>0.80035017508754369</v>
      </c>
      <c r="K32" s="23">
        <f>SUM('Master Data'!S429:S431)</f>
        <v>3.1997999999999998</v>
      </c>
    </row>
    <row r="33" spans="1:11" x14ac:dyDescent="0.3">
      <c r="A33" s="20" t="s">
        <v>528</v>
      </c>
      <c r="B33" s="20"/>
      <c r="C33" s="20"/>
      <c r="D33" s="20"/>
      <c r="E33" s="20"/>
      <c r="F33" s="20"/>
      <c r="G33" s="20"/>
      <c r="H33" s="20">
        <f>COUNT('Master Data'!D729:D732)</f>
        <v>4</v>
      </c>
      <c r="I33" s="21">
        <f>SUM('Master Data'!D729:D732)</f>
        <v>2138.52</v>
      </c>
      <c r="J33" s="22">
        <f t="shared" si="0"/>
        <v>0.11283612030750238</v>
      </c>
      <c r="K33" s="23">
        <f>SUM('Master Data'!S729:S732)</f>
        <v>2.4130229999999999</v>
      </c>
    </row>
    <row r="34" spans="1:11" x14ac:dyDescent="0.3">
      <c r="A34" s="20" t="s">
        <v>1128</v>
      </c>
      <c r="B34" s="20"/>
      <c r="C34" s="20"/>
      <c r="D34" s="20"/>
      <c r="E34" s="20"/>
      <c r="F34" s="20"/>
      <c r="G34" s="20"/>
      <c r="H34" s="20">
        <f>COUNT('Master Data'!D565:D565)</f>
        <v>1</v>
      </c>
      <c r="I34" s="21">
        <f>SUM('Master Data'!D565:D565)</f>
        <v>431</v>
      </c>
      <c r="J34" s="22">
        <f t="shared" si="0"/>
        <v>0.55000000000000004</v>
      </c>
      <c r="K34" s="23">
        <f>SUM('Master Data'!S565:S565)</f>
        <v>2.3705000000000003</v>
      </c>
    </row>
    <row r="35" spans="1:11" x14ac:dyDescent="0.3">
      <c r="A35" s="12" t="s">
        <v>96</v>
      </c>
      <c r="B35" s="20"/>
      <c r="C35" s="20"/>
      <c r="D35" s="20"/>
      <c r="E35" s="20"/>
      <c r="F35" s="20"/>
      <c r="G35" s="20"/>
      <c r="H35" s="20">
        <f>COUNT('Master Data'!D622:D625)</f>
        <v>4</v>
      </c>
      <c r="I35" s="21">
        <f>SUM('Master Data'!D622:D625)</f>
        <v>238.54499999999999</v>
      </c>
      <c r="J35" s="22">
        <f t="shared" si="0"/>
        <v>0.88639003042537945</v>
      </c>
      <c r="K35" s="23">
        <f>SUM('Master Data'!S622:S625)</f>
        <v>2.1144390980782215</v>
      </c>
    </row>
    <row r="36" spans="1:11" x14ac:dyDescent="0.3">
      <c r="A36" s="12" t="s">
        <v>476</v>
      </c>
      <c r="B36" s="20"/>
      <c r="C36" s="20"/>
      <c r="D36" s="20"/>
      <c r="E36" s="20"/>
      <c r="F36" s="20"/>
      <c r="G36" s="20"/>
      <c r="H36" s="20">
        <f>COUNT('Master Data'!D564:D564)</f>
        <v>1</v>
      </c>
      <c r="I36" s="21">
        <f>SUM('Master Data'!D564:D564)</f>
        <v>73.799000000000007</v>
      </c>
      <c r="J36" s="22">
        <f t="shared" si="0"/>
        <v>2.5657746039919243</v>
      </c>
      <c r="K36" s="23">
        <f>SUM('Master Data'!S564:S564)</f>
        <v>1.8935160000000004</v>
      </c>
    </row>
    <row r="37" spans="1:11" x14ac:dyDescent="0.3">
      <c r="A37" s="12" t="s">
        <v>726</v>
      </c>
      <c r="B37" s="20"/>
      <c r="C37" s="20"/>
      <c r="D37" s="20"/>
      <c r="E37" s="20"/>
      <c r="F37" s="20"/>
      <c r="G37" s="20"/>
      <c r="H37" s="20">
        <f>COUNT('Master Data'!D466:D475)</f>
        <v>10</v>
      </c>
      <c r="I37" s="21">
        <f>SUM('Master Data'!D466:D475)</f>
        <v>182.43666399999998</v>
      </c>
      <c r="J37" s="22">
        <f t="shared" si="0"/>
        <v>0.8402730097608011</v>
      </c>
      <c r="K37" s="23">
        <f>SUM('Master Data'!S466:S475)</f>
        <v>1.5329660474999998</v>
      </c>
    </row>
    <row r="38" spans="1:11" x14ac:dyDescent="0.3">
      <c r="A38" s="12" t="s">
        <v>719</v>
      </c>
      <c r="B38" s="20"/>
      <c r="C38" s="20"/>
      <c r="D38" s="20"/>
      <c r="E38" s="20"/>
      <c r="F38" s="20"/>
      <c r="G38" s="20"/>
      <c r="H38" s="20">
        <f>COUNT('Master Data'!D360:D364)</f>
        <v>5</v>
      </c>
      <c r="I38" s="21">
        <f>SUM('Master Data'!D360:D364)</f>
        <v>122.1583</v>
      </c>
      <c r="J38" s="22">
        <f t="shared" si="0"/>
        <v>1.073917392432606</v>
      </c>
      <c r="K38" s="23">
        <f>SUM('Master Data'!S360:S364)</f>
        <v>1.3118792300000002</v>
      </c>
    </row>
    <row r="39" spans="1:11" x14ac:dyDescent="0.3">
      <c r="A39" s="12" t="s">
        <v>835</v>
      </c>
      <c r="B39" s="20"/>
      <c r="C39" s="20"/>
      <c r="D39" s="20"/>
      <c r="E39" s="20"/>
      <c r="F39" s="20"/>
      <c r="G39" s="20"/>
      <c r="H39" s="20">
        <f>COUNT('Master Data'!D580:D582)</f>
        <v>3</v>
      </c>
      <c r="I39" s="21">
        <f>SUM('Master Data'!D580:D582)</f>
        <v>83.135999999999996</v>
      </c>
      <c r="J39" s="22">
        <f t="shared" si="0"/>
        <v>1.3488020785219401</v>
      </c>
      <c r="K39" s="23">
        <f>SUM('Master Data'!S580:S582)</f>
        <v>1.121340096</v>
      </c>
    </row>
    <row r="40" spans="1:11" x14ac:dyDescent="0.3">
      <c r="A40" s="12" t="s">
        <v>745</v>
      </c>
      <c r="B40" s="20"/>
      <c r="C40" s="20"/>
      <c r="D40" s="20"/>
      <c r="E40" s="20"/>
      <c r="F40" s="20"/>
      <c r="G40" s="20"/>
      <c r="H40" s="20">
        <f>COUNT('Master Data'!D397:D398)</f>
        <v>2</v>
      </c>
      <c r="I40" s="21">
        <f>SUM('Master Data'!D397:D398)</f>
        <v>192.19</v>
      </c>
      <c r="J40" s="22">
        <f t="shared" si="0"/>
        <v>0.54915448254331634</v>
      </c>
      <c r="K40" s="23">
        <f>SUM('Master Data'!S397:S398)</f>
        <v>1.0554199999999998</v>
      </c>
    </row>
    <row r="41" spans="1:11" x14ac:dyDescent="0.3">
      <c r="A41" s="12" t="s">
        <v>190</v>
      </c>
      <c r="B41" s="20"/>
      <c r="C41" s="20"/>
      <c r="D41" s="20"/>
      <c r="E41" s="20"/>
      <c r="F41" s="20"/>
      <c r="G41" s="20"/>
      <c r="H41" s="20">
        <f>COUNT('Master Data'!D647:D648)</f>
        <v>2</v>
      </c>
      <c r="I41" s="21">
        <f>SUM('Master Data'!D647:D648)</f>
        <v>200</v>
      </c>
      <c r="J41" s="22">
        <f t="shared" si="0"/>
        <v>0.51019999999999999</v>
      </c>
      <c r="K41" s="23">
        <f>SUM('Master Data'!S647:S648)</f>
        <v>1.0204</v>
      </c>
    </row>
    <row r="42" spans="1:11" x14ac:dyDescent="0.3">
      <c r="A42" s="12" t="s">
        <v>576</v>
      </c>
      <c r="B42" s="20"/>
      <c r="C42" s="20"/>
      <c r="D42" s="20"/>
      <c r="E42" s="20"/>
      <c r="F42" s="20"/>
      <c r="G42" s="20"/>
      <c r="H42" s="20">
        <f>COUNT('Master Data'!D427:D428)</f>
        <v>2</v>
      </c>
      <c r="I42" s="21">
        <f>SUM('Master Data'!D427:D428)</f>
        <v>442.2</v>
      </c>
      <c r="J42" s="22">
        <f t="shared" si="0"/>
        <v>0.20868385345997287</v>
      </c>
      <c r="K42" s="23">
        <f>SUM('Master Data'!S427:S428)</f>
        <v>0.92280000000000006</v>
      </c>
    </row>
    <row r="43" spans="1:11" x14ac:dyDescent="0.3">
      <c r="A43" s="12" t="s">
        <v>86</v>
      </c>
      <c r="B43" s="20"/>
      <c r="C43" s="20"/>
      <c r="D43" s="20"/>
      <c r="E43" s="20"/>
      <c r="F43" s="20"/>
      <c r="G43" s="20"/>
      <c r="H43" s="20">
        <f>COUNT('Master Data'!D335:D337)</f>
        <v>3</v>
      </c>
      <c r="I43" s="21">
        <f>SUM('Master Data'!D335:D337)</f>
        <v>421.88099999999997</v>
      </c>
      <c r="J43" s="22">
        <f t="shared" si="0"/>
        <v>0.20849582465197536</v>
      </c>
      <c r="K43" s="23">
        <f>SUM('Master Data'!S335:S337)</f>
        <v>0.87960427000000008</v>
      </c>
    </row>
    <row r="44" spans="1:11" x14ac:dyDescent="0.3">
      <c r="A44" s="12" t="s">
        <v>1174</v>
      </c>
      <c r="B44" s="20"/>
      <c r="C44" s="20"/>
      <c r="D44" s="20"/>
      <c r="E44" s="20"/>
      <c r="F44" s="20"/>
      <c r="G44" s="20"/>
      <c r="H44" s="20">
        <f>COUNT('Master Data'!D708:D708)</f>
        <v>1</v>
      </c>
      <c r="I44" s="21">
        <f>SUM('Master Data'!D708:D708)</f>
        <v>556.85</v>
      </c>
      <c r="J44" s="22">
        <f t="shared" ref="J44" si="1">100*K44/I44</f>
        <v>0.127</v>
      </c>
      <c r="K44" s="23">
        <f>SUM('Master Data'!S708:S708)</f>
        <v>0.70719949999999998</v>
      </c>
    </row>
    <row r="45" spans="1:11" x14ac:dyDescent="0.3">
      <c r="A45" s="12" t="s">
        <v>688</v>
      </c>
      <c r="B45" s="20"/>
      <c r="C45" s="20"/>
      <c r="D45" s="20"/>
      <c r="E45" s="20"/>
      <c r="F45" s="20"/>
      <c r="G45" s="20"/>
      <c r="H45" s="20">
        <f>COUNT('Master Data'!D187:D187)</f>
        <v>1</v>
      </c>
      <c r="I45" s="21">
        <f>SUM('Master Data'!D187:D187)</f>
        <v>227.2</v>
      </c>
      <c r="J45" s="22">
        <f t="shared" si="0"/>
        <v>0.27</v>
      </c>
      <c r="K45" s="23">
        <f>SUM('Master Data'!S187:S187)</f>
        <v>0.61343999999999999</v>
      </c>
    </row>
    <row r="46" spans="1:11" x14ac:dyDescent="0.3">
      <c r="A46" s="12" t="s">
        <v>95</v>
      </c>
      <c r="B46" s="20"/>
      <c r="C46" s="20"/>
      <c r="D46" s="20"/>
      <c r="E46" s="20"/>
      <c r="F46" s="20"/>
      <c r="G46" s="20"/>
      <c r="H46" s="20">
        <f>COUNT('Master Data'!D649:D650)</f>
        <v>2</v>
      </c>
      <c r="I46" s="21">
        <f>SUM('Master Data'!D649:D650)</f>
        <v>37.597999999999999</v>
      </c>
      <c r="J46" s="22">
        <f t="shared" si="0"/>
        <v>1.3602223522527794</v>
      </c>
      <c r="K46" s="23">
        <f>SUM('Master Data'!S649:S650)</f>
        <v>0.51141639999999999</v>
      </c>
    </row>
    <row r="47" spans="1:11" x14ac:dyDescent="0.3">
      <c r="A47" s="12" t="s">
        <v>87</v>
      </c>
      <c r="B47" s="20"/>
      <c r="C47" s="20"/>
      <c r="D47" s="20"/>
      <c r="E47" s="20"/>
      <c r="F47" s="20"/>
      <c r="G47" s="20"/>
      <c r="H47" s="20">
        <f>COUNT('Master Data'!D644:D646)</f>
        <v>3</v>
      </c>
      <c r="I47" s="21">
        <f>SUM('Master Data'!D644:D646)</f>
        <v>147.226</v>
      </c>
      <c r="J47" s="22">
        <f t="shared" si="0"/>
        <v>0.28540376020539848</v>
      </c>
      <c r="K47" s="23">
        <f>SUM('Master Data'!S644:S646)</f>
        <v>0.42018854</v>
      </c>
    </row>
    <row r="48" spans="1:11" x14ac:dyDescent="0.3">
      <c r="A48" s="12" t="s">
        <v>20</v>
      </c>
      <c r="B48" s="20"/>
      <c r="C48" s="20"/>
      <c r="D48" s="20"/>
      <c r="E48" s="20"/>
      <c r="F48" s="20"/>
      <c r="G48" s="20"/>
      <c r="H48" s="20">
        <f>COUNT('Master Data'!D432:D432)</f>
        <v>1</v>
      </c>
      <c r="I48" s="21">
        <f>SUM('Master Data'!D432:D432)</f>
        <v>25.540000000000003</v>
      </c>
      <c r="J48" s="22">
        <f t="shared" si="0"/>
        <v>1.3865740015661705</v>
      </c>
      <c r="K48" s="23">
        <f>SUM('Master Data'!S432:S432)</f>
        <v>0.35413099999999997</v>
      </c>
    </row>
    <row r="49" spans="1:11" x14ac:dyDescent="0.3">
      <c r="A49" s="12" t="s">
        <v>820</v>
      </c>
      <c r="B49" s="20"/>
      <c r="C49" s="20"/>
      <c r="D49" s="20"/>
      <c r="E49" s="20"/>
      <c r="F49" s="20"/>
      <c r="G49" s="20"/>
      <c r="H49" s="20">
        <f>COUNT('Master Data'!D188:D188)</f>
        <v>1</v>
      </c>
      <c r="I49" s="21">
        <f>SUM('Master Data'!D188:D188)</f>
        <v>185</v>
      </c>
      <c r="J49" s="22">
        <f t="shared" si="0"/>
        <v>0.16999999999999998</v>
      </c>
      <c r="K49" s="23">
        <f>SUM('Master Data'!S188:S188)</f>
        <v>0.3145</v>
      </c>
    </row>
    <row r="50" spans="1:11" x14ac:dyDescent="0.3">
      <c r="A50" s="12" t="s">
        <v>1017</v>
      </c>
      <c r="B50" s="20"/>
      <c r="C50" s="20"/>
      <c r="D50" s="20"/>
      <c r="E50" s="20"/>
      <c r="F50" s="20"/>
      <c r="G50" s="20"/>
      <c r="H50" s="20">
        <f>COUNT('Master Data'!D164:D165)</f>
        <v>2</v>
      </c>
      <c r="I50" s="21">
        <f>SUM('Master Data'!D164:D165)</f>
        <v>491.315</v>
      </c>
      <c r="J50" s="22">
        <f t="shared" si="0"/>
        <v>4.9282089901590637E-2</v>
      </c>
      <c r="K50" s="23">
        <f>SUM('Master Data'!S164:S165)</f>
        <v>0.24213030000000002</v>
      </c>
    </row>
    <row r="51" spans="1:11" x14ac:dyDescent="0.3">
      <c r="A51" s="20" t="s">
        <v>621</v>
      </c>
      <c r="B51" s="20"/>
      <c r="C51" s="20"/>
      <c r="D51" s="20"/>
      <c r="E51" s="20"/>
      <c r="F51" s="20"/>
      <c r="G51" s="20"/>
      <c r="H51" s="20">
        <f>COUNT('Master Data'!D4:D5)</f>
        <v>2</v>
      </c>
      <c r="I51" s="21">
        <f>SUM('Master Data'!D4:D5)</f>
        <v>18.100000000000001</v>
      </c>
      <c r="J51" s="22">
        <f t="shared" si="0"/>
        <v>0.6453038674033148</v>
      </c>
      <c r="K51" s="23">
        <f>SUM('Master Data'!S4:S5)</f>
        <v>0.11679999999999999</v>
      </c>
    </row>
    <row r="52" spans="1:11" x14ac:dyDescent="0.3">
      <c r="A52" s="12" t="s">
        <v>938</v>
      </c>
      <c r="B52" s="20"/>
      <c r="C52" s="20"/>
      <c r="D52" s="20"/>
      <c r="E52" s="20"/>
      <c r="F52" s="20"/>
      <c r="G52" s="20"/>
      <c r="H52" s="20">
        <f>COUNT('Master Data'!D359:D359)</f>
        <v>1</v>
      </c>
      <c r="I52" s="21">
        <f>SUM('Master Data'!D359:D359)</f>
        <v>3.1219999999999999</v>
      </c>
      <c r="J52" s="22">
        <f t="shared" si="0"/>
        <v>3.3317937219730944</v>
      </c>
      <c r="K52" s="23">
        <f>SUM('Master Data'!S359:S359)</f>
        <v>0.10401860000000002</v>
      </c>
    </row>
    <row r="53" spans="1:11" x14ac:dyDescent="0.3">
      <c r="A53" s="12" t="s">
        <v>723</v>
      </c>
      <c r="B53" s="20"/>
      <c r="C53" s="20"/>
      <c r="D53" s="20"/>
      <c r="E53" s="20"/>
      <c r="F53" s="20"/>
      <c r="G53" s="20"/>
      <c r="H53" s="20">
        <f>COUNT('Master Data'!D465:D465)</f>
        <v>1</v>
      </c>
      <c r="I53" s="21">
        <f>SUM('Master Data'!D465:D465)</f>
        <v>3.1</v>
      </c>
      <c r="J53" s="22">
        <f t="shared" si="0"/>
        <v>1.4</v>
      </c>
      <c r="K53" s="23">
        <f>SUM('Master Data'!S465:S465)</f>
        <v>4.3400000000000001E-2</v>
      </c>
    </row>
    <row r="54" spans="1:11" x14ac:dyDescent="0.3">
      <c r="A54" s="12" t="s">
        <v>969</v>
      </c>
      <c r="B54" s="20"/>
      <c r="C54" s="20"/>
      <c r="D54" s="20"/>
      <c r="E54" s="20"/>
      <c r="F54" s="20"/>
      <c r="G54" s="20"/>
      <c r="H54" s="20">
        <f>COUNT('Master Data'!D476:D478)</f>
        <v>3</v>
      </c>
      <c r="I54" s="21">
        <f>SUM('Master Data'!D476:D478)</f>
        <v>13.772999999999998</v>
      </c>
      <c r="J54" s="22">
        <f t="shared" si="0"/>
        <v>0.25414579249255786</v>
      </c>
      <c r="K54" s="23">
        <f>SUM('Master Data'!S476:S478)</f>
        <v>3.5003499999999993E-2</v>
      </c>
    </row>
    <row r="55" spans="1:11" x14ac:dyDescent="0.3">
      <c r="A55" s="12" t="s">
        <v>913</v>
      </c>
      <c r="B55" s="20"/>
      <c r="C55" s="20"/>
      <c r="D55" s="20"/>
      <c r="E55" s="20"/>
      <c r="F55" s="20"/>
      <c r="G55" s="20"/>
      <c r="H55" s="20">
        <f>COUNT('Master Data'!D709:D709)</f>
        <v>1</v>
      </c>
      <c r="I55" s="21">
        <f>SUM('Master Data'!D709:D709)</f>
        <v>21.75</v>
      </c>
      <c r="J55" s="22">
        <f t="shared" si="0"/>
        <v>0.13</v>
      </c>
      <c r="K55" s="23">
        <f>SUM('Master Data'!S709:S709)</f>
        <v>2.8275000000000002E-2</v>
      </c>
    </row>
    <row r="56" spans="1:11" x14ac:dyDescent="0.3">
      <c r="A56" s="12" t="s">
        <v>949</v>
      </c>
      <c r="B56" s="20"/>
      <c r="C56" s="20"/>
      <c r="D56" s="20"/>
      <c r="E56" s="20"/>
      <c r="F56" s="20"/>
      <c r="G56" s="20"/>
      <c r="H56" s="20">
        <f>COUNT('Master Data'!D419:D419)</f>
        <v>1</v>
      </c>
      <c r="I56" s="21">
        <f>SUM('Master Data'!D419:D419)</f>
        <v>3.6</v>
      </c>
      <c r="J56" s="22">
        <f t="shared" si="0"/>
        <v>0.7</v>
      </c>
      <c r="K56" s="23">
        <f>SUM('Master Data'!S419:S419)</f>
        <v>2.52E-2</v>
      </c>
    </row>
    <row r="57" spans="1:11" x14ac:dyDescent="0.3">
      <c r="A57" s="20" t="s">
        <v>872</v>
      </c>
      <c r="B57" s="20"/>
      <c r="C57" s="20"/>
      <c r="D57" s="20"/>
      <c r="E57" s="20"/>
      <c r="F57" s="20"/>
      <c r="G57" s="20"/>
      <c r="H57" s="20">
        <f>COUNT('Master Data'!D651:D651)</f>
        <v>1</v>
      </c>
      <c r="I57" s="21">
        <f>SUM('Master Data'!D651:D651)</f>
        <v>1.331</v>
      </c>
      <c r="J57" s="22">
        <f t="shared" si="0"/>
        <v>1.08</v>
      </c>
      <c r="K57" s="23">
        <f>SUM('Master Data'!S651:S651)</f>
        <v>1.43748E-2</v>
      </c>
    </row>
    <row r="58" spans="1:11" x14ac:dyDescent="0.3">
      <c r="A58" s="20" t="s">
        <v>478</v>
      </c>
      <c r="B58" s="20">
        <v>80</v>
      </c>
      <c r="C58" s="20"/>
      <c r="D58" s="20">
        <v>70</v>
      </c>
      <c r="E58" s="20"/>
      <c r="F58" s="20">
        <v>110</v>
      </c>
      <c r="G58" s="20"/>
      <c r="H58" s="20"/>
      <c r="I58" s="20"/>
      <c r="J58" s="20"/>
      <c r="K58" s="20"/>
    </row>
    <row r="59" spans="1:11" x14ac:dyDescent="0.3">
      <c r="A59" s="58" t="s">
        <v>1126</v>
      </c>
      <c r="B59" s="1">
        <f>SUM(B4:B58)</f>
        <v>635</v>
      </c>
      <c r="D59" s="1">
        <f>SUM(D4:D58)</f>
        <v>550</v>
      </c>
      <c r="F59" s="1">
        <f>SUM(F4:F58)</f>
        <v>999</v>
      </c>
      <c r="I59" s="14">
        <f>SUM(I4:I57)</f>
        <v>363269.78287714656</v>
      </c>
      <c r="J59" s="14">
        <f>AVERAGE(J4:J57)</f>
        <v>0.74756081745349678</v>
      </c>
      <c r="K59" s="14">
        <f t="shared" ref="K59" si="2">SUM(K4:K57)</f>
        <v>1780.8645853828566</v>
      </c>
    </row>
    <row r="60" spans="1:11" x14ac:dyDescent="0.3">
      <c r="J60" s="1" t="s">
        <v>1127</v>
      </c>
    </row>
  </sheetData>
  <sortState ref="A4:K56">
    <sortCondition descending="1" ref="K4:K56"/>
    <sortCondition ref="A4:A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RowHeight="14.4" x14ac:dyDescent="0.3"/>
  <sheetData>
    <row r="1" spans="1:4" x14ac:dyDescent="0.3">
      <c r="A1" s="51" t="s">
        <v>1211</v>
      </c>
      <c r="B1" s="52"/>
      <c r="C1" s="52"/>
      <c r="D1" s="52"/>
    </row>
    <row r="2" spans="1:4" x14ac:dyDescent="0.3">
      <c r="A2" t="s">
        <v>1212</v>
      </c>
    </row>
    <row r="3" spans="1:4" x14ac:dyDescent="0.3">
      <c r="A3" t="s">
        <v>1213</v>
      </c>
    </row>
    <row r="4" spans="1:4" x14ac:dyDescent="0.3">
      <c r="A4" t="s">
        <v>1214</v>
      </c>
    </row>
    <row r="5" spans="1:4" x14ac:dyDescent="0.3">
      <c r="A5" t="s">
        <v>1215</v>
      </c>
    </row>
    <row r="6" spans="1:4" x14ac:dyDescent="0.3">
      <c r="A6" t="s">
        <v>1221</v>
      </c>
    </row>
    <row r="7" spans="1:4" x14ac:dyDescent="0.3">
      <c r="A7" t="s">
        <v>1232</v>
      </c>
    </row>
    <row r="8" spans="1:4" x14ac:dyDescent="0.3">
      <c r="A8" t="s">
        <v>1261</v>
      </c>
    </row>
    <row r="9" spans="1:4" x14ac:dyDescent="0.3">
      <c r="A9" t="s">
        <v>1336</v>
      </c>
    </row>
    <row r="10" spans="1:4" x14ac:dyDescent="0.3">
      <c r="A10" t="s">
        <v>1337</v>
      </c>
    </row>
    <row r="12" spans="1:4" x14ac:dyDescent="0.3">
      <c r="A12" s="51" t="s">
        <v>1199</v>
      </c>
      <c r="B12" s="52"/>
      <c r="C12" s="52"/>
      <c r="D12" s="52"/>
    </row>
    <row r="13" spans="1:4" x14ac:dyDescent="0.3">
      <c r="A13" t="s">
        <v>1247</v>
      </c>
    </row>
    <row r="14" spans="1:4" x14ac:dyDescent="0.3">
      <c r="A14" s="55" t="s">
        <v>1330</v>
      </c>
    </row>
    <row r="15" spans="1:4" x14ac:dyDescent="0.3">
      <c r="A15" s="55" t="s">
        <v>1331</v>
      </c>
    </row>
    <row r="16" spans="1:4" x14ac:dyDescent="0.3">
      <c r="A16" s="55" t="s">
        <v>1352</v>
      </c>
    </row>
    <row r="17" spans="1:1" x14ac:dyDescent="0.3">
      <c r="A17" t="s">
        <v>1339</v>
      </c>
    </row>
    <row r="18" spans="1:1" x14ac:dyDescent="0.3">
      <c r="A18" t="s">
        <v>1342</v>
      </c>
    </row>
    <row r="19" spans="1:1" x14ac:dyDescent="0.3">
      <c r="A19" t="s">
        <v>1343</v>
      </c>
    </row>
    <row r="20" spans="1:1" x14ac:dyDescent="0.3">
      <c r="A20" t="s">
        <v>1349</v>
      </c>
    </row>
    <row r="21" spans="1:1" x14ac:dyDescent="0.3">
      <c r="A21" t="s">
        <v>1355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Data</vt:lpstr>
      <vt:lpstr>Country Totals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2012-08-30T15:00:09Z</dcterms:modified>
</cp:coreProperties>
</file>