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_health_factor_reached_af" sheetId="1" r:id="rId4"/>
    <sheet state="visible" name="debt_amt_adjusted_to_total_debt" sheetId="2" r:id="rId5"/>
    <sheet state="visible" name="debt_amt_adjusted_to_max_allowe" sheetId="3" r:id="rId6"/>
    <sheet state="visible" name="debt_amt_no_adjustment_with_dif" sheetId="4" r:id="rId7"/>
    <sheet state="visible" name="same_asset_for_debt_and_collate" sheetId="5" r:id="rId8"/>
    <sheet state="visible" name="response_verification" sheetId="6" r:id="rId9"/>
  </sheets>
  <definedNames/>
  <calcPr/>
</workbook>
</file>

<file path=xl/sharedStrings.xml><?xml version="1.0" encoding="utf-8"?>
<sst xmlns="http://schemas.openxmlformats.org/spreadsheetml/2006/main" count="310" uniqueCount="46">
  <si>
    <t>ORANGE CELLS CAN BE MODIFIED</t>
  </si>
  <si>
    <t>THF</t>
  </si>
  <si>
    <t>PLF</t>
  </si>
  <si>
    <t>B [0%, 10%]</t>
  </si>
  <si>
    <t>slope [1, 5]</t>
  </si>
  <si>
    <t>minLB [0%, 10%]</t>
  </si>
  <si>
    <t>maxLB [5%, 30%]</t>
  </si>
  <si>
    <t>collateral</t>
  </si>
  <si>
    <t>amount</t>
  </si>
  <si>
    <t>price $</t>
  </si>
  <si>
    <t>value</t>
  </si>
  <si>
    <t>LTV</t>
  </si>
  <si>
    <t>LTV value</t>
  </si>
  <si>
    <t>LT</t>
  </si>
  <si>
    <t>LT value</t>
  </si>
  <si>
    <t>Liquidate positions after liquidation</t>
  </si>
  <si>
    <t>-&gt; liquidated collateral</t>
  </si>
  <si>
    <t>uosmo</t>
  </si>
  <si>
    <t>ujake</t>
  </si>
  <si>
    <t>uatom</t>
  </si>
  <si>
    <t>debt</t>
  </si>
  <si>
    <t>-&gt; repayed debt</t>
  </si>
  <si>
    <t>uusdc</t>
  </si>
  <si>
    <t>untrn</t>
  </si>
  <si>
    <t>LTV HF</t>
  </si>
  <si>
    <t>LT HF</t>
  </si>
  <si>
    <t>Collateralization Ratio</t>
  </si>
  <si>
    <t>maxLB*</t>
  </si>
  <si>
    <t>Liquidation Bonus</t>
  </si>
  <si>
    <t>MDR numerator</t>
  </si>
  <si>
    <t>MDR denominator</t>
  </si>
  <si>
    <t>MDR value</t>
  </si>
  <si>
    <t>MDR amount</t>
  </si>
  <si>
    <t>How much debt repayed</t>
  </si>
  <si>
    <t>User debt amount</t>
  </si>
  <si>
    <t>Max debt possible to repay</t>
  </si>
  <si>
    <t>Final debt to repay</t>
  </si>
  <si>
    <t>Refunded debt coins</t>
  </si>
  <si>
    <t>Total collateral liquidated</t>
  </si>
  <si>
    <t>Protocol fee</t>
  </si>
  <si>
    <t>Collateral received by liquidator</t>
  </si>
  <si>
    <t>HF after liquidation</t>
  </si>
  <si>
    <t>Liquidator positions</t>
  </si>
  <si>
    <t>before liquidation</t>
  </si>
  <si>
    <t>after liquidation</t>
  </si>
  <si>
    <t>&lt;- goes to different recipient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</si>
</sst>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1" fillId="6" fontId="2" numFmtId="0" xfId="0" applyBorder="1" applyFill="1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3.0</v>
      </c>
      <c r="E13" s="6">
        <f t="shared" ref="E13:E15" si="1">FLOOR(C13*D13,1)</f>
        <v>30000</v>
      </c>
      <c r="F13" s="3">
        <v>0.7</v>
      </c>
      <c r="G13" s="6">
        <f t="shared" ref="G13:G15" si="2">FLOOR(E13*F13,1)</f>
        <v>21000</v>
      </c>
      <c r="H13" s="3">
        <v>0.78</v>
      </c>
      <c r="I13" s="7">
        <f t="shared" ref="I13:I15" si="3">FLOOR(E13*H13,1)</f>
        <v>23400</v>
      </c>
      <c r="J13" s="8">
        <f>C13-C40</f>
        <v>2809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39380</v>
      </c>
      <c r="F16" s="9"/>
      <c r="G16" s="9">
        <f>SUM(G13:G15)</f>
        <v>28051</v>
      </c>
      <c r="H16" s="9"/>
      <c r="I16" s="9">
        <f>SUM(I13:I15)</f>
        <v>31142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8.5</v>
      </c>
      <c r="E19" s="6">
        <f t="shared" ref="E19:E20" si="5">CEILING(C19*D19,1)</f>
        <v>25500</v>
      </c>
      <c r="F19" s="11">
        <f>C19-C38</f>
        <v>627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32100</v>
      </c>
    </row>
    <row r="23">
      <c r="B23" s="2" t="s">
        <v>24</v>
      </c>
      <c r="C23" s="2">
        <f>G16/E21</f>
        <v>0.8738629283</v>
      </c>
    </row>
    <row r="24">
      <c r="B24" s="2" t="s">
        <v>25</v>
      </c>
      <c r="C24" s="2">
        <f>I16/E21</f>
        <v>0.9701557632</v>
      </c>
    </row>
    <row r="25">
      <c r="B25" s="2" t="s">
        <v>26</v>
      </c>
      <c r="C25" s="12">
        <f>E16/E21</f>
        <v>1.226791277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0.06968847352</v>
      </c>
    </row>
    <row r="29">
      <c r="B29" s="2" t="s">
        <v>29</v>
      </c>
      <c r="C29" s="12">
        <f>FLOOR(C4*E21,1)-I16</f>
        <v>7378</v>
      </c>
    </row>
    <row r="30">
      <c r="B30" s="2" t="s">
        <v>30</v>
      </c>
      <c r="C30" s="12">
        <f>(C4-(H13*(1+C27)))</f>
        <v>0.3656429907</v>
      </c>
    </row>
    <row r="31">
      <c r="B31" s="2" t="s">
        <v>31</v>
      </c>
      <c r="C31" s="7">
        <f>FLOOR(C29/C30,1)</f>
        <v>20178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2373</v>
      </c>
      <c r="D34" s="12"/>
    </row>
    <row r="35">
      <c r="B35" s="2" t="s">
        <v>33</v>
      </c>
      <c r="C35" s="3">
        <v>2373.0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3299</v>
      </c>
      <c r="D37" s="12"/>
    </row>
    <row r="38">
      <c r="B38" s="2" t="s">
        <v>36</v>
      </c>
      <c r="C38" s="8">
        <f>MIN(C34:C37)</f>
        <v>2373</v>
      </c>
      <c r="D38" s="8">
        <f>FLOOR(C38*D19,1)</f>
        <v>20170</v>
      </c>
    </row>
    <row r="39">
      <c r="B39" s="2" t="s">
        <v>37</v>
      </c>
      <c r="C39" s="8">
        <f>C35-C38</f>
        <v>0</v>
      </c>
      <c r="D39" s="8"/>
    </row>
    <row r="40">
      <c r="B40" s="2" t="s">
        <v>38</v>
      </c>
      <c r="C40" s="8">
        <f>FLOOR(FLOOR(D38*(1+C27),1)/D13,1)</f>
        <v>7191</v>
      </c>
      <c r="D40" s="8">
        <f>FLOOR(C40*D13,1)</f>
        <v>21573</v>
      </c>
    </row>
    <row r="41">
      <c r="B41" s="2" t="s">
        <v>39</v>
      </c>
      <c r="C41" s="8">
        <f>CEILING(FLOOR(C40*C27,1)*C5,1)</f>
        <v>11</v>
      </c>
      <c r="D41" s="8">
        <f>FLOOR(C41*D13,1)</f>
        <v>33</v>
      </c>
    </row>
    <row r="42">
      <c r="B42" s="2" t="s">
        <v>40</v>
      </c>
      <c r="C42" s="8">
        <f>C40-C41</f>
        <v>7180</v>
      </c>
      <c r="D42" s="8">
        <f>FLOOR(C42*D13,1)</f>
        <v>21540</v>
      </c>
    </row>
    <row r="43">
      <c r="B43" s="2" t="s">
        <v>41</v>
      </c>
      <c r="C43" s="7"/>
      <c r="D43" s="8">
        <f>(I16-FLOOR(D40*H13,1))/(E21-D38)</f>
        <v>1.2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7180</v>
      </c>
    </row>
  </sheetData>
  <mergeCells count="1">
    <mergeCell ref="E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2.5</v>
      </c>
      <c r="E13" s="6">
        <f t="shared" ref="E13:E15" si="1">FLOOR(C13*D13,1)</f>
        <v>25000</v>
      </c>
      <c r="F13" s="3">
        <v>0.7</v>
      </c>
      <c r="G13" s="6">
        <f t="shared" ref="G13:G15" si="2">FLOOR(E13*F13,1)</f>
        <v>17500</v>
      </c>
      <c r="H13" s="3">
        <v>0.78</v>
      </c>
      <c r="I13" s="7">
        <f t="shared" ref="I13:I15" si="3">FLOOR(E13*H13,1)</f>
        <v>19500</v>
      </c>
      <c r="J13" s="8">
        <f>C13-C40</f>
        <v>34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34380</v>
      </c>
      <c r="F16" s="9"/>
      <c r="G16" s="9">
        <f>SUM(G13:G15)</f>
        <v>24551</v>
      </c>
      <c r="H16" s="9"/>
      <c r="I16" s="9">
        <f>SUM(I13:I15)</f>
        <v>27242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7.55</v>
      </c>
      <c r="E19" s="6">
        <f t="shared" ref="E19:E20" si="5">CEILING(C19*D19,1)</f>
        <v>22650</v>
      </c>
      <c r="F19" s="11">
        <f>C19-C38</f>
        <v>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29250</v>
      </c>
    </row>
    <row r="23">
      <c r="B23" s="2" t="s">
        <v>24</v>
      </c>
      <c r="C23" s="2">
        <f>G16/E21</f>
        <v>0.8393504274</v>
      </c>
    </row>
    <row r="24">
      <c r="B24" s="2" t="s">
        <v>25</v>
      </c>
      <c r="C24" s="2">
        <f>I16/E21</f>
        <v>0.9313504274</v>
      </c>
    </row>
    <row r="25">
      <c r="B25" s="2" t="s">
        <v>26</v>
      </c>
      <c r="C25" s="12">
        <f>E16/E21</f>
        <v>1.175384615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29">
      <c r="B29" s="2" t="s">
        <v>29</v>
      </c>
      <c r="C29" s="12">
        <f>FLOOR(C4*E21,1)-I16</f>
        <v>7858</v>
      </c>
    </row>
    <row r="30">
      <c r="B30" s="2" t="s">
        <v>30</v>
      </c>
      <c r="C30" s="12">
        <f>(C4-(H13*(1+C27)))</f>
        <v>0.342</v>
      </c>
    </row>
    <row r="31">
      <c r="B31" s="2" t="s">
        <v>31</v>
      </c>
      <c r="C31" s="7">
        <f>FLOOR(C29/C30,1)</f>
        <v>22976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3043</v>
      </c>
      <c r="D34" s="12"/>
    </row>
    <row r="35">
      <c r="B35" s="2" t="s">
        <v>33</v>
      </c>
      <c r="C35" s="3">
        <v>3250.0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3010</v>
      </c>
      <c r="D37" s="12"/>
    </row>
    <row r="38">
      <c r="B38" s="2" t="s">
        <v>36</v>
      </c>
      <c r="C38" s="8">
        <f>MIN(C34:C37)</f>
        <v>3000</v>
      </c>
      <c r="D38" s="8">
        <f>FLOOR(C38*D19,1)</f>
        <v>22650</v>
      </c>
    </row>
    <row r="39">
      <c r="B39" s="2" t="s">
        <v>37</v>
      </c>
      <c r="C39" s="8">
        <f>C35-C38</f>
        <v>250</v>
      </c>
      <c r="D39" s="8"/>
    </row>
    <row r="40">
      <c r="B40" s="2" t="s">
        <v>38</v>
      </c>
      <c r="C40" s="8">
        <f>FLOOR(FLOOR(D38*(1+C27),1)/D13,1)</f>
        <v>9966</v>
      </c>
      <c r="D40" s="8">
        <f>FLOOR(C40*D13,1)</f>
        <v>24915</v>
      </c>
    </row>
    <row r="41">
      <c r="B41" s="2" t="s">
        <v>39</v>
      </c>
      <c r="C41" s="8">
        <f>CEILING(FLOOR(C40*C27,1)*C5,1)</f>
        <v>20</v>
      </c>
      <c r="D41" s="8">
        <f>FLOOR(C41*D13,1)</f>
        <v>50</v>
      </c>
    </row>
    <row r="42">
      <c r="B42" s="2" t="s">
        <v>40</v>
      </c>
      <c r="C42" s="8">
        <f>C40-C41</f>
        <v>9946</v>
      </c>
      <c r="D42" s="8">
        <f>FLOOR(C42*D13,1)</f>
        <v>24865</v>
      </c>
    </row>
    <row r="43">
      <c r="B43" s="2" t="s">
        <v>41</v>
      </c>
      <c r="C43" s="7"/>
      <c r="D43" s="8">
        <f>(I16-FLOOR(D40*H13,1))/(E21-D38)</f>
        <v>1.183181818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9946</v>
      </c>
    </row>
  </sheetData>
  <mergeCells count="1">
    <mergeCell ref="E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2.0</v>
      </c>
      <c r="E13" s="6">
        <f t="shared" ref="E13:E15" si="1">FLOOR(C13*D13,1)</f>
        <v>20000</v>
      </c>
      <c r="F13" s="3">
        <v>0.7</v>
      </c>
      <c r="G13" s="6">
        <f t="shared" ref="G13:G15" si="2">FLOOR(E13*F13,1)</f>
        <v>14000</v>
      </c>
      <c r="H13" s="3">
        <v>0.78</v>
      </c>
      <c r="I13" s="7">
        <f t="shared" ref="I13:I15" si="3">FLOOR(E13*H13,1)</f>
        <v>15600</v>
      </c>
      <c r="J13" s="8">
        <f>C13-C40</f>
        <v>4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29380</v>
      </c>
      <c r="F16" s="9"/>
      <c r="G16" s="9">
        <f>SUM(G13:G15)</f>
        <v>21051</v>
      </c>
      <c r="H16" s="9"/>
      <c r="I16" s="9">
        <f>SUM(I13:I15)</f>
        <v>23342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6.4</v>
      </c>
      <c r="E19" s="6">
        <f t="shared" ref="E19:E20" si="5">CEILING(C19*D19,1)</f>
        <v>19200</v>
      </c>
      <c r="F19" s="11">
        <f>C19-C38</f>
        <v>160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25800</v>
      </c>
    </row>
    <row r="23">
      <c r="B23" s="2" t="s">
        <v>24</v>
      </c>
      <c r="C23" s="2">
        <f>G16/E21</f>
        <v>0.8159302326</v>
      </c>
    </row>
    <row r="24">
      <c r="B24" s="2" t="s">
        <v>25</v>
      </c>
      <c r="C24" s="2">
        <f>I16/E21</f>
        <v>0.9047286822</v>
      </c>
    </row>
    <row r="25">
      <c r="B25" s="2" t="s">
        <v>26</v>
      </c>
      <c r="C25" s="12">
        <f>E16/E21</f>
        <v>1.13875969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29">
      <c r="B29" s="2" t="s">
        <v>29</v>
      </c>
      <c r="C29" s="12">
        <f>FLOOR(C4*E21,1)-I16</f>
        <v>7618</v>
      </c>
    </row>
    <row r="30">
      <c r="B30" s="2" t="s">
        <v>30</v>
      </c>
      <c r="C30" s="12">
        <f>(C4-(H13*(1+C27)))</f>
        <v>0.342</v>
      </c>
    </row>
    <row r="31">
      <c r="B31" s="2" t="s">
        <v>31</v>
      </c>
      <c r="C31" s="7">
        <f>FLOOR(C29/C30,1)</f>
        <v>22274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3480</v>
      </c>
      <c r="D34" s="12"/>
    </row>
    <row r="35">
      <c r="B35" s="2" t="s">
        <v>33</v>
      </c>
      <c r="C35" s="3">
        <v>2840.0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2840</v>
      </c>
      <c r="D37" s="12"/>
    </row>
    <row r="38">
      <c r="B38" s="2" t="s">
        <v>36</v>
      </c>
      <c r="C38" s="8">
        <f>MIN(C34:C37)</f>
        <v>2840</v>
      </c>
      <c r="D38" s="8">
        <f>FLOOR(C38*D19,1)</f>
        <v>18176</v>
      </c>
    </row>
    <row r="39">
      <c r="B39" s="2" t="s">
        <v>37</v>
      </c>
      <c r="C39" s="8">
        <f>C35-C38</f>
        <v>0</v>
      </c>
      <c r="D39" s="8"/>
    </row>
    <row r="40">
      <c r="B40" s="2" t="s">
        <v>38</v>
      </c>
      <c r="C40" s="8">
        <f>FLOOR(FLOOR(D38*(1+C27),1)/D13,1)</f>
        <v>9996</v>
      </c>
      <c r="D40" s="8">
        <f>FLOOR(C40*D13,1)</f>
        <v>19992</v>
      </c>
    </row>
    <row r="41">
      <c r="B41" s="2" t="s">
        <v>39</v>
      </c>
      <c r="C41" s="8">
        <f>CEILING(FLOOR(C40*C27,1)*C5,1)</f>
        <v>20</v>
      </c>
      <c r="D41" s="8">
        <f>FLOOR(C41*D13,1)</f>
        <v>40</v>
      </c>
    </row>
    <row r="42">
      <c r="B42" s="2" t="s">
        <v>40</v>
      </c>
      <c r="C42" s="8">
        <f>C40-C41</f>
        <v>9976</v>
      </c>
      <c r="D42" s="8">
        <f>FLOOR(C42*D13,1)</f>
        <v>19952</v>
      </c>
    </row>
    <row r="43">
      <c r="B43" s="2" t="s">
        <v>41</v>
      </c>
      <c r="C43" s="7"/>
      <c r="D43" s="8">
        <f>(I16-FLOOR(D40*H13,1))/(E21-D38)</f>
        <v>1.016395593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9976</v>
      </c>
    </row>
  </sheetData>
  <mergeCells count="1">
    <mergeCell ref="E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2.2</v>
      </c>
      <c r="E13" s="6">
        <f t="shared" ref="E13:E15" si="1">FLOOR(C13*D13,1)</f>
        <v>22000</v>
      </c>
      <c r="F13" s="3">
        <v>0.7</v>
      </c>
      <c r="G13" s="6">
        <f t="shared" ref="G13:G15" si="2">FLOOR(E13*F13,1)</f>
        <v>15400</v>
      </c>
      <c r="H13" s="3">
        <v>0.78</v>
      </c>
      <c r="I13" s="7">
        <f t="shared" ref="I13:I15" si="3">FLOOR(E13*H13,1)</f>
        <v>17160</v>
      </c>
      <c r="J13" s="8">
        <f>C13-C40</f>
        <v>9593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31380</v>
      </c>
      <c r="F16" s="9"/>
      <c r="G16" s="9">
        <f>SUM(G13:G15)</f>
        <v>22451</v>
      </c>
      <c r="H16" s="9"/>
      <c r="I16" s="9">
        <f>SUM(I13:I15)</f>
        <v>24902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6.8</v>
      </c>
      <c r="E19" s="6">
        <f t="shared" ref="E19:E20" si="5">CEILING(C19*D19,1)</f>
        <v>20400</v>
      </c>
      <c r="F19" s="11">
        <f>C19-C38</f>
        <v>2880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27000</v>
      </c>
    </row>
    <row r="23">
      <c r="B23" s="2" t="s">
        <v>24</v>
      </c>
      <c r="C23" s="2">
        <f>G16/E21</f>
        <v>0.8315185185</v>
      </c>
    </row>
    <row r="24">
      <c r="B24" s="2" t="s">
        <v>25</v>
      </c>
      <c r="C24" s="2">
        <f>I16/E21</f>
        <v>0.9222962963</v>
      </c>
    </row>
    <row r="25">
      <c r="B25" s="2" t="s">
        <v>26</v>
      </c>
      <c r="C25" s="12">
        <f>E16/E21</f>
        <v>1.162222222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29">
      <c r="B29" s="2" t="s">
        <v>29</v>
      </c>
      <c r="C29" s="12">
        <f>FLOOR(C4*E21,1)-I16</f>
        <v>7498</v>
      </c>
    </row>
    <row r="30">
      <c r="B30" s="2" t="s">
        <v>30</v>
      </c>
      <c r="C30" s="12">
        <f>(C4-(H13*(1+C27)))</f>
        <v>0.342</v>
      </c>
    </row>
    <row r="31">
      <c r="B31" s="2" t="s">
        <v>31</v>
      </c>
      <c r="C31" s="7">
        <f>FLOOR(C29/C30,1)</f>
        <v>21923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3223</v>
      </c>
      <c r="D34" s="12"/>
    </row>
    <row r="35">
      <c r="B35" s="2" t="s">
        <v>33</v>
      </c>
      <c r="C35" s="3">
        <v>120.0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2941</v>
      </c>
      <c r="D37" s="12"/>
    </row>
    <row r="38">
      <c r="B38" s="2" t="s">
        <v>36</v>
      </c>
      <c r="C38" s="8">
        <f>MIN(C34:C37)</f>
        <v>120</v>
      </c>
      <c r="D38" s="8">
        <f>FLOOR(C38*D19,1)</f>
        <v>816</v>
      </c>
    </row>
    <row r="39">
      <c r="B39" s="2" t="s">
        <v>37</v>
      </c>
      <c r="C39" s="8">
        <f>C35-C38</f>
        <v>0</v>
      </c>
      <c r="D39" s="8"/>
    </row>
    <row r="40">
      <c r="B40" s="2" t="s">
        <v>38</v>
      </c>
      <c r="C40" s="8">
        <f>FLOOR(FLOOR(D38*(1+C27),1)/D13,1)</f>
        <v>407</v>
      </c>
      <c r="D40" s="8">
        <f>FLOOR(C40*D13,1)</f>
        <v>895</v>
      </c>
    </row>
    <row r="41">
      <c r="B41" s="2" t="s">
        <v>39</v>
      </c>
      <c r="C41" s="8">
        <f>CEILING(FLOOR(C40*C27,1)*C5,1)</f>
        <v>1</v>
      </c>
      <c r="D41" s="8">
        <f>FLOOR(C41*D13,1)</f>
        <v>2</v>
      </c>
    </row>
    <row r="42">
      <c r="B42" s="2" t="s">
        <v>40</v>
      </c>
      <c r="C42" s="8">
        <f>C40-C41</f>
        <v>406</v>
      </c>
      <c r="D42" s="8">
        <f>FLOOR(C42*D13,1)</f>
        <v>893</v>
      </c>
    </row>
    <row r="43">
      <c r="B43" s="2" t="s">
        <v>41</v>
      </c>
      <c r="C43" s="7"/>
      <c r="D43" s="8">
        <f>(I16-FLOOR(D40*H13,1))/(E21-D38)</f>
        <v>0.9243813016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406</v>
      </c>
      <c r="E46" s="9" t="s">
        <v>45</v>
      </c>
    </row>
  </sheetData>
  <mergeCells count="1">
    <mergeCell ref="E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1000.0</v>
      </c>
      <c r="D13" s="3">
        <v>1.5</v>
      </c>
      <c r="E13" s="6">
        <f t="shared" ref="E13:E14" si="1">FLOOR(C13*D13,1)</f>
        <v>1500</v>
      </c>
      <c r="F13" s="3">
        <v>0.7</v>
      </c>
      <c r="G13" s="6">
        <f t="shared" ref="G13:G14" si="2">FLOOR(E13*F13,1)</f>
        <v>1050</v>
      </c>
      <c r="H13" s="3">
        <v>0.78</v>
      </c>
      <c r="I13" s="7">
        <f t="shared" ref="I13:I14" si="3">FLOOR(E13*H13,1)</f>
        <v>1170</v>
      </c>
      <c r="J13" s="8">
        <f>C13-C38</f>
        <v>1</v>
      </c>
    </row>
    <row r="14">
      <c r="B14" s="2" t="s">
        <v>19</v>
      </c>
      <c r="C14" s="2">
        <v>1000.0</v>
      </c>
      <c r="D14" s="2">
        <v>2.0</v>
      </c>
      <c r="E14" s="6">
        <f t="shared" si="1"/>
        <v>2000</v>
      </c>
      <c r="F14" s="2">
        <v>0.82</v>
      </c>
      <c r="G14" s="2">
        <f t="shared" si="2"/>
        <v>1640</v>
      </c>
      <c r="H14" s="2">
        <v>0.9</v>
      </c>
      <c r="I14" s="7">
        <f t="shared" si="3"/>
        <v>1800</v>
      </c>
      <c r="J14" s="8">
        <f>C14</f>
        <v>1000</v>
      </c>
    </row>
    <row r="15">
      <c r="B15" s="9"/>
      <c r="D15" s="9"/>
      <c r="E15" s="9">
        <f>SUM(E13:E14)</f>
        <v>3500</v>
      </c>
      <c r="F15" s="9"/>
      <c r="G15" s="9">
        <f>SUM(G13:G14)</f>
        <v>2690</v>
      </c>
      <c r="H15" s="9"/>
      <c r="I15" s="9">
        <f>SUM(I13:I14)</f>
        <v>2970</v>
      </c>
    </row>
    <row r="17">
      <c r="B17" s="4" t="s">
        <v>20</v>
      </c>
      <c r="C17" s="4" t="s">
        <v>8</v>
      </c>
      <c r="D17" s="4" t="s">
        <v>9</v>
      </c>
      <c r="E17" s="4" t="s">
        <v>10</v>
      </c>
      <c r="F17" s="4" t="s">
        <v>15</v>
      </c>
      <c r="G17" s="10"/>
    </row>
    <row r="18">
      <c r="A18" s="5" t="s">
        <v>21</v>
      </c>
      <c r="B18" s="6" t="s">
        <v>17</v>
      </c>
      <c r="C18" s="3">
        <v>3000.0</v>
      </c>
      <c r="D18" s="3">
        <f>D13</f>
        <v>1.5</v>
      </c>
      <c r="E18" s="6">
        <f>CEILING(C18*D18,1)</f>
        <v>4500</v>
      </c>
      <c r="F18" s="11">
        <f>C18-C36</f>
        <v>2020</v>
      </c>
      <c r="G18" s="10"/>
      <c r="I18" s="9"/>
    </row>
    <row r="19">
      <c r="B19" s="9"/>
      <c r="C19" s="9"/>
      <c r="D19" s="9"/>
      <c r="E19" s="9">
        <f>SUM(E18)</f>
        <v>4500</v>
      </c>
    </row>
    <row r="21">
      <c r="B21" s="2" t="s">
        <v>24</v>
      </c>
      <c r="C21" s="2">
        <f>G15/E19</f>
        <v>0.5977777778</v>
      </c>
    </row>
    <row r="22">
      <c r="B22" s="2" t="s">
        <v>25</v>
      </c>
      <c r="C22" s="2">
        <f>I15/E19</f>
        <v>0.66</v>
      </c>
    </row>
    <row r="23">
      <c r="B23" s="2" t="s">
        <v>26</v>
      </c>
      <c r="C23" s="12">
        <f>E15/E19</f>
        <v>0.7777777778</v>
      </c>
    </row>
    <row r="24">
      <c r="B24" s="2" t="s">
        <v>27</v>
      </c>
      <c r="C24" s="12">
        <f>MAX(MIN(C23-1,C9),C8)</f>
        <v>0.02</v>
      </c>
    </row>
    <row r="25">
      <c r="B25" s="2" t="s">
        <v>28</v>
      </c>
      <c r="C25" s="12">
        <f>MIN(C6+(C7*(1-C22)),C24)</f>
        <v>0.02</v>
      </c>
    </row>
    <row r="27">
      <c r="B27" s="2" t="s">
        <v>29</v>
      </c>
      <c r="C27" s="12">
        <f>FLOOR(C4*E19,1)-I15</f>
        <v>2430</v>
      </c>
    </row>
    <row r="28">
      <c r="B28" s="2" t="s">
        <v>30</v>
      </c>
      <c r="C28" s="12">
        <f>(C4-(H13*(1+C25)))</f>
        <v>0.4044</v>
      </c>
    </row>
    <row r="29">
      <c r="B29" s="2" t="s">
        <v>31</v>
      </c>
      <c r="C29" s="7">
        <f>FLOOR(C27/C28,1)</f>
        <v>6008</v>
      </c>
    </row>
    <row r="31">
      <c r="B31" s="12"/>
      <c r="C31" s="2" t="s">
        <v>8</v>
      </c>
      <c r="D31" s="2" t="s">
        <v>10</v>
      </c>
    </row>
    <row r="32">
      <c r="B32" s="2" t="s">
        <v>32</v>
      </c>
      <c r="C32" s="12">
        <f>FLOOR(C29/D18,1)</f>
        <v>4005</v>
      </c>
      <c r="D32" s="12"/>
    </row>
    <row r="33">
      <c r="B33" s="2" t="s">
        <v>33</v>
      </c>
      <c r="C33" s="3">
        <v>1000.0</v>
      </c>
      <c r="D33" s="7"/>
    </row>
    <row r="34">
      <c r="B34" s="2" t="s">
        <v>34</v>
      </c>
      <c r="C34" s="7">
        <f>C18</f>
        <v>3000</v>
      </c>
      <c r="D34" s="7"/>
    </row>
    <row r="35">
      <c r="B35" s="2" t="s">
        <v>35</v>
      </c>
      <c r="C35" s="12">
        <f>FLOOR(FLOOR(E13/(1+C25),1)/D18,1)</f>
        <v>980</v>
      </c>
      <c r="D35" s="12"/>
    </row>
    <row r="36">
      <c r="B36" s="2" t="s">
        <v>36</v>
      </c>
      <c r="C36" s="8">
        <f>MIN(C32:C35)</f>
        <v>980</v>
      </c>
      <c r="D36" s="8">
        <f>FLOOR(C36*D18,1)</f>
        <v>1470</v>
      </c>
    </row>
    <row r="37">
      <c r="B37" s="2" t="s">
        <v>37</v>
      </c>
      <c r="C37" s="8">
        <f>C33-C36</f>
        <v>20</v>
      </c>
      <c r="D37" s="8"/>
    </row>
    <row r="38">
      <c r="B38" s="2" t="s">
        <v>38</v>
      </c>
      <c r="C38" s="8">
        <f>FLOOR(FLOOR(D36*(1+C25),1)/D13,1)</f>
        <v>999</v>
      </c>
      <c r="D38" s="8">
        <f>FLOOR(C38*D13,1)</f>
        <v>1498</v>
      </c>
    </row>
    <row r="39">
      <c r="B39" s="2" t="s">
        <v>39</v>
      </c>
      <c r="C39" s="8">
        <f>CEILING(FLOOR(C38*C25,1)*C5,1)</f>
        <v>1</v>
      </c>
      <c r="D39" s="8">
        <f>FLOOR(C39*D13,1)</f>
        <v>1</v>
      </c>
    </row>
    <row r="40">
      <c r="B40" s="2" t="s">
        <v>40</v>
      </c>
      <c r="C40" s="8">
        <f>C38-C39</f>
        <v>998</v>
      </c>
      <c r="D40" s="8">
        <f>FLOOR(C40*D13,1)</f>
        <v>1497</v>
      </c>
    </row>
    <row r="41">
      <c r="B41" s="2" t="s">
        <v>41</v>
      </c>
      <c r="C41" s="7"/>
      <c r="D41" s="8">
        <f>(I15-FLOOR(D38*H13,1))/(E19-D36)</f>
        <v>0.5947194719</v>
      </c>
    </row>
    <row r="42">
      <c r="B42" s="9"/>
    </row>
    <row r="43">
      <c r="B43" s="2" t="s">
        <v>42</v>
      </c>
      <c r="C43" s="2" t="s">
        <v>43</v>
      </c>
      <c r="D43" s="2" t="s">
        <v>44</v>
      </c>
    </row>
    <row r="44">
      <c r="B44" s="2" t="s">
        <v>17</v>
      </c>
      <c r="C44" s="3">
        <v>0.0</v>
      </c>
      <c r="D44" s="8">
        <f>C44+C40</f>
        <v>998</v>
      </c>
    </row>
  </sheetData>
  <mergeCells count="1">
    <mergeCell ref="E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2.0</v>
      </c>
      <c r="E13" s="6">
        <f t="shared" ref="E13:E14" si="1">FLOOR(C13*D13,1)</f>
        <v>20000</v>
      </c>
      <c r="F13" s="3">
        <v>0.7</v>
      </c>
      <c r="G13" s="6">
        <f t="shared" ref="G13:G14" si="2">FLOOR(E13*F13,1)</f>
        <v>14000</v>
      </c>
      <c r="H13" s="3">
        <v>0.78</v>
      </c>
      <c r="I13" s="7">
        <f t="shared" ref="I13:I14" si="3">FLOOR(E13*H13,1)</f>
        <v>15600</v>
      </c>
      <c r="J13" s="8">
        <f>C13-C39</f>
        <v>2</v>
      </c>
    </row>
    <row r="14">
      <c r="B14" s="2" t="s">
        <v>19</v>
      </c>
      <c r="C14" s="2">
        <v>900.0</v>
      </c>
      <c r="D14" s="2">
        <v>8.2</v>
      </c>
      <c r="E14" s="6">
        <f t="shared" si="1"/>
        <v>7380</v>
      </c>
      <c r="F14" s="2">
        <v>0.82</v>
      </c>
      <c r="G14" s="2">
        <f t="shared" si="2"/>
        <v>6051</v>
      </c>
      <c r="H14" s="2">
        <v>0.9</v>
      </c>
      <c r="I14" s="7">
        <f t="shared" si="3"/>
        <v>6642</v>
      </c>
      <c r="J14" s="8">
        <f>C14</f>
        <v>900</v>
      </c>
    </row>
    <row r="15">
      <c r="B15" s="9"/>
      <c r="D15" s="9"/>
      <c r="E15" s="9">
        <f>SUM(E13:E14)</f>
        <v>27380</v>
      </c>
      <c r="F15" s="9"/>
      <c r="G15" s="9">
        <f>SUM(G13:G14)</f>
        <v>20051</v>
      </c>
      <c r="H15" s="9"/>
      <c r="I15" s="9">
        <f>SUM(I13:I14)</f>
        <v>22242</v>
      </c>
    </row>
    <row r="17">
      <c r="B17" s="4" t="s">
        <v>20</v>
      </c>
      <c r="C17" s="4" t="s">
        <v>8</v>
      </c>
      <c r="D17" s="4" t="s">
        <v>9</v>
      </c>
      <c r="E17" s="4" t="s">
        <v>10</v>
      </c>
      <c r="F17" s="4" t="s">
        <v>15</v>
      </c>
      <c r="G17" s="10"/>
    </row>
    <row r="18">
      <c r="A18" s="5" t="s">
        <v>21</v>
      </c>
      <c r="B18" s="6" t="s">
        <v>22</v>
      </c>
      <c r="C18" s="3">
        <v>3000.0</v>
      </c>
      <c r="D18" s="3">
        <v>6.8</v>
      </c>
      <c r="E18" s="6">
        <f t="shared" ref="E18:E19" si="4">CEILING(C18*D18,1)</f>
        <v>20400</v>
      </c>
      <c r="F18" s="11">
        <f>C18-C37</f>
        <v>117</v>
      </c>
      <c r="G18" s="10"/>
      <c r="I18" s="9"/>
    </row>
    <row r="19">
      <c r="A19" s="10"/>
      <c r="B19" s="6" t="s">
        <v>23</v>
      </c>
      <c r="C19" s="6">
        <v>1200.0</v>
      </c>
      <c r="D19" s="6">
        <v>5.5</v>
      </c>
      <c r="E19" s="6">
        <f t="shared" si="4"/>
        <v>6600</v>
      </c>
      <c r="F19" s="11">
        <f>C19</f>
        <v>1200</v>
      </c>
      <c r="G19" s="10"/>
    </row>
    <row r="20">
      <c r="B20" s="9"/>
      <c r="C20" s="9"/>
      <c r="D20" s="9"/>
      <c r="E20" s="9">
        <f>SUM(E18,E19)</f>
        <v>27000</v>
      </c>
    </row>
    <row r="22">
      <c r="B22" s="2" t="s">
        <v>24</v>
      </c>
      <c r="C22" s="2">
        <f>G15/E20</f>
        <v>0.7426296296</v>
      </c>
    </row>
    <row r="23">
      <c r="B23" s="2" t="s">
        <v>25</v>
      </c>
      <c r="C23" s="2">
        <f>I15/E20</f>
        <v>0.8237777778</v>
      </c>
    </row>
    <row r="24">
      <c r="B24" s="2" t="s">
        <v>26</v>
      </c>
      <c r="C24" s="12">
        <f>E15/E20</f>
        <v>1.014074074</v>
      </c>
    </row>
    <row r="25">
      <c r="B25" s="2" t="s">
        <v>27</v>
      </c>
      <c r="C25" s="12">
        <f>MAX(MIN(C24-1,C9),C8)</f>
        <v>0.02</v>
      </c>
    </row>
    <row r="26">
      <c r="B26" s="2" t="s">
        <v>28</v>
      </c>
      <c r="C26" s="12">
        <f>MIN(C6+(C7*(1-C23)),C25)</f>
        <v>0.02</v>
      </c>
    </row>
    <row r="28">
      <c r="B28" s="2" t="s">
        <v>29</v>
      </c>
      <c r="C28" s="12">
        <f>FLOOR(C4*E20,1)-I15</f>
        <v>10158</v>
      </c>
    </row>
    <row r="29">
      <c r="B29" s="2" t="s">
        <v>30</v>
      </c>
      <c r="C29" s="12">
        <f>(C4-(H13*(1+C26)))</f>
        <v>0.4044</v>
      </c>
    </row>
    <row r="30">
      <c r="B30" s="2" t="s">
        <v>31</v>
      </c>
      <c r="C30" s="7">
        <f>FLOOR(C28/C29,1)</f>
        <v>25118</v>
      </c>
    </row>
    <row r="32">
      <c r="B32" s="12"/>
      <c r="C32" s="2" t="s">
        <v>8</v>
      </c>
      <c r="D32" s="2" t="s">
        <v>10</v>
      </c>
    </row>
    <row r="33">
      <c r="B33" s="2" t="s">
        <v>32</v>
      </c>
      <c r="C33" s="12">
        <f>FLOOR(C30/D18,1)</f>
        <v>3693</v>
      </c>
      <c r="D33" s="12"/>
    </row>
    <row r="34">
      <c r="B34" s="2" t="s">
        <v>33</v>
      </c>
      <c r="C34" s="3">
        <v>2883.0</v>
      </c>
      <c r="D34" s="7"/>
    </row>
    <row r="35">
      <c r="B35" s="2" t="s">
        <v>34</v>
      </c>
      <c r="C35" s="7">
        <f>C18</f>
        <v>3000</v>
      </c>
      <c r="D35" s="7"/>
    </row>
    <row r="36">
      <c r="B36" s="2" t="s">
        <v>35</v>
      </c>
      <c r="C36" s="12">
        <f>FLOOR(FLOOR(E13/(1+C26),1)/D18,1)</f>
        <v>2883</v>
      </c>
      <c r="D36" s="12"/>
    </row>
    <row r="37">
      <c r="B37" s="2" t="s">
        <v>36</v>
      </c>
      <c r="C37" s="8">
        <f>MIN(C33:C36)</f>
        <v>2883</v>
      </c>
      <c r="D37" s="8">
        <f>FLOOR(C37*D18,1)</f>
        <v>19604</v>
      </c>
    </row>
    <row r="38">
      <c r="B38" s="2" t="s">
        <v>37</v>
      </c>
      <c r="C38" s="8">
        <f>C34-C37</f>
        <v>0</v>
      </c>
      <c r="D38" s="8"/>
    </row>
    <row r="39">
      <c r="B39" s="2" t="s">
        <v>38</v>
      </c>
      <c r="C39" s="8">
        <f>FLOOR(FLOOR(D37*(1+C26),1)/D13,1)</f>
        <v>9998</v>
      </c>
      <c r="D39" s="8">
        <f>FLOOR(C39*D13,1)</f>
        <v>19996</v>
      </c>
    </row>
    <row r="40">
      <c r="B40" s="2" t="s">
        <v>39</v>
      </c>
      <c r="C40" s="8">
        <f>CEILING(FLOOR(C39*C26,1)*C5,1)</f>
        <v>4</v>
      </c>
      <c r="D40" s="8">
        <f>FLOOR(C40*D13,1)</f>
        <v>8</v>
      </c>
    </row>
    <row r="41">
      <c r="B41" s="2" t="s">
        <v>40</v>
      </c>
      <c r="C41" s="8">
        <f>C39-C40</f>
        <v>9994</v>
      </c>
      <c r="D41" s="8">
        <f>FLOOR(C41*D13,1)</f>
        <v>19988</v>
      </c>
    </row>
    <row r="42">
      <c r="B42" s="2" t="s">
        <v>41</v>
      </c>
      <c r="C42" s="7"/>
      <c r="D42" s="8">
        <f>(I15-FLOOR(D39*H13,1))/(E20-D37)</f>
        <v>0.8985938345</v>
      </c>
    </row>
    <row r="43">
      <c r="B43" s="9"/>
    </row>
    <row r="44">
      <c r="B44" s="2" t="s">
        <v>42</v>
      </c>
      <c r="C44" s="2" t="s">
        <v>43</v>
      </c>
      <c r="D44" s="2" t="s">
        <v>44</v>
      </c>
    </row>
    <row r="45">
      <c r="B45" s="2" t="s">
        <v>17</v>
      </c>
      <c r="C45" s="3">
        <v>0.0</v>
      </c>
      <c r="D45" s="8">
        <f>C45+C41</f>
        <v>9994</v>
      </c>
      <c r="E45" s="9"/>
    </row>
  </sheetData>
  <mergeCells count="1">
    <mergeCell ref="E2:I2"/>
  </mergeCells>
  <drawing r:id="rId1"/>
</worksheet>
</file>