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CL test case examples" sheetId="1" r:id="rId4"/>
    <sheet state="visible" name="SS test case exampl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Tatyana Pashinskaya:
Check if there is a scale for this variable. Seems like there is for SS pools but not for PCL</t>
      </text>
    </comment>
    <comment authorId="0" ref="C11">
      <text>
        <t xml:space="preserve">Tatyana Pashinskaya:
Check if there is a scale for this variable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Tatyana Pashinskaya:
Check if there is a scale for this variable. Seems like there is for SS pools but not for PCL</t>
      </text>
    </comment>
    <comment authorId="0" ref="C10">
      <text>
        <t xml:space="preserve">Tatyana Pashinskaya:
Check if there is a scale for this variable</t>
      </text>
    </comment>
  </commentList>
</comments>
</file>

<file path=xl/sharedStrings.xml><?xml version="1.0" encoding="utf-8"?>
<sst xmlns="http://schemas.openxmlformats.org/spreadsheetml/2006/main" count="141" uniqueCount="45">
  <si>
    <t>PCL LP Price Calculation Examples</t>
  </si>
  <si>
    <t>Exampe #1</t>
  </si>
  <si>
    <t>Pool Name</t>
  </si>
  <si>
    <t>ATOM/NTRN</t>
  </si>
  <si>
    <t>LP Price Calculation</t>
  </si>
  <si>
    <t>Variable</t>
  </si>
  <si>
    <t>Value from Astroport</t>
  </si>
  <si>
    <t>Decimals</t>
  </si>
  <si>
    <t>Value Used</t>
  </si>
  <si>
    <t>compute_D</t>
  </si>
  <si>
    <t>Xcp</t>
  </si>
  <si>
    <t>x</t>
  </si>
  <si>
    <t>TVL Model, $</t>
  </si>
  <si>
    <t>y</t>
  </si>
  <si>
    <t>TVL Real, $</t>
  </si>
  <si>
    <t xml:space="preserve">price_state:price_scale  </t>
  </si>
  <si>
    <t>Virtual Price Model</t>
  </si>
  <si>
    <t xml:space="preserve">total_lp </t>
  </si>
  <si>
    <t xml:space="preserve">Value from Pyth Oracle </t>
  </si>
  <si>
    <t>LP Price Model, $</t>
  </si>
  <si>
    <t>px</t>
  </si>
  <si>
    <t>LP Price Real, $</t>
  </si>
  <si>
    <t>py</t>
  </si>
  <si>
    <t>LP Price Final, $</t>
  </si>
  <si>
    <t>Exampe #2</t>
  </si>
  <si>
    <t>dydx/ntrn</t>
  </si>
  <si>
    <t>92347562936745723845</t>
  </si>
  <si>
    <t>TVL Model</t>
  </si>
  <si>
    <t>TVL Real</t>
  </si>
  <si>
    <t>LP Price Model</t>
  </si>
  <si>
    <t>LP Price Real</t>
  </si>
  <si>
    <t>LP Price Final</t>
  </si>
  <si>
    <t>Exampe #3</t>
  </si>
  <si>
    <t>dydx/eth</t>
  </si>
  <si>
    <t>230049283723446123784938</t>
  </si>
  <si>
    <t>134273643746123784938</t>
  </si>
  <si>
    <t>SS LP Price Calculation Examples</t>
  </si>
  <si>
    <t>Virtual price</t>
  </si>
  <si>
    <t>Price</t>
  </si>
  <si>
    <t>Real price</t>
  </si>
  <si>
    <t>3624757038237776790</t>
  </si>
  <si>
    <t>1715278424796108660</t>
  </si>
  <si>
    <t>3624757233048169377</t>
  </si>
  <si>
    <t>1909955195744952147</t>
  </si>
  <si>
    <t>3619998846283697701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</si>
</sst>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-* #,##0_-;\-* #,##0_-;_-* &quot;-&quot;??_-;_-@"/>
    <numFmt numFmtId="165" formatCode="_-* #,##0.00_-;\-* #,##0.00_-;_-* &quot;-&quot;??_-;_-@"/>
    <numFmt numFmtId="166" formatCode="0.E+00"/>
    <numFmt numFmtId="167" formatCode="_-* #,##0.00\ _₽_-;\-* #,##0.00\ _₽_-;_-* &quot;-&quot;??\ _₽_-;_-@"/>
    <numFmt numFmtId="168" formatCode="_-* #,##0.00000000000_-;\-* #,##0.00000000000_-;_-* &quot;-&quot;??.00_-;_-@"/>
    <numFmt numFmtId="169" formatCode="_-* #,##0.000000000000000_-;\-* #,##0.000000000000000_-;_-* &quot;-&quot;??_-;_-@"/>
    <numFmt numFmtId="170" formatCode="_-* #,##0.00000000000_-;\-* #,##0.00000000000_-;_-* &quot;-&quot;??.0000000000_-;_-@"/>
    <numFmt numFmtId="171" formatCode="_-* #,##0.000000000_-;\-* #,##0.000000000_-;_-* &quot;-&quot;??.0000000_-;_-@"/>
    <numFmt numFmtId="172" formatCode="_-* #,##0.000000000_-;\-* #,##0.000000000_-;_-* &quot;-&quot;??_-;_-@"/>
    <numFmt numFmtId="173" formatCode="_-* #,##0.00000000000000000_-;\-* #,##0.00000000000000000_-;_-* &quot;-&quot;??.000000000000000_-;_-@"/>
    <numFmt numFmtId="174" formatCode="_-* #,##0.00000000000_-;\-* #,##0.00000000000_-;_-* &quot;-&quot;??.000000000_-;_-@"/>
    <numFmt numFmtId="175" formatCode="_-* #,##0.0000000_-;\-* #,##0.0000000_-;_-* &quot;-&quot;??.0000000_-;_-@"/>
    <numFmt numFmtId="176" formatCode="_-* #,##0.0000000000000000_-;\-* #,##0.0000000000000000_-;_-* &quot;-&quot;??.00000000000000_-;_-@"/>
  </numFmts>
  <fonts count="9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6.0"/>
      <color rgb="FF0070C0"/>
      <name val="Calibri"/>
    </font>
    <font>
      <b/>
      <sz val="11.0"/>
      <color theme="1"/>
      <name val="Calibri"/>
    </font>
    <font>
      <b/>
      <sz val="11.0"/>
      <color rgb="FFED7D31"/>
      <name val="Calibri"/>
    </font>
    <font>
      <sz val="11.0"/>
      <color rgb="FFFF0000"/>
      <name val="Calibri"/>
    </font>
    <font>
      <b/>
      <sz val="11.0"/>
      <color rgb="FF70AD47"/>
      <name val="Calibri"/>
    </font>
    <font>
      <b/>
      <sz val="11.0"/>
      <color rgb="FFFF99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6" numFmtId="164" xfId="0" applyAlignment="1" applyBorder="1" applyFont="1" applyNumberFormat="1">
      <alignment horizontal="right" readingOrder="0" vertical="bottom"/>
    </xf>
    <xf borderId="2" fillId="0" fontId="1" numFmtId="164" xfId="0" applyAlignment="1" applyBorder="1" applyFont="1" applyNumberFormat="1">
      <alignment horizontal="right" vertical="bottom"/>
    </xf>
    <xf borderId="2" fillId="0" fontId="1" numFmtId="165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readingOrder="0" vertical="bottom"/>
    </xf>
    <xf borderId="2" fillId="0" fontId="1" numFmtId="166" xfId="0" applyAlignment="1" applyBorder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2" fillId="0" fontId="1" numFmtId="165" xfId="0" applyAlignment="1" applyBorder="1" applyFont="1" applyNumberFormat="1">
      <alignment horizontal="right" readingOrder="0" vertical="bottom"/>
    </xf>
    <xf borderId="3" fillId="0" fontId="1" numFmtId="168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3" fillId="0" fontId="4" numFmtId="0" xfId="0" applyAlignment="1" applyBorder="1" applyFont="1">
      <alignment vertical="bottom"/>
    </xf>
    <xf borderId="2" fillId="0" fontId="1" numFmtId="169" xfId="0" applyAlignment="1" applyBorder="1" applyFont="1" applyNumberFormat="1">
      <alignment horizontal="right" vertical="bottom"/>
    </xf>
    <xf borderId="2" fillId="2" fontId="1" numFmtId="170" xfId="0" applyAlignment="1" applyBorder="1" applyFill="1" applyFont="1" applyNumberFormat="1">
      <alignment horizontal="right" readingOrder="0" vertical="bottom"/>
    </xf>
    <xf borderId="2" fillId="0" fontId="1" numFmtId="171" xfId="0" applyAlignment="1" applyBorder="1" applyFont="1" applyNumberFormat="1">
      <alignment horizontal="right" vertical="bottom"/>
    </xf>
    <xf borderId="3" fillId="2" fontId="1" numFmtId="170" xfId="0" applyAlignment="1" applyBorder="1" applyFont="1" applyNumberFormat="1">
      <alignment horizontal="right" readingOrder="0" vertical="bottom"/>
    </xf>
    <xf borderId="3" fillId="0" fontId="1" numFmtId="166" xfId="0" applyAlignment="1" applyBorder="1" applyFont="1" applyNumberFormat="1">
      <alignment horizontal="right" vertical="bottom"/>
    </xf>
    <xf borderId="3" fillId="0" fontId="1" numFmtId="171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vertical="bottom"/>
    </xf>
    <xf borderId="3" fillId="0" fontId="7" numFmtId="169" xfId="0" applyAlignment="1" applyBorder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3" fillId="0" fontId="1" numFmtId="172" xfId="0" applyAlignment="1" applyBorder="1" applyFont="1" applyNumberFormat="1">
      <alignment horizontal="right" vertical="bottom"/>
    </xf>
    <xf borderId="2" fillId="2" fontId="1" numFmtId="165" xfId="0" applyAlignment="1" applyBorder="1" applyFont="1" applyNumberFormat="1">
      <alignment horizontal="right" readingOrder="0" vertical="bottom"/>
    </xf>
    <xf borderId="3" fillId="2" fontId="1" numFmtId="165" xfId="0" applyAlignment="1" applyBorder="1" applyFont="1" applyNumberFormat="1">
      <alignment horizontal="right" readingOrder="0" vertical="bottom"/>
    </xf>
    <xf borderId="3" fillId="0" fontId="1" numFmtId="165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2" fillId="2" fontId="1" numFmtId="173" xfId="0" applyAlignment="1" applyBorder="1" applyFont="1" applyNumberFormat="1">
      <alignment horizontal="right" readingOrder="0" vertical="bottom"/>
    </xf>
    <xf borderId="2" fillId="0" fontId="1" numFmtId="166" xfId="0" applyAlignment="1" applyBorder="1" applyFont="1" applyNumberFormat="1">
      <alignment horizontal="right" readingOrder="0" vertical="bottom"/>
    </xf>
    <xf borderId="2" fillId="0" fontId="1" numFmtId="173" xfId="0" applyAlignment="1" applyBorder="1" applyFont="1" applyNumberFormat="1">
      <alignment horizontal="right" vertical="bottom"/>
    </xf>
    <xf borderId="3" fillId="2" fontId="1" numFmtId="173" xfId="0" applyAlignment="1" applyBorder="1" applyFont="1" applyNumberFormat="1">
      <alignment horizontal="right" readingOrder="0" vertical="bottom"/>
    </xf>
    <xf borderId="3" fillId="0" fontId="1" numFmtId="173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4" fillId="0" fontId="1" numFmtId="0" xfId="0" applyAlignment="1" applyBorder="1" applyFont="1">
      <alignment readingOrder="0" vertical="bottom"/>
    </xf>
    <xf borderId="5" fillId="0" fontId="1" numFmtId="174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readingOrder="0" vertical="bottom"/>
    </xf>
    <xf borderId="2" fillId="0" fontId="1" numFmtId="174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readingOrder="0" vertical="bottom"/>
    </xf>
    <xf borderId="3" fillId="0" fontId="1" numFmtId="174" xfId="0" applyAlignment="1" applyBorder="1" applyFont="1" applyNumberFormat="1">
      <alignment horizontal="right" vertical="bottom"/>
    </xf>
    <xf borderId="2" fillId="0" fontId="1" numFmtId="175" xfId="0" applyAlignment="1" applyBorder="1" applyFont="1" applyNumberFormat="1">
      <alignment horizontal="right" vertical="bottom"/>
    </xf>
    <xf borderId="2" fillId="0" fontId="1" numFmtId="176" xfId="0" applyAlignment="1" applyBorder="1" applyFont="1" applyNumberFormat="1">
      <alignment horizontal="right" vertical="bottom"/>
    </xf>
    <xf borderId="3" fillId="0" fontId="1" numFmtId="17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7.5"/>
    <col customWidth="1" min="4" max="4" width="7.88"/>
    <col customWidth="1" min="5" max="5" width="19.25"/>
    <col customWidth="1" min="8" max="8" width="15.75"/>
    <col customWidth="1" min="9" max="9" width="17.3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2</v>
      </c>
      <c r="C4" s="5" t="s">
        <v>3</v>
      </c>
      <c r="D4" s="1"/>
      <c r="E4" s="1"/>
      <c r="F4" s="1"/>
      <c r="G4" s="1"/>
      <c r="H4" s="4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/>
      <c r="C5" s="6"/>
      <c r="D5" s="6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/>
      <c r="B6" s="8" t="s">
        <v>5</v>
      </c>
      <c r="C6" s="8" t="s">
        <v>6</v>
      </c>
      <c r="D6" s="8" t="s">
        <v>7</v>
      </c>
      <c r="E6" s="8" t="s">
        <v>8</v>
      </c>
      <c r="F6" s="1"/>
      <c r="G6" s="1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/>
      <c r="B7" s="7" t="s">
        <v>9</v>
      </c>
      <c r="C7" s="9">
        <v>8252401.83509174</v>
      </c>
      <c r="D7" s="10">
        <v>1.0</v>
      </c>
      <c r="E7" s="10">
        <f t="shared" ref="E7:E11" si="1">C7/D7</f>
        <v>8252401.835</v>
      </c>
      <c r="F7" s="1"/>
      <c r="G7" s="7"/>
      <c r="H7" s="1" t="s">
        <v>10</v>
      </c>
      <c r="I7" s="11">
        <f>E7/(2*SQRT(E10))</f>
        <v>3769604.702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/>
      <c r="B8" s="7" t="s">
        <v>11</v>
      </c>
      <c r="C8" s="12">
        <v>1.171210862745E12</v>
      </c>
      <c r="D8" s="13">
        <f t="shared" ref="D8:D9" si="2">10^6</f>
        <v>1000000</v>
      </c>
      <c r="E8" s="10">
        <f t="shared" si="1"/>
        <v>1171210.863</v>
      </c>
      <c r="F8" s="1"/>
      <c r="G8" s="7"/>
      <c r="H8" s="1" t="s">
        <v>12</v>
      </c>
      <c r="I8" s="11">
        <f>2*I7*SQRT(E14*E15)</f>
        <v>22187359256868</v>
      </c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/>
      <c r="B9" s="7" t="s">
        <v>13</v>
      </c>
      <c r="C9" s="12">
        <v>1.2117922358503E13</v>
      </c>
      <c r="D9" s="13">
        <f t="shared" si="2"/>
        <v>1000000</v>
      </c>
      <c r="E9" s="10">
        <f t="shared" si="1"/>
        <v>12117922.36</v>
      </c>
      <c r="F9" s="1"/>
      <c r="G9" s="7"/>
      <c r="H9" s="1" t="s">
        <v>14</v>
      </c>
      <c r="I9" s="11">
        <f>E8*E14+E9*E15</f>
        <v>22221610948368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/>
      <c r="B10" s="7" t="s">
        <v>15</v>
      </c>
      <c r="C10" s="15">
        <v>1.19814428806382</v>
      </c>
      <c r="D10" s="10">
        <v>1.0</v>
      </c>
      <c r="E10" s="11">
        <f t="shared" si="1"/>
        <v>1.198144288</v>
      </c>
      <c r="F10" s="1"/>
      <c r="G10" s="7"/>
      <c r="H10" s="6" t="s">
        <v>16</v>
      </c>
      <c r="I10" s="16">
        <f>I7/E11</f>
        <v>0.000001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/>
      <c r="B11" s="17" t="s">
        <v>17</v>
      </c>
      <c r="C11" s="18">
        <v>3.769604701798E12</v>
      </c>
      <c r="D11" s="19">
        <v>1.0</v>
      </c>
      <c r="E11" s="19">
        <f t="shared" si="1"/>
        <v>3769604701798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20"/>
      <c r="D12" s="20"/>
      <c r="E12" s="20"/>
      <c r="F12" s="1"/>
      <c r="G12" s="1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/>
      <c r="B13" s="21" t="s">
        <v>5</v>
      </c>
      <c r="C13" s="21" t="s">
        <v>18</v>
      </c>
      <c r="D13" s="17"/>
      <c r="E13" s="17"/>
      <c r="F13" s="1"/>
      <c r="G13" s="7"/>
      <c r="H13" s="1" t="s">
        <v>19</v>
      </c>
      <c r="I13" s="22">
        <f>2*I10*SQRT(E14*E15)</f>
        <v>5.885858336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"/>
      <c r="B14" s="7" t="s">
        <v>20</v>
      </c>
      <c r="C14" s="23">
        <v>8.86506356</v>
      </c>
      <c r="D14" s="13">
        <f t="shared" ref="D14:D15" si="3">10^-6</f>
        <v>0.000001</v>
      </c>
      <c r="E14" s="24">
        <f t="shared" ref="E14:E15" si="4">C14/D14</f>
        <v>8865063.56</v>
      </c>
      <c r="F14" s="1"/>
      <c r="G14" s="7"/>
      <c r="H14" s="1" t="s">
        <v>21</v>
      </c>
      <c r="I14" s="22">
        <f>I9/E11</f>
        <v>5.894944618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"/>
      <c r="B15" s="17" t="s">
        <v>22</v>
      </c>
      <c r="C15" s="25">
        <v>0.97696221</v>
      </c>
      <c r="D15" s="26">
        <f t="shared" si="3"/>
        <v>0.000001</v>
      </c>
      <c r="E15" s="27">
        <f t="shared" si="4"/>
        <v>976962.21</v>
      </c>
      <c r="F15" s="1"/>
      <c r="G15" s="7"/>
      <c r="H15" s="28" t="s">
        <v>23</v>
      </c>
      <c r="I15" s="29">
        <f>MIN(I13:I14)</f>
        <v>5.885858336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 t="s">
        <v>2</v>
      </c>
      <c r="C18" s="30" t="s">
        <v>25</v>
      </c>
      <c r="D18" s="1"/>
      <c r="E18" s="1"/>
      <c r="F18" s="1"/>
      <c r="G18" s="1"/>
      <c r="H18" s="4" t="s"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/>
      <c r="B20" s="8" t="s">
        <v>5</v>
      </c>
      <c r="C20" s="8" t="s">
        <v>6</v>
      </c>
      <c r="D20" s="8" t="s">
        <v>7</v>
      </c>
      <c r="E20" s="8" t="s">
        <v>8</v>
      </c>
      <c r="F20" s="1"/>
      <c r="G20" s="1"/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7"/>
      <c r="B21" s="7" t="s">
        <v>9</v>
      </c>
      <c r="C21" s="12">
        <v>73502.7870075144</v>
      </c>
      <c r="D21" s="10">
        <v>1.0</v>
      </c>
      <c r="E21" s="10">
        <f t="shared" ref="E21:E25" si="5">C21/D21</f>
        <v>73502.78701</v>
      </c>
      <c r="F21" s="1"/>
      <c r="G21" s="7"/>
      <c r="H21" s="1" t="s">
        <v>10</v>
      </c>
      <c r="I21" s="10">
        <f>E21/(2*SQRT(E24))</f>
        <v>33575.24961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7"/>
      <c r="B22" s="7" t="s">
        <v>11</v>
      </c>
      <c r="C22" s="12" t="s">
        <v>26</v>
      </c>
      <c r="D22" s="13">
        <f>10^18</f>
        <v>1E+18</v>
      </c>
      <c r="E22" s="10">
        <f t="shared" si="5"/>
        <v>92.34756294</v>
      </c>
      <c r="F22" s="1"/>
      <c r="G22" s="7"/>
      <c r="H22" s="1" t="s">
        <v>27</v>
      </c>
      <c r="I22" s="10">
        <f>2*I21*SQRT(E28*E29)</f>
        <v>3.63537E+18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7"/>
      <c r="B23" s="7" t="s">
        <v>13</v>
      </c>
      <c r="C23" s="12">
        <v>1.2117922358503E13</v>
      </c>
      <c r="D23" s="13">
        <f>10^6</f>
        <v>1000000</v>
      </c>
      <c r="E23" s="10">
        <f t="shared" si="5"/>
        <v>12117922.36</v>
      </c>
      <c r="F23" s="1"/>
      <c r="G23" s="7"/>
      <c r="H23" s="1" t="s">
        <v>28</v>
      </c>
      <c r="I23" s="10">
        <f>E22*E28+E23*E29</f>
        <v>2.77043E+23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"/>
      <c r="B24" s="7" t="s">
        <v>15</v>
      </c>
      <c r="C24" s="15">
        <v>1.19814428806382</v>
      </c>
      <c r="D24" s="10">
        <v>1.0</v>
      </c>
      <c r="E24" s="11">
        <f t="shared" si="5"/>
        <v>1.198144288</v>
      </c>
      <c r="F24" s="1"/>
      <c r="G24" s="7"/>
      <c r="H24" s="6" t="s">
        <v>16</v>
      </c>
      <c r="I24" s="31">
        <f>I21/E25</f>
        <v>0.000001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"/>
      <c r="B25" s="17" t="s">
        <v>17</v>
      </c>
      <c r="C25" s="18">
        <v>3.357524961E10</v>
      </c>
      <c r="D25" s="19">
        <v>1.0</v>
      </c>
      <c r="E25" s="19">
        <f t="shared" si="5"/>
        <v>33575249610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6"/>
      <c r="C26" s="20"/>
      <c r="D26" s="20"/>
      <c r="E26" s="20"/>
      <c r="F26" s="1"/>
      <c r="G26" s="1"/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"/>
      <c r="B27" s="21" t="s">
        <v>5</v>
      </c>
      <c r="C27" s="21" t="s">
        <v>18</v>
      </c>
      <c r="D27" s="17"/>
      <c r="E27" s="17"/>
      <c r="F27" s="1"/>
      <c r="G27" s="7"/>
      <c r="H27" s="1" t="s">
        <v>29</v>
      </c>
      <c r="I27" s="22">
        <f>2*I24*SQRT(E28*E29)</f>
        <v>108275327.4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7"/>
      <c r="B28" s="7" t="s">
        <v>20</v>
      </c>
      <c r="C28" s="32">
        <v>3000.0</v>
      </c>
      <c r="D28" s="13">
        <f>10^-18</f>
        <v>0</v>
      </c>
      <c r="E28" s="11">
        <f t="shared" ref="E28:E29" si="6">C28/D28</f>
        <v>3E+21</v>
      </c>
      <c r="F28" s="1"/>
      <c r="G28" s="7"/>
      <c r="H28" s="1" t="s">
        <v>30</v>
      </c>
      <c r="I28" s="22">
        <f>I23/E25</f>
        <v>8251396252898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7"/>
      <c r="B29" s="17" t="s">
        <v>22</v>
      </c>
      <c r="C29" s="33">
        <v>0.97696221</v>
      </c>
      <c r="D29" s="26">
        <f>10^-6</f>
        <v>0.000001</v>
      </c>
      <c r="E29" s="34">
        <f t="shared" si="6"/>
        <v>976962.21</v>
      </c>
      <c r="F29" s="1"/>
      <c r="G29" s="7"/>
      <c r="H29" s="28" t="s">
        <v>31</v>
      </c>
      <c r="I29" s="29">
        <f>MIN(I27:I28)</f>
        <v>108275327.4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3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" t="s">
        <v>2</v>
      </c>
      <c r="C33" s="36" t="s">
        <v>33</v>
      </c>
      <c r="D33" s="1"/>
      <c r="E33" s="1"/>
      <c r="F33" s="1"/>
      <c r="G33" s="1"/>
      <c r="H33" s="4" t="s">
        <v>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6"/>
      <c r="C34" s="6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7"/>
      <c r="B35" s="8" t="s">
        <v>5</v>
      </c>
      <c r="C35" s="8" t="s">
        <v>6</v>
      </c>
      <c r="D35" s="8" t="s">
        <v>7</v>
      </c>
      <c r="E35" s="8" t="s">
        <v>8</v>
      </c>
      <c r="F35" s="1"/>
      <c r="G35" s="1"/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"/>
      <c r="B36" s="7" t="s">
        <v>9</v>
      </c>
      <c r="C36" s="12">
        <v>12187.2625497935</v>
      </c>
      <c r="D36" s="10">
        <v>1.0</v>
      </c>
      <c r="E36" s="10">
        <f t="shared" ref="E36:E40" si="7">C36/D36</f>
        <v>12187.26255</v>
      </c>
      <c r="F36" s="1"/>
      <c r="G36" s="7"/>
      <c r="H36" s="1" t="s">
        <v>10</v>
      </c>
      <c r="I36" s="10">
        <f>E36/(2*SQRT(E39))</f>
        <v>5567.004992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7"/>
      <c r="B37" s="7" t="s">
        <v>11</v>
      </c>
      <c r="C37" s="12" t="s">
        <v>34</v>
      </c>
      <c r="D37" s="13">
        <f t="shared" ref="D37:D38" si="8">10^18</f>
        <v>1E+18</v>
      </c>
      <c r="E37" s="10">
        <f t="shared" si="7"/>
        <v>230049.2837</v>
      </c>
      <c r="F37" s="1"/>
      <c r="G37" s="7"/>
      <c r="H37" s="1" t="s">
        <v>27</v>
      </c>
      <c r="I37" s="10">
        <f>2*I36*SQRT(E43*E44)</f>
        <v>981195284450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7"/>
      <c r="B38" s="7" t="s">
        <v>13</v>
      </c>
      <c r="C38" s="12" t="s">
        <v>35</v>
      </c>
      <c r="D38" s="13">
        <f t="shared" si="8"/>
        <v>1E+18</v>
      </c>
      <c r="E38" s="10">
        <f t="shared" si="7"/>
        <v>134.2736437</v>
      </c>
      <c r="F38" s="1"/>
      <c r="G38" s="7"/>
      <c r="H38" s="1" t="s">
        <v>28</v>
      </c>
      <c r="I38" s="10">
        <f>E37*E43+E38*E44</f>
        <v>979700135677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7"/>
      <c r="B39" s="7" t="s">
        <v>15</v>
      </c>
      <c r="C39" s="15">
        <v>1.19814428806382</v>
      </c>
      <c r="D39" s="10">
        <v>1.0</v>
      </c>
      <c r="E39" s="11">
        <f t="shared" si="7"/>
        <v>1.198144288</v>
      </c>
      <c r="F39" s="1"/>
      <c r="G39" s="7"/>
      <c r="H39" s="6" t="s">
        <v>16</v>
      </c>
      <c r="I39" s="31">
        <f>I36/E40</f>
        <v>0.000001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7"/>
      <c r="B40" s="17" t="s">
        <v>17</v>
      </c>
      <c r="C40" s="18">
        <v>5.567004991E9</v>
      </c>
      <c r="D40" s="19">
        <v>1.0</v>
      </c>
      <c r="E40" s="19">
        <f t="shared" si="7"/>
        <v>5567004991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6"/>
      <c r="C41" s="20"/>
      <c r="D41" s="20"/>
      <c r="E41" s="20"/>
      <c r="F41" s="1"/>
      <c r="G41" s="1"/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7"/>
      <c r="B42" s="21" t="s">
        <v>5</v>
      </c>
      <c r="C42" s="21" t="s">
        <v>18</v>
      </c>
      <c r="D42" s="17"/>
      <c r="E42" s="17"/>
      <c r="F42" s="1"/>
      <c r="G42" s="7"/>
      <c r="H42" s="1" t="s">
        <v>29</v>
      </c>
      <c r="I42" s="22">
        <f>2*I39*SQRT(E43*E44)</f>
        <v>176.2519139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7"/>
      <c r="B43" s="7" t="s">
        <v>20</v>
      </c>
      <c r="C43" s="37">
        <v>2.095907E-12</v>
      </c>
      <c r="D43" s="38">
        <f t="shared" ref="D43:D44" si="9">10^-18</f>
        <v>0</v>
      </c>
      <c r="E43" s="39">
        <f t="shared" ref="E43:E44" si="10">C43/D43</f>
        <v>2095907</v>
      </c>
      <c r="F43" s="1"/>
      <c r="G43" s="7"/>
      <c r="H43" s="1" t="s">
        <v>30</v>
      </c>
      <c r="I43" s="22">
        <f>I38/E40</f>
        <v>175.9833406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7"/>
      <c r="B44" s="17" t="s">
        <v>22</v>
      </c>
      <c r="C44" s="40">
        <v>3.705405005E-9</v>
      </c>
      <c r="D44" s="38">
        <f t="shared" si="9"/>
        <v>0</v>
      </c>
      <c r="E44" s="41">
        <f t="shared" si="10"/>
        <v>3705405005</v>
      </c>
      <c r="F44" s="1"/>
      <c r="G44" s="7"/>
      <c r="H44" s="28" t="s">
        <v>31</v>
      </c>
      <c r="I44" s="29">
        <f>MIN(I42:I43)</f>
        <v>175.9833406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4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7.5"/>
    <col customWidth="1" min="4" max="4" width="7.88"/>
    <col customWidth="1" min="5" max="5" width="19.25"/>
    <col customWidth="1" min="7" max="7" width="15.75"/>
    <col customWidth="1" min="8" max="8" width="22.88"/>
  </cols>
  <sheetData>
    <row r="1">
      <c r="A1" s="1"/>
      <c r="B1" s="43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4" t="s">
        <v>2</v>
      </c>
      <c r="C4" s="5" t="s">
        <v>3</v>
      </c>
      <c r="D4" s="1"/>
      <c r="E4" s="44">
        <f>C8+C9</f>
        <v>22154735748</v>
      </c>
      <c r="F4" s="1"/>
      <c r="G4" s="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6"/>
      <c r="C5" s="6"/>
      <c r="D5" s="6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"/>
      <c r="B6" s="8" t="s">
        <v>5</v>
      </c>
      <c r="C6" s="8" t="s">
        <v>6</v>
      </c>
      <c r="D6" s="8" t="s">
        <v>7</v>
      </c>
      <c r="E6" s="8" t="s">
        <v>8</v>
      </c>
      <c r="F6" s="1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7"/>
      <c r="B7" s="7" t="s">
        <v>9</v>
      </c>
      <c r="C7" s="9">
        <v>2.2154511412E10</v>
      </c>
      <c r="D7" s="13">
        <f t="shared" ref="D7:D9" si="1">10^6</f>
        <v>1000000</v>
      </c>
      <c r="E7" s="10">
        <f t="shared" ref="E7:E10" si="2">C7/D7</f>
        <v>22154.51141</v>
      </c>
      <c r="F7" s="1"/>
      <c r="G7" s="45" t="s">
        <v>37</v>
      </c>
      <c r="H7" s="46">
        <f>C7/C10</f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7"/>
      <c r="B8" s="7" t="s">
        <v>11</v>
      </c>
      <c r="C8" s="12">
        <v>1.0912049231E10</v>
      </c>
      <c r="D8" s="13">
        <f t="shared" si="1"/>
        <v>1000000</v>
      </c>
      <c r="E8" s="10">
        <f t="shared" si="2"/>
        <v>10912.04923</v>
      </c>
      <c r="F8" s="1"/>
      <c r="G8" s="47" t="s">
        <v>38</v>
      </c>
      <c r="H8" s="48">
        <f>H7*min(E13,E14)/D7</f>
        <v>0.9999</v>
      </c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7"/>
      <c r="B9" s="7" t="s">
        <v>13</v>
      </c>
      <c r="C9" s="12">
        <v>1.1242686517E10</v>
      </c>
      <c r="D9" s="13">
        <f t="shared" si="1"/>
        <v>1000000</v>
      </c>
      <c r="E9" s="10">
        <f t="shared" si="2"/>
        <v>11242.68652</v>
      </c>
      <c r="F9" s="1"/>
      <c r="G9" s="49" t="s">
        <v>39</v>
      </c>
      <c r="H9" s="50">
        <f>(E8*E13+E9*E14)/C10</f>
        <v>0.9999659463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7"/>
      <c r="B10" s="17" t="s">
        <v>17</v>
      </c>
      <c r="C10" s="18">
        <v>2.2154511412E10</v>
      </c>
      <c r="D10" s="19">
        <v>1.0</v>
      </c>
      <c r="E10" s="19">
        <f t="shared" si="2"/>
        <v>22154511412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6"/>
      <c r="C11" s="20"/>
      <c r="D11" s="20"/>
      <c r="E11" s="2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7"/>
      <c r="B12" s="21" t="s">
        <v>5</v>
      </c>
      <c r="C12" s="21" t="s">
        <v>18</v>
      </c>
      <c r="D12" s="17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7"/>
      <c r="B13" s="7" t="s">
        <v>20</v>
      </c>
      <c r="C13" s="23">
        <v>0.9999</v>
      </c>
      <c r="D13" s="13">
        <f t="shared" ref="D13:D14" si="3">10^-6</f>
        <v>0.000001</v>
      </c>
      <c r="E13" s="24">
        <f t="shared" ref="E13:E14" si="4">C13/D13</f>
        <v>999900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7"/>
      <c r="B14" s="17" t="s">
        <v>22</v>
      </c>
      <c r="C14" s="25">
        <v>1.00001</v>
      </c>
      <c r="D14" s="26">
        <f t="shared" si="3"/>
        <v>0.000001</v>
      </c>
      <c r="E14" s="27">
        <f t="shared" si="4"/>
        <v>1000010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3" t="s">
        <v>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4" t="s">
        <v>2</v>
      </c>
      <c r="C17" s="30" t="s">
        <v>25</v>
      </c>
      <c r="D17" s="1"/>
      <c r="E17" s="1"/>
      <c r="F17" s="1"/>
      <c r="G17" s="4" t="s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6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7"/>
      <c r="B19" s="8" t="s">
        <v>5</v>
      </c>
      <c r="C19" s="8" t="s">
        <v>6</v>
      </c>
      <c r="D19" s="8" t="s">
        <v>7</v>
      </c>
      <c r="E19" s="8" t="s">
        <v>8</v>
      </c>
      <c r="F19" s="1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7"/>
      <c r="B20" s="7" t="s">
        <v>9</v>
      </c>
      <c r="C20" s="12" t="s">
        <v>40</v>
      </c>
      <c r="D20" s="13">
        <f>10^18</f>
        <v>1E+18</v>
      </c>
      <c r="E20" s="10">
        <f t="shared" ref="E20:E23" si="5">C20/D20</f>
        <v>3.624757038</v>
      </c>
      <c r="F20" s="1"/>
      <c r="G20" s="45" t="s">
        <v>37</v>
      </c>
      <c r="H20" s="46">
        <f>C20/C23</f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7"/>
      <c r="B21" s="7" t="s">
        <v>11</v>
      </c>
      <c r="C21" s="12">
        <v>1909955.0</v>
      </c>
      <c r="D21" s="13">
        <f>10^6</f>
        <v>1000000</v>
      </c>
      <c r="E21" s="51">
        <f t="shared" si="5"/>
        <v>1.909955</v>
      </c>
      <c r="F21" s="1"/>
      <c r="G21" s="47" t="s">
        <v>38</v>
      </c>
      <c r="H21" s="52">
        <f>H20*min(E26,E27)/D20</f>
        <v>0.000000003605405005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7"/>
      <c r="B22" s="7" t="s">
        <v>13</v>
      </c>
      <c r="C22" s="12" t="s">
        <v>41</v>
      </c>
      <c r="D22" s="13">
        <f>10^18</f>
        <v>1E+18</v>
      </c>
      <c r="E22" s="51">
        <f t="shared" si="5"/>
        <v>1.715278425</v>
      </c>
      <c r="F22" s="1"/>
      <c r="G22" s="49" t="s">
        <v>39</v>
      </c>
      <c r="H22" s="53">
        <f>(E21*E26+E22*E27)/C23</f>
        <v>0.000000003653200045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7"/>
      <c r="B23" s="17" t="s">
        <v>17</v>
      </c>
      <c r="C23" s="18" t="s">
        <v>40</v>
      </c>
      <c r="D23" s="19">
        <v>1.0</v>
      </c>
      <c r="E23" s="19">
        <f t="shared" si="5"/>
        <v>3.62476E+18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6"/>
      <c r="C24" s="20"/>
      <c r="D24" s="20"/>
      <c r="E24" s="2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7"/>
      <c r="B25" s="21" t="s">
        <v>5</v>
      </c>
      <c r="C25" s="21" t="s">
        <v>18</v>
      </c>
      <c r="D25" s="17"/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7"/>
      <c r="B26" s="7" t="s">
        <v>20</v>
      </c>
      <c r="C26" s="40">
        <v>3605.405005</v>
      </c>
      <c r="D26" s="13">
        <f>10^-6</f>
        <v>0.000001</v>
      </c>
      <c r="E26" s="11">
        <f t="shared" ref="E26:E27" si="6">C26/D26</f>
        <v>3605405005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7"/>
      <c r="B27" s="17" t="s">
        <v>22</v>
      </c>
      <c r="C27" s="40">
        <v>3.705405005E-9</v>
      </c>
      <c r="D27" s="26">
        <f>10^-18</f>
        <v>0</v>
      </c>
      <c r="E27" s="34">
        <f t="shared" si="6"/>
        <v>3705405005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3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3" t="s">
        <v>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4" t="s">
        <v>2</v>
      </c>
      <c r="C31" s="36" t="s">
        <v>33</v>
      </c>
      <c r="D31" s="1"/>
      <c r="E31" s="1"/>
      <c r="F31" s="1"/>
      <c r="G31" s="4" t="s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6"/>
      <c r="C32" s="6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7"/>
      <c r="B33" s="8" t="s">
        <v>5</v>
      </c>
      <c r="C33" s="8" t="s">
        <v>6</v>
      </c>
      <c r="D33" s="8" t="s">
        <v>7</v>
      </c>
      <c r="E33" s="8" t="s">
        <v>8</v>
      </c>
      <c r="F33" s="1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7"/>
      <c r="B34" s="7" t="s">
        <v>9</v>
      </c>
      <c r="C34" s="12" t="s">
        <v>42</v>
      </c>
      <c r="D34" s="13">
        <f t="shared" ref="D34:D36" si="7">10^18</f>
        <v>1E+18</v>
      </c>
      <c r="E34" s="10">
        <f t="shared" ref="E34:E37" si="8">C34/D34</f>
        <v>3.624757233</v>
      </c>
      <c r="F34" s="1"/>
      <c r="G34" s="45" t="s">
        <v>37</v>
      </c>
      <c r="H34" s="46">
        <f>C34/C37</f>
        <v>1.001314472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7"/>
      <c r="B35" s="7" t="s">
        <v>11</v>
      </c>
      <c r="C35" s="12" t="s">
        <v>43</v>
      </c>
      <c r="D35" s="13">
        <f t="shared" si="7"/>
        <v>1E+18</v>
      </c>
      <c r="E35" s="51">
        <f t="shared" si="8"/>
        <v>1.909955196</v>
      </c>
      <c r="F35" s="1"/>
      <c r="G35" s="47" t="s">
        <v>38</v>
      </c>
      <c r="H35" s="52">
        <f>H34*min(E40,E41)/D34</f>
        <v>0.000000003707271712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7"/>
      <c r="B36" s="7" t="s">
        <v>13</v>
      </c>
      <c r="C36" s="12" t="s">
        <v>41</v>
      </c>
      <c r="D36" s="13">
        <f t="shared" si="7"/>
        <v>1E+18</v>
      </c>
      <c r="E36" s="51">
        <f t="shared" si="8"/>
        <v>1.715278425</v>
      </c>
      <c r="F36" s="1"/>
      <c r="G36" s="49" t="s">
        <v>39</v>
      </c>
      <c r="H36" s="53">
        <f>(E35*E40+E36*E41)/C37</f>
        <v>0.000000003709180446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7"/>
      <c r="B37" s="17" t="s">
        <v>17</v>
      </c>
      <c r="C37" s="18" t="s">
        <v>44</v>
      </c>
      <c r="D37" s="19">
        <v>1.0</v>
      </c>
      <c r="E37" s="19">
        <f t="shared" si="8"/>
        <v>3.62E+18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6"/>
      <c r="C38" s="20"/>
      <c r="D38" s="20"/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7"/>
      <c r="B39" s="21" t="s">
        <v>5</v>
      </c>
      <c r="C39" s="21" t="s">
        <v>18</v>
      </c>
      <c r="D39" s="17"/>
      <c r="E39" s="1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7"/>
      <c r="B40" s="7" t="s">
        <v>20</v>
      </c>
      <c r="C40" s="40">
        <v>3.702405005E-9</v>
      </c>
      <c r="D40" s="38">
        <f t="shared" ref="D40:D41" si="9">10^-18</f>
        <v>0</v>
      </c>
      <c r="E40" s="39">
        <f t="shared" ref="E40:E41" si="10">C40/D40</f>
        <v>3702405005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7"/>
      <c r="B41" s="17" t="s">
        <v>22</v>
      </c>
      <c r="C41" s="40">
        <v>3.705405005E-9</v>
      </c>
      <c r="D41" s="38">
        <f t="shared" si="9"/>
        <v>0</v>
      </c>
      <c r="E41" s="41">
        <f t="shared" si="10"/>
        <v>3705405005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drawing r:id="rId2"/>
  <legacyDrawing r:id="rId3"/>
</worksheet>
</file>