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edy\Downloads\"/>
    </mc:Choice>
  </mc:AlternateContent>
  <bookViews>
    <workbookView xWindow="0" yWindow="0" windowWidth="20490" windowHeight="763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2" i="2" l="1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19" i="2"/>
  <c r="F20" i="2"/>
  <c r="F21" i="2"/>
  <c r="F22" i="2"/>
  <c r="F23" i="2"/>
  <c r="F24" i="2"/>
  <c r="F25" i="2"/>
  <c r="F18" i="2"/>
  <c r="H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35" i="2"/>
  <c r="E36" i="2"/>
  <c r="E37" i="2"/>
  <c r="E38" i="2"/>
  <c r="E39" i="2"/>
  <c r="E40" i="2"/>
  <c r="E41" i="2"/>
  <c r="E42" i="2"/>
  <c r="E43" i="2"/>
  <c r="E23" i="2"/>
  <c r="E24" i="2"/>
  <c r="E25" i="2"/>
  <c r="E26" i="2"/>
  <c r="E27" i="2"/>
  <c r="E28" i="2"/>
  <c r="E29" i="2"/>
  <c r="E30" i="2"/>
  <c r="E31" i="2"/>
  <c r="E32" i="2"/>
  <c r="E33" i="2"/>
  <c r="E34" i="2"/>
  <c r="E19" i="2"/>
  <c r="E20" i="2"/>
  <c r="E21" i="2"/>
  <c r="E22" i="2"/>
  <c r="E18" i="2"/>
  <c r="B15" i="2"/>
  <c r="L15" i="1" l="1"/>
  <c r="L16" i="1"/>
  <c r="L17" i="1"/>
  <c r="L18" i="1"/>
  <c r="L19" i="1"/>
  <c r="L13" i="1"/>
  <c r="L14" i="1"/>
  <c r="L11" i="1"/>
  <c r="L12" i="1"/>
  <c r="L7" i="1"/>
  <c r="L8" i="1"/>
  <c r="L9" i="1"/>
  <c r="L10" i="1"/>
  <c r="L6" i="1"/>
  <c r="L5" i="1"/>
  <c r="L4" i="1"/>
  <c r="K19" i="1"/>
  <c r="K18" i="1"/>
  <c r="K17" i="1"/>
  <c r="K16" i="1"/>
  <c r="K15" i="1"/>
  <c r="K14" i="1"/>
  <c r="K12" i="1"/>
  <c r="K11" i="1"/>
  <c r="K10" i="1"/>
  <c r="K9" i="1"/>
  <c r="K8" i="1"/>
  <c r="K13" i="1"/>
  <c r="K7" i="1"/>
  <c r="K6" i="1"/>
  <c r="K5" i="1"/>
  <c r="K4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5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B14" i="1"/>
  <c r="C13" i="1"/>
  <c r="D18" i="1"/>
  <c r="C18" i="1"/>
  <c r="B14" i="2" l="1"/>
  <c r="B21" i="1"/>
  <c r="B1" i="1"/>
</calcChain>
</file>

<file path=xl/sharedStrings.xml><?xml version="1.0" encoding="utf-8"?>
<sst xmlns="http://schemas.openxmlformats.org/spreadsheetml/2006/main" count="44" uniqueCount="34">
  <si>
    <t>Including Bank Account</t>
  </si>
  <si>
    <t>Stock A</t>
  </si>
  <si>
    <t>Stock B</t>
  </si>
  <si>
    <t>% Stock A</t>
  </si>
  <si>
    <t>St Dev of Returns</t>
  </si>
  <si>
    <t>% Market Portfolio</t>
  </si>
  <si>
    <t>Std Dev of Returns</t>
  </si>
  <si>
    <t>Expected Return</t>
  </si>
  <si>
    <t>Expected return</t>
  </si>
  <si>
    <t>Standard deviation</t>
  </si>
  <si>
    <t>Correlation coefficients</t>
  </si>
  <si>
    <t>Covariance of returns</t>
  </si>
  <si>
    <t>Proportion in A</t>
  </si>
  <si>
    <t>Proportion in B</t>
  </si>
  <si>
    <t>Variance of Return</t>
  </si>
  <si>
    <t>r=Interest</t>
  </si>
  <si>
    <t>Return on Bank Account</t>
  </si>
  <si>
    <t>Plots here</t>
  </si>
  <si>
    <t>number</t>
  </si>
  <si>
    <t>Only Risky Assets</t>
  </si>
  <si>
    <t>2-b-i-A</t>
  </si>
  <si>
    <t>maximum likelihood estimate of λ</t>
  </si>
  <si>
    <t>a</t>
  </si>
  <si>
    <t>2-b-i-B</t>
  </si>
  <si>
    <t>l(λ)</t>
  </si>
  <si>
    <t>b</t>
  </si>
  <si>
    <t>2-b-ii</t>
  </si>
  <si>
    <t>Proportion not observed</t>
  </si>
  <si>
    <t>Data</t>
  </si>
  <si>
    <t xml:space="preserve"> λ</t>
  </si>
  <si>
    <t>l( λ)</t>
  </si>
  <si>
    <t>plot the log-likelihood function here</t>
  </si>
  <si>
    <t>Number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</si>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</sst>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6" borderId="9" xfId="0" applyFill="1" applyBorder="1"/>
    <xf numFmtId="0" fontId="0" fillId="6" borderId="10" xfId="0" applyFill="1" applyBorder="1"/>
    <xf numFmtId="0" fontId="0" fillId="7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12" xfId="0" applyFill="1" applyBorder="1"/>
    <xf numFmtId="0" fontId="0" fillId="9" borderId="9" xfId="0" applyFill="1" applyBorder="1"/>
    <xf numFmtId="0" fontId="0" fillId="10" borderId="10" xfId="0" applyFill="1" applyBorder="1"/>
    <xf numFmtId="0" fontId="5" fillId="0" borderId="0" xfId="0" applyFont="1" applyAlignment="1">
      <alignment horizontal="center"/>
    </xf>
    <xf numFmtId="10" fontId="4" fillId="3" borderId="1" xfId="4" applyNumberFormat="1"/>
    <xf numFmtId="0" fontId="3" fillId="3" borderId="2" xfId="3"/>
    <xf numFmtId="0" fontId="0" fillId="6" borderId="13" xfId="0" applyFill="1" applyBorder="1"/>
    <xf numFmtId="0" fontId="0" fillId="11" borderId="14" xfId="0" applyFill="1" applyBorder="1"/>
    <xf numFmtId="0" fontId="0" fillId="12" borderId="15" xfId="0" applyFill="1" applyBorder="1"/>
    <xf numFmtId="0" fontId="5" fillId="0" borderId="0" xfId="0" applyFont="1"/>
    <xf numFmtId="0" fontId="0" fillId="6" borderId="11" xfId="0" applyFill="1" applyBorder="1"/>
    <xf numFmtId="0" fontId="0" fillId="9" borderId="16" xfId="0" applyFill="1" applyBorder="1"/>
    <xf numFmtId="10" fontId="0" fillId="0" borderId="0" xfId="1" applyNumberFormat="1" applyFont="1" applyAlignment="1">
      <alignment horizontal="center"/>
    </xf>
    <xf numFmtId="0" fontId="0" fillId="7" borderId="17" xfId="0" applyFill="1" applyBorder="1"/>
    <xf numFmtId="0" fontId="0" fillId="11" borderId="17" xfId="0" applyFill="1" applyBorder="1"/>
    <xf numFmtId="0" fontId="5" fillId="9" borderId="13" xfId="0" applyFont="1" applyFill="1" applyBorder="1"/>
    <xf numFmtId="0" fontId="5" fillId="10" borderId="15" xfId="0" applyFont="1" applyFill="1" applyBorder="1"/>
    <xf numFmtId="0" fontId="0" fillId="4" borderId="15" xfId="0" applyFill="1" applyBorder="1"/>
    <xf numFmtId="0" fontId="0" fillId="13" borderId="0" xfId="0" applyFill="1"/>
    <xf numFmtId="10" fontId="0" fillId="14" borderId="0" xfId="1" applyNumberFormat="1" applyFont="1" applyFill="1"/>
    <xf numFmtId="0" fontId="0" fillId="7" borderId="11" xfId="0" applyFill="1" applyBorder="1"/>
    <xf numFmtId="10" fontId="0" fillId="15" borderId="0" xfId="1" applyNumberFormat="1" applyFont="1" applyFill="1" applyAlignment="1">
      <alignment horizontal="center"/>
    </xf>
    <xf numFmtId="0" fontId="5" fillId="11" borderId="0" xfId="0" applyFont="1" applyFill="1"/>
    <xf numFmtId="0" fontId="5" fillId="4" borderId="0" xfId="0" applyFont="1" applyFill="1"/>
    <xf numFmtId="0" fontId="6" fillId="16" borderId="0" xfId="0" applyFont="1" applyFill="1"/>
    <xf numFmtId="0" fontId="6" fillId="4" borderId="0" xfId="0" applyFont="1" applyFill="1"/>
    <xf numFmtId="0" fontId="7" fillId="11" borderId="0" xfId="0" applyFont="1" applyFill="1"/>
    <xf numFmtId="0" fontId="5" fillId="9" borderId="0" xfId="0" applyFont="1" applyFill="1"/>
    <xf numFmtId="0" fontId="0" fillId="17" borderId="0" xfId="0" applyFill="1"/>
    <xf numFmtId="0" fontId="6" fillId="12" borderId="0" xfId="0" applyFont="1" applyFill="1" applyAlignment="1">
      <alignment horizontal="center"/>
    </xf>
    <xf numFmtId="0" fontId="5" fillId="10" borderId="0" xfId="0" applyFont="1" applyFill="1"/>
    <xf numFmtId="0" fontId="0" fillId="18" borderId="0" xfId="0" applyFill="1"/>
    <xf numFmtId="0" fontId="6" fillId="19" borderId="0" xfId="0" applyFont="1" applyFill="1"/>
    <xf numFmtId="0" fontId="0" fillId="11" borderId="0" xfId="0" applyFill="1"/>
    <xf numFmtId="0" fontId="6" fillId="0" borderId="0" xfId="0" applyFont="1"/>
    <xf numFmtId="0" fontId="0" fillId="11" borderId="18" xfId="0" applyFill="1" applyBorder="1"/>
    <xf numFmtId="0" fontId="0" fillId="20" borderId="0" xfId="0" applyFill="1"/>
    <xf numFmtId="0" fontId="5" fillId="21" borderId="0" xfId="0" applyFont="1" applyFill="1"/>
    <xf numFmtId="0" fontId="5" fillId="15" borderId="0" xfId="0" applyFont="1" applyFill="1"/>
    <xf numFmtId="0" fontId="2" fillId="2" borderId="1" xfId="2"/>
    <xf numFmtId="10" fontId="3" fillId="3" borderId="2" xfId="3" applyNumberFormat="1"/>
    <xf numFmtId="10" fontId="3" fillId="3" borderId="2" xfId="3" applyNumberFormat="1" applyAlignment="1">
      <alignment horizontal="right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Calculation" xfId="4" builtinId="22"/>
    <cellStyle name="Input" xfId="2" builtinId="20"/>
    <cellStyle name="Normal" xfId="0" builtinId="0"/>
    <cellStyle name="Output" xfId="3" builtinId="21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Risky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Sheet1!$H$4:$H$19</c:f>
              <c:numCache>
                <c:formatCode>0.00%</c:formatCode>
                <c:ptCount val="16"/>
                <c:pt idx="0">
                  <c:v>0.15</c:v>
                </c:pt>
                <c:pt idx="1">
                  <c:v>0.13917255476565774</c:v>
                </c:pt>
                <c:pt idx="2">
                  <c:v>0.12874781551544867</c:v>
                </c:pt>
                <c:pt idx="3">
                  <c:v>0.11883181392203016</c:v>
                </c:pt>
                <c:pt idx="4">
                  <c:v>0.10956276739841871</c:v>
                </c:pt>
                <c:pt idx="5">
                  <c:v>0.10111874208078342</c:v>
                </c:pt>
                <c:pt idx="6">
                  <c:v>9.372299611087985E-2</c:v>
                </c:pt>
                <c:pt idx="7">
                  <c:v>8.7641314458421951E-2</c:v>
                </c:pt>
                <c:pt idx="8">
                  <c:v>8.3162491545167166E-2</c:v>
                </c:pt>
                <c:pt idx="9">
                  <c:v>8.0554329492585314E-2</c:v>
                </c:pt>
                <c:pt idx="10">
                  <c:v>0.08</c:v>
                </c:pt>
                <c:pt idx="11">
                  <c:v>8.1541400527584768E-2</c:v>
                </c:pt>
                <c:pt idx="12">
                  <c:v>8.5064681272546946E-2</c:v>
                </c:pt>
                <c:pt idx="13">
                  <c:v>9.0338253248554684E-2</c:v>
                </c:pt>
                <c:pt idx="14">
                  <c:v>9.7077288796092773E-2</c:v>
                </c:pt>
                <c:pt idx="15">
                  <c:v>0.10500000000000001</c:v>
                </c:pt>
              </c:numCache>
            </c:numRef>
          </c:xVal>
          <c:yVal>
            <c:numRef>
              <c:f>Sheet1!$I$4:$I$19</c:f>
              <c:numCache>
                <c:formatCode>0.00%</c:formatCode>
                <c:ptCount val="16"/>
                <c:pt idx="0">
                  <c:v>0.06</c:v>
                </c:pt>
                <c:pt idx="1">
                  <c:v>5.7999999999999996E-2</c:v>
                </c:pt>
                <c:pt idx="2">
                  <c:v>5.6000000000000001E-2</c:v>
                </c:pt>
                <c:pt idx="3">
                  <c:v>5.3999999999999992E-2</c:v>
                </c:pt>
                <c:pt idx="4">
                  <c:v>5.1999999999999998E-2</c:v>
                </c:pt>
                <c:pt idx="5">
                  <c:v>0.05</c:v>
                </c:pt>
                <c:pt idx="6">
                  <c:v>4.8000000000000001E-2</c:v>
                </c:pt>
                <c:pt idx="7">
                  <c:v>4.5999999999999999E-2</c:v>
                </c:pt>
                <c:pt idx="8">
                  <c:v>4.3999999999999997E-2</c:v>
                </c:pt>
                <c:pt idx="9">
                  <c:v>4.2000000000000003E-2</c:v>
                </c:pt>
                <c:pt idx="10">
                  <c:v>0.04</c:v>
                </c:pt>
                <c:pt idx="11">
                  <c:v>3.8000000000000006E-2</c:v>
                </c:pt>
                <c:pt idx="12">
                  <c:v>3.6000000000000004E-2</c:v>
                </c:pt>
                <c:pt idx="13">
                  <c:v>3.4000000000000002E-2</c:v>
                </c:pt>
                <c:pt idx="14">
                  <c:v>3.1999999999999994E-2</c:v>
                </c:pt>
                <c:pt idx="15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5-4210-B696-43BFB6E4B6FC}"/>
            </c:ext>
          </c:extLst>
        </c:ser>
        <c:ser>
          <c:idx val="1"/>
          <c:order val="1"/>
          <c:tx>
            <c:v>with risk free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Sheet1!$K$4:$K$19</c:f>
              <c:numCache>
                <c:formatCode>0.00%</c:formatCode>
                <c:ptCount val="16"/>
                <c:pt idx="0">
                  <c:v>0</c:v>
                </c:pt>
                <c:pt idx="1">
                  <c:v>8.7641314458421944E-3</c:v>
                </c:pt>
                <c:pt idx="2">
                  <c:v>1.7528262891684389E-2</c:v>
                </c:pt>
                <c:pt idx="3">
                  <c:v>2.6292394337526583E-2</c:v>
                </c:pt>
                <c:pt idx="4">
                  <c:v>3.5056525783368778E-2</c:v>
                </c:pt>
                <c:pt idx="5">
                  <c:v>4.3820657229210976E-2</c:v>
                </c:pt>
                <c:pt idx="6">
                  <c:v>5.2584788675053167E-2</c:v>
                </c:pt>
                <c:pt idx="7">
                  <c:v>6.1348920120895357E-2</c:v>
                </c:pt>
                <c:pt idx="8">
                  <c:v>7.0113051566737555E-2</c:v>
                </c:pt>
                <c:pt idx="9">
                  <c:v>7.8877183012579746E-2</c:v>
                </c:pt>
                <c:pt idx="10">
                  <c:v>8.7641314458421951E-2</c:v>
                </c:pt>
                <c:pt idx="11">
                  <c:v>9.6405445904264142E-2</c:v>
                </c:pt>
                <c:pt idx="12">
                  <c:v>0.10516957735010633</c:v>
                </c:pt>
                <c:pt idx="13">
                  <c:v>0.11393370879594854</c:v>
                </c:pt>
                <c:pt idx="14">
                  <c:v>0.12269784024179071</c:v>
                </c:pt>
                <c:pt idx="15">
                  <c:v>0.13146197168763291</c:v>
                </c:pt>
              </c:numCache>
            </c:numRef>
          </c:xVal>
          <c:yVal>
            <c:numRef>
              <c:f>Sheet1!$L$4:$L$19</c:f>
              <c:numCache>
                <c:formatCode>0.00%</c:formatCode>
                <c:ptCount val="16"/>
                <c:pt idx="0">
                  <c:v>1.2E-2</c:v>
                </c:pt>
                <c:pt idx="1">
                  <c:v>1.54E-2</c:v>
                </c:pt>
                <c:pt idx="2">
                  <c:v>1.8800000000000001E-2</c:v>
                </c:pt>
                <c:pt idx="3">
                  <c:v>2.2199999999999998E-2</c:v>
                </c:pt>
                <c:pt idx="4">
                  <c:v>2.5599999999999998E-2</c:v>
                </c:pt>
                <c:pt idx="5">
                  <c:v>2.9000000000000001E-2</c:v>
                </c:pt>
                <c:pt idx="6">
                  <c:v>3.2399999999999998E-2</c:v>
                </c:pt>
                <c:pt idx="7">
                  <c:v>3.5799999999999998E-2</c:v>
                </c:pt>
                <c:pt idx="8">
                  <c:v>3.9199999999999999E-2</c:v>
                </c:pt>
                <c:pt idx="9">
                  <c:v>4.2599999999999999E-2</c:v>
                </c:pt>
                <c:pt idx="10">
                  <c:v>4.5999999999999999E-2</c:v>
                </c:pt>
                <c:pt idx="11">
                  <c:v>4.9399999999999999E-2</c:v>
                </c:pt>
                <c:pt idx="12">
                  <c:v>5.28E-2</c:v>
                </c:pt>
                <c:pt idx="13">
                  <c:v>5.62E-2</c:v>
                </c:pt>
                <c:pt idx="14">
                  <c:v>5.96E-2</c:v>
                </c:pt>
                <c:pt idx="15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15-4210-B696-43BFB6E4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57024"/>
        <c:axId val="393654728"/>
      </c:scatterChart>
      <c:valAx>
        <c:axId val="3936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 Dev of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4728"/>
        <c:crosses val="autoZero"/>
        <c:crossBetween val="midCat"/>
      </c:valAx>
      <c:valAx>
        <c:axId val="3936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Sheet2!$E$17</c:f>
              <c:strCache>
                <c:ptCount val="1"/>
                <c:pt idx="0">
                  <c:v>l( λ)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Sheet2!$D$18:$D$57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</c:numCache>
            </c:numRef>
          </c:xVal>
          <c:yVal>
            <c:numRef>
              <c:f>Sheet2!$E$18:$E$57</c:f>
              <c:numCache>
                <c:formatCode>General</c:formatCode>
                <c:ptCount val="40"/>
                <c:pt idx="0">
                  <c:v>-25.399529773037173</c:v>
                </c:pt>
                <c:pt idx="1">
                  <c:v>-21.151834322786296</c:v>
                </c:pt>
                <c:pt idx="2">
                  <c:v>-19.090098477513326</c:v>
                </c:pt>
                <c:pt idx="3">
                  <c:v>-17.872856235344447</c:v>
                </c:pt>
                <c:pt idx="4">
                  <c:v>-17.089328731602247</c:v>
                </c:pt>
                <c:pt idx="5">
                  <c:v>-16.562770922136437</c:v>
                </c:pt>
                <c:pt idx="6">
                  <c:v>-16.203079720849885</c:v>
                </c:pt>
                <c:pt idx="7">
                  <c:v>-15.959332527980738</c:v>
                </c:pt>
                <c:pt idx="8">
                  <c:v>-15.800664697549227</c:v>
                </c:pt>
                <c:pt idx="9">
                  <c:v>-15.707381440993192</c:v>
                </c:pt>
                <c:pt idx="10">
                  <c:v>-15.666395220122823</c:v>
                </c:pt>
                <c:pt idx="11">
                  <c:v>-15.668706973107444</c:v>
                </c:pt>
                <c:pt idx="12">
                  <c:v>-15.707936970135654</c:v>
                </c:pt>
                <c:pt idx="13">
                  <c:v>-15.77943055581728</c:v>
                </c:pt>
                <c:pt idx="14">
                  <c:v>-15.879695205047451</c:v>
                </c:pt>
                <c:pt idx="15">
                  <c:v>-16.006036497136151</c:v>
                </c:pt>
                <c:pt idx="16">
                  <c:v>-16.156317563562787</c:v>
                </c:pt>
                <c:pt idx="17">
                  <c:v>-16.328797301269404</c:v>
                </c:pt>
                <c:pt idx="18">
                  <c:v>-16.522019975737706</c:v>
                </c:pt>
                <c:pt idx="19">
                  <c:v>-16.734738982428627</c:v>
                </c:pt>
                <c:pt idx="20">
                  <c:v>-16.965863664597464</c:v>
                </c:pt>
                <c:pt idx="21">
                  <c:v>-17.214421891940116</c:v>
                </c:pt>
                <c:pt idx="22">
                  <c:v>-17.479533525006609</c:v>
                </c:pt>
                <c:pt idx="23">
                  <c:v>-17.760391461367639</c:v>
                </c:pt>
                <c:pt idx="24">
                  <c:v>-18.056247997519769</c:v>
                </c:pt>
                <c:pt idx="25">
                  <c:v>-18.366404936965736</c:v>
                </c:pt>
                <c:pt idx="26">
                  <c:v>-18.690206348448481</c:v>
                </c:pt>
                <c:pt idx="27">
                  <c:v>-19.027033203999327</c:v>
                </c:pt>
                <c:pt idx="28">
                  <c:v>-19.376299352646676</c:v>
                </c:pt>
                <c:pt idx="29">
                  <c:v>-19.737448444016184</c:v>
                </c:pt>
                <c:pt idx="30">
                  <c:v>-20.109951527720352</c:v>
                </c:pt>
                <c:pt idx="31">
                  <c:v>-20.4933051335992</c:v>
                </c:pt>
                <c:pt idx="32">
                  <c:v>-20.887029694233703</c:v>
                </c:pt>
                <c:pt idx="33">
                  <c:v>-21.290668211400387</c:v>
                </c:pt>
                <c:pt idx="34">
                  <c:v>-21.70378509692673</c:v>
                </c:pt>
                <c:pt idx="35">
                  <c:v>-22.125965139014838</c:v>
                </c:pt>
                <c:pt idx="36">
                  <c:v>-22.556812559839344</c:v>
                </c:pt>
                <c:pt idx="37">
                  <c:v>-22.995950140742153</c:v>
                </c:pt>
                <c:pt idx="38">
                  <c:v>-23.443018398822154</c:v>
                </c:pt>
                <c:pt idx="39">
                  <c:v>-23.897674804000008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DFE-B9A3-4664D7E0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66112"/>
        <c:axId val="448558896"/>
      </c:scatterChart>
      <c:valAx>
        <c:axId val="4485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l( </a:t>
                </a:r>
                <a:r>
                  <a:rPr lang="el-GR" sz="1800" b="0" i="0" baseline="0">
                    <a:effectLst/>
                  </a:rPr>
                  <a:t>λ)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58896"/>
        <c:crosses val="autoZero"/>
        <c:crossBetween val="midCat"/>
      </c:valAx>
      <c:valAx>
        <c:axId val="4485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 </a:t>
                </a:r>
                <a:r>
                  <a:rPr lang="el-GR" sz="1800" b="0" i="0" baseline="0">
                    <a:effectLst/>
                  </a:rPr>
                  <a:t>λ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22</xdr:row>
      <xdr:rowOff>147637</xdr:rowOff>
    </xdr:from>
    <xdr:to>
      <xdr:col>11</xdr:col>
      <xdr:colOff>333375</xdr:colOff>
      <xdr:row>37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2</xdr:row>
      <xdr:rowOff>64770</xdr:rowOff>
    </xdr:from>
    <xdr:to>
      <xdr:col>12</xdr:col>
      <xdr:colOff>430530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D17EBF-0262-483A-9A37-9F8BADFD605D}"/>
            </a:ext>
          </a:extLst>
        </xdr:cNvPr>
        <xdr:cNvSpPr txBox="1"/>
      </xdr:nvSpPr>
      <xdr:spPr>
        <a:xfrm>
          <a:off x="8224520" y="414020"/>
          <a:ext cx="2099310" cy="735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1) Answer</a:t>
          </a:r>
          <a:r>
            <a:rPr lang="en-GB" sz="1100" baseline="0"/>
            <a:t> in these cells</a:t>
          </a:r>
        </a:p>
        <a:p>
          <a:r>
            <a:rPr lang="en-GB" sz="1100" baseline="0"/>
            <a:t>2) Click on the Data Menu</a:t>
          </a:r>
        </a:p>
        <a:p>
          <a:pPr>
            <a:lnSpc>
              <a:spcPts val="1000"/>
            </a:lnSpc>
          </a:pPr>
          <a:r>
            <a:rPr lang="en-GB" sz="1100"/>
            <a:t>3) Click on Solver and then</a:t>
          </a:r>
          <a:r>
            <a:rPr lang="en-GB" sz="1100" baseline="0"/>
            <a:t> Solve</a:t>
          </a:r>
          <a:endParaRPr lang="en-GB" sz="1100"/>
        </a:p>
      </xdr:txBody>
    </xdr:sp>
    <xdr:clientData/>
  </xdr:twoCellAnchor>
  <xdr:twoCellAnchor>
    <xdr:from>
      <xdr:col>8</xdr:col>
      <xdr:colOff>102870</xdr:colOff>
      <xdr:row>2</xdr:row>
      <xdr:rowOff>60960</xdr:rowOff>
    </xdr:from>
    <xdr:to>
      <xdr:col>9</xdr:col>
      <xdr:colOff>121920</xdr:colOff>
      <xdr:row>5</xdr:row>
      <xdr:rowOff>125730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D5C9B34-82CA-437D-867E-F27EEEF1D50B}"/>
            </a:ext>
          </a:extLst>
        </xdr:cNvPr>
        <xdr:cNvCxnSpPr>
          <a:cxnSpLocks noChangeShapeType="1"/>
        </xdr:cNvCxnSpPr>
      </xdr:nvCxnSpPr>
      <xdr:spPr bwMode="auto">
        <a:xfrm rot="10800000">
          <a:off x="7557770" y="410210"/>
          <a:ext cx="628650" cy="59182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9</xdr:col>
      <xdr:colOff>395286</xdr:colOff>
      <xdr:row>6</xdr:row>
      <xdr:rowOff>28576</xdr:rowOff>
    </xdr:from>
    <xdr:ext cx="2700339" cy="590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86561" y="1171576"/>
              <a:ext cx="2700339" cy="59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𝑙𝑛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𝑛𝑙𝑛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𝑛𝑙𝑛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^−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^−3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)−</m:t>
                    </m:r>
                    <m:r>
                      <a:rPr lang="el-GR" sz="14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𝑛</m:t>
                    </m:r>
                    <m:acc>
                      <m:accPr>
                        <m:chr m:val="̅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86561" y="1171576"/>
              <a:ext cx="2700339" cy="59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𝑙𝑛(</a:t>
              </a:r>
              <a:r>
                <a:rPr lang="el-GR" sz="1400" i="0">
                  <a:latin typeface="Cambria Math" panose="02040503050406030204" pitchFamily="18" charset="0"/>
                </a:rPr>
                <a:t>𝜆)=</a:t>
              </a:r>
              <a:r>
                <a:rPr lang="en-US" sz="1400" i="0">
                  <a:latin typeface="Cambria Math" panose="02040503050406030204" pitchFamily="18" charset="0"/>
                </a:rPr>
                <a:t>𝑛𝑙𝑛</a:t>
              </a:r>
              <a:r>
                <a:rPr lang="el-GR" sz="1400" i="0">
                  <a:latin typeface="Cambria Math" panose="02040503050406030204" pitchFamily="18" charset="0"/>
                </a:rPr>
                <a:t>𝜆-</a:t>
              </a:r>
              <a:r>
                <a:rPr lang="en-US" sz="1400" i="0">
                  <a:latin typeface="Cambria Math" panose="02040503050406030204" pitchFamily="18" charset="0"/>
                </a:rPr>
                <a:t>𝑛𝑙𝑛(𝑒^-</a:t>
              </a:r>
              <a:r>
                <a:rPr lang="el-GR" sz="1400" i="0">
                  <a:latin typeface="Cambria Math" panose="02040503050406030204" pitchFamily="18" charset="0"/>
                </a:rPr>
                <a:t>𝜆 -</a:t>
              </a:r>
              <a:r>
                <a:rPr lang="en-US" sz="1400" i="0">
                  <a:latin typeface="Cambria Math" panose="02040503050406030204" pitchFamily="18" charset="0"/>
                </a:rPr>
                <a:t>𝑒^-3</a:t>
              </a:r>
              <a:r>
                <a:rPr lang="el-GR" sz="1400" i="0">
                  <a:latin typeface="Cambria Math" panose="02040503050406030204" pitchFamily="18" charset="0"/>
                </a:rPr>
                <a:t>𝜆)-𝜆</a:t>
              </a:r>
              <a:r>
                <a:rPr lang="en-US" sz="140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panose="02040503050406030204" pitchFamily="18" charset="0"/>
                </a:rPr>
                <a:t>𝑡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10</xdr:col>
      <xdr:colOff>280987</xdr:colOff>
      <xdr:row>9</xdr:row>
      <xdr:rowOff>61912</xdr:rowOff>
    </xdr:from>
    <xdr:ext cx="65" cy="172227"/>
    <xdr:sp macro="" textlink="">
      <xdr:nvSpPr>
        <xdr:cNvPr id="6" name="TextBox 5"/>
        <xdr:cNvSpPr txBox="1"/>
      </xdr:nvSpPr>
      <xdr:spPr>
        <a:xfrm>
          <a:off x="7281862" y="1776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604837</xdr:colOff>
      <xdr:row>10</xdr:row>
      <xdr:rowOff>119062</xdr:rowOff>
    </xdr:from>
    <xdr:ext cx="962507" cy="521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386512" y="2024062"/>
              <a:ext cx="962507" cy="521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</m:acc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brk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acc>
                            <m:r>
                              <m:rPr>
                                <m:brk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l-GR" sz="1100" b="0" i="1">
                                        <a:latin typeface="Cambria Math" panose="02040503050406030204" pitchFamily="18" charset="0"/>
                                      </a:rPr>
                                      <m:t>𝜆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l-GR" sz="1100" b="0" i="1">
                                        <a:latin typeface="Cambria Math" panose="02040503050406030204" pitchFamily="18" charset="0"/>
                                      </a:rPr>
                                      <m:t>𝜆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den>
                            </m:f>
                          </m:den>
                        </m:f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386512" y="2024062"/>
              <a:ext cx="962507" cy="521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en-US" sz="1100" i="0">
                  <a:latin typeface="Cambria Math" panose="02040503050406030204" pitchFamily="18" charset="0"/>
                </a:rPr>
                <a:t> ̂(</a:t>
              </a:r>
              <a:r>
                <a:rPr lang="en-US" sz="1100" b="0" i="0">
                  <a:latin typeface="Cambria Math" panose="02040503050406030204" pitchFamily="18" charset="0"/>
                </a:rPr>
                <a:t>=1/(𝑡 ̅−(𝑒^2</a:t>
              </a:r>
              <a:r>
                <a:rPr lang="el-GR" sz="1100" b="0" i="0">
                  <a:latin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</a:rPr>
                <a:t>−3)/(𝑒^2</a:t>
              </a:r>
              <a:r>
                <a:rPr lang="el-GR" sz="1100" b="0" i="0">
                  <a:latin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</a:rPr>
                <a:t>−1))) ̂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142875</xdr:colOff>
      <xdr:row>18</xdr:row>
      <xdr:rowOff>52387</xdr:rowOff>
    </xdr:from>
    <xdr:to>
      <xdr:col>11</xdr:col>
      <xdr:colOff>95250</xdr:colOff>
      <xdr:row>32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mza/Downloads/STATS_C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-data"/>
      <sheetName val="Q3-d"/>
      <sheetName val="Q4"/>
    </sheetNames>
    <sheetDataSet>
      <sheetData sheetId="0">
        <row r="1">
          <cell r="B1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B18" workbookViewId="0">
      <selection activeCell="M37" sqref="M37"/>
    </sheetView>
  </sheetViews>
  <sheetFormatPr defaultRowHeight="15" x14ac:dyDescent="0.25"/>
  <cols>
    <col min="1" max="1" width="22.42578125" bestFit="1" customWidth="1"/>
    <col min="2" max="2" width="14.42578125" bestFit="1" customWidth="1"/>
    <col min="3" max="3" width="15.7109375" bestFit="1" customWidth="1"/>
    <col min="4" max="4" width="16.42578125" bestFit="1" customWidth="1"/>
    <col min="7" max="7" width="9.140625" bestFit="1" customWidth="1"/>
    <col min="8" max="8" width="16.28515625" bestFit="1" customWidth="1"/>
    <col min="9" max="9" width="14.5703125" bestFit="1" customWidth="1"/>
    <col min="10" max="10" width="17.85546875" bestFit="1" customWidth="1"/>
    <col min="11" max="11" width="16.42578125" customWidth="1"/>
    <col min="12" max="12" width="14.5703125" bestFit="1" customWidth="1"/>
  </cols>
  <sheetData>
    <row r="1" spans="1:12" ht="15.75" thickBot="1" x14ac:dyDescent="0.3">
      <c r="A1" s="28" t="s">
        <v>18</v>
      </c>
      <c r="B1" s="29">
        <f>'[1]Q2-data'!B1</f>
        <v>2</v>
      </c>
      <c r="L1" s="1"/>
    </row>
    <row r="2" spans="1:12" ht="15.75" thickBot="1" x14ac:dyDescent="0.3">
      <c r="G2" s="48" t="s">
        <v>19</v>
      </c>
      <c r="H2" s="49"/>
      <c r="I2" s="50"/>
      <c r="J2" s="51" t="s">
        <v>0</v>
      </c>
      <c r="K2" s="52"/>
      <c r="L2" s="53"/>
    </row>
    <row r="3" spans="1:12" x14ac:dyDescent="0.25">
      <c r="A3" s="2"/>
      <c r="B3" s="2" t="s">
        <v>1</v>
      </c>
      <c r="C3" s="3" t="s">
        <v>2</v>
      </c>
      <c r="E3" s="1"/>
      <c r="F3" s="1"/>
      <c r="G3" s="4" t="s">
        <v>3</v>
      </c>
      <c r="H3" s="4" t="s">
        <v>4</v>
      </c>
      <c r="I3" s="4" t="s">
        <v>7</v>
      </c>
      <c r="J3" s="5" t="s">
        <v>5</v>
      </c>
      <c r="K3" s="5" t="s">
        <v>6</v>
      </c>
      <c r="L3" s="5" t="s">
        <v>7</v>
      </c>
    </row>
    <row r="4" spans="1:12" x14ac:dyDescent="0.25">
      <c r="A4" s="6" t="s">
        <v>8</v>
      </c>
      <c r="B4" s="7">
        <v>0.04</v>
      </c>
      <c r="C4" s="8">
        <v>0.06</v>
      </c>
      <c r="E4" s="54"/>
      <c r="F4" s="55"/>
      <c r="G4" s="10">
        <v>0</v>
      </c>
      <c r="H4" s="46">
        <f>SQRT((0^2*B5^2)+(1^2*C5^2))</f>
        <v>0.15</v>
      </c>
      <c r="I4" s="46">
        <f>(B4*0)+(C4*1)</f>
        <v>0.06</v>
      </c>
      <c r="J4" s="10">
        <v>0</v>
      </c>
      <c r="K4" s="46">
        <f>SQRT(0^2*$D$18)</f>
        <v>0</v>
      </c>
      <c r="L4" s="46">
        <f>$B$20+(($C$18-$B$20)/SQRT($D$18))*K4</f>
        <v>1.2E-2</v>
      </c>
    </row>
    <row r="5" spans="1:12" x14ac:dyDescent="0.25">
      <c r="A5" s="12" t="s">
        <v>9</v>
      </c>
      <c r="B5" s="13">
        <v>0.08</v>
      </c>
      <c r="C5" s="14">
        <v>0.15</v>
      </c>
      <c r="E5" s="1"/>
      <c r="F5" s="1"/>
      <c r="G5" s="10">
        <v>0.1</v>
      </c>
      <c r="H5" s="46">
        <f>SQRT((0.1^2*B5^2)+(0.9^2*C5^2)+(2*C8*0.1*0.9*B5*C5))</f>
        <v>0.13917255476565774</v>
      </c>
      <c r="I5" s="46">
        <f>($B$4*0.1)+($C$4*0.9)</f>
        <v>5.7999999999999996E-2</v>
      </c>
      <c r="J5" s="10">
        <v>0.1</v>
      </c>
      <c r="K5" s="46">
        <f>SQRT(0.1^2*$D$18)</f>
        <v>8.7641314458421944E-3</v>
      </c>
      <c r="L5" s="46">
        <f>$B$20+(($C$18-$B$20)/SQRT($D$18))*K5</f>
        <v>1.54E-2</v>
      </c>
    </row>
    <row r="6" spans="1:12" x14ac:dyDescent="0.25">
      <c r="A6" s="15"/>
      <c r="E6" s="9"/>
      <c r="F6" s="9"/>
      <c r="G6" s="10">
        <v>0.2</v>
      </c>
      <c r="H6" s="46">
        <f>SQRT((0.2^2*$B$5^2)+(0.8^2*$C$5^2)+(2*C8*0.2*0.8*B5*C5))</f>
        <v>0.12874781551544867</v>
      </c>
      <c r="I6" s="46">
        <f>($B$4*0.2)+($C$4*0.8)</f>
        <v>5.6000000000000001E-2</v>
      </c>
      <c r="J6" s="10">
        <v>0.2</v>
      </c>
      <c r="K6" s="46">
        <f>SQRT(0.2^2*$D$18)</f>
        <v>1.7528262891684389E-2</v>
      </c>
      <c r="L6" s="46">
        <f>$B$20+(($C$18-$B$20)/SQRT($D$18))*K6</f>
        <v>1.8800000000000001E-2</v>
      </c>
    </row>
    <row r="7" spans="1:12" x14ac:dyDescent="0.25">
      <c r="A7" s="2" t="s">
        <v>10</v>
      </c>
      <c r="B7" s="16" t="s">
        <v>1</v>
      </c>
      <c r="C7" s="3" t="s">
        <v>2</v>
      </c>
      <c r="E7" s="1"/>
      <c r="F7" s="1"/>
      <c r="G7" s="10">
        <v>0.3</v>
      </c>
      <c r="H7" s="46">
        <f>SQRT((0.3^2*$B$5^2)+(0.7^2*$C$5^2)+(2*C8*0.3*0.7*B5*C5))</f>
        <v>0.11883181392203016</v>
      </c>
      <c r="I7" s="46">
        <f>($B$4*0.3)+($C$4*0.7)</f>
        <v>5.3999999999999992E-2</v>
      </c>
      <c r="J7" s="10">
        <v>0.3</v>
      </c>
      <c r="K7" s="46">
        <f>SQRT(0.3^2*$D$18)</f>
        <v>2.6292394337526583E-2</v>
      </c>
      <c r="L7" s="46">
        <f t="shared" ref="L7:L19" si="0">$B$20+(($C$18-$B$20)/SQRT($D$18))*K7</f>
        <v>2.2199999999999998E-2</v>
      </c>
    </row>
    <row r="8" spans="1:12" x14ac:dyDescent="0.25">
      <c r="A8" s="2" t="s">
        <v>1</v>
      </c>
      <c r="B8" s="17"/>
      <c r="C8" s="8">
        <v>0.5</v>
      </c>
      <c r="F8" s="18"/>
      <c r="G8" s="10">
        <v>0.4</v>
      </c>
      <c r="H8" s="47">
        <f>SQRT((0.4^2*$B$5^2)+(0.6^2*$C$5^2)+(2*$C$8*0.4*0.6*$B$5*$C$5))</f>
        <v>0.10956276739841871</v>
      </c>
      <c r="I8" s="47">
        <f>($B$4*0.4)+($C$4*0.6)</f>
        <v>5.1999999999999998E-2</v>
      </c>
      <c r="J8" s="10">
        <v>0.4</v>
      </c>
      <c r="K8" s="47">
        <f>SQRT(0.4^2*$D$18)</f>
        <v>3.5056525783368778E-2</v>
      </c>
      <c r="L8" s="46">
        <f t="shared" si="0"/>
        <v>2.5599999999999998E-2</v>
      </c>
    </row>
    <row r="9" spans="1:12" x14ac:dyDescent="0.25">
      <c r="A9" s="16" t="s">
        <v>2</v>
      </c>
      <c r="B9" s="19">
        <v>0.5</v>
      </c>
      <c r="C9" s="14"/>
      <c r="F9" s="18"/>
      <c r="G9" s="10">
        <v>0.5</v>
      </c>
      <c r="H9" s="47">
        <f>SQRT((0.5^2*$B$5^2)+(0.5^2*$C$5^2)+(2*$C$8*0.5*0.5*$B$5*$C$5))</f>
        <v>0.10111874208078342</v>
      </c>
      <c r="I9" s="47">
        <f>($B$4*0.5)+($C$4*0.5)</f>
        <v>0.05</v>
      </c>
      <c r="J9" s="10">
        <v>0.5</v>
      </c>
      <c r="K9" s="47">
        <f>SQRT(0.5^2*$D$18)</f>
        <v>4.3820657229210976E-2</v>
      </c>
      <c r="L9" s="46">
        <f t="shared" si="0"/>
        <v>2.9000000000000001E-2</v>
      </c>
    </row>
    <row r="10" spans="1:12" x14ac:dyDescent="0.25">
      <c r="F10" s="18"/>
      <c r="G10" s="10">
        <v>0.6</v>
      </c>
      <c r="H10" s="47">
        <f>SQRT((0.6^2*$B$5^2)+(0.4^2*$C$5^2)+(2*$C$8*0.6*0.4*$B$5*$C$5))</f>
        <v>9.372299611087985E-2</v>
      </c>
      <c r="I10" s="47">
        <f>($B$4*0.6)+($C$4*0.4)</f>
        <v>4.8000000000000001E-2</v>
      </c>
      <c r="J10" s="10">
        <v>0.6</v>
      </c>
      <c r="K10" s="47">
        <f>SQRT(0.6^2*$D$18)</f>
        <v>5.2584788675053167E-2</v>
      </c>
      <c r="L10" s="46">
        <f t="shared" si="0"/>
        <v>3.2399999999999998E-2</v>
      </c>
    </row>
    <row r="11" spans="1:12" x14ac:dyDescent="0.25">
      <c r="E11" s="15"/>
      <c r="F11" s="18"/>
      <c r="G11" s="10">
        <v>0.7</v>
      </c>
      <c r="H11" s="47">
        <f>SQRT((0.7^2*$B$5^2)+(0.3^2*$C$5^2)+(2*$C$8*0.7*0.3*$B$5*$C$5))</f>
        <v>8.7641314458421951E-2</v>
      </c>
      <c r="I11" s="47">
        <f>($B$4*0.7)+($C$4*0.3)</f>
        <v>4.5999999999999999E-2</v>
      </c>
      <c r="J11" s="10">
        <v>0.7</v>
      </c>
      <c r="K11" s="47">
        <f>SQRT(0.7^2*$D$18)</f>
        <v>6.1348920120895357E-2</v>
      </c>
      <c r="L11" s="46">
        <f>$B$20+(($C$18-$B$20)/SQRT($D$18))*K11</f>
        <v>3.5799999999999998E-2</v>
      </c>
    </row>
    <row r="12" spans="1:12" x14ac:dyDescent="0.25">
      <c r="A12" s="2" t="s">
        <v>11</v>
      </c>
      <c r="B12" s="16" t="s">
        <v>1</v>
      </c>
      <c r="C12" s="3" t="s">
        <v>2</v>
      </c>
      <c r="F12" s="18"/>
      <c r="G12" s="10">
        <v>0.8</v>
      </c>
      <c r="H12" s="47">
        <f>SQRT((0.8^2*$B$5^2)+(0.2^2*$C$5^2)+(2*$C$8*0.8*0.2*$B$5*$C$5))</f>
        <v>8.3162491545167166E-2</v>
      </c>
      <c r="I12" s="47">
        <f>($B$4*0.8)+($C$4*0.2)</f>
        <v>4.3999999999999997E-2</v>
      </c>
      <c r="J12" s="10">
        <v>0.8</v>
      </c>
      <c r="K12" s="47">
        <f>SQRT(0.8^2*$D$18)</f>
        <v>7.0113051566737555E-2</v>
      </c>
      <c r="L12" s="46">
        <f t="shared" si="0"/>
        <v>3.9199999999999999E-2</v>
      </c>
    </row>
    <row r="13" spans="1:12" x14ac:dyDescent="0.25">
      <c r="A13" s="2" t="s">
        <v>1</v>
      </c>
      <c r="B13" s="17"/>
      <c r="C13" s="8">
        <f>C8*B5*C5</f>
        <v>6.0000000000000001E-3</v>
      </c>
      <c r="F13" s="18"/>
      <c r="G13" s="10">
        <v>0.9</v>
      </c>
      <c r="H13" s="47">
        <f>SQRT((0.9^2*$B$5^2)+(0.1^2*$C$5^2)+(2*$C$8*0.9*0.1*$B$5*$C$5))</f>
        <v>8.0554329492585314E-2</v>
      </c>
      <c r="I13" s="47">
        <f>($B$4*0.9)+($C$4*0.1)</f>
        <v>4.2000000000000003E-2</v>
      </c>
      <c r="J13" s="10">
        <v>0.9</v>
      </c>
      <c r="K13" s="47">
        <f>SQRT(0.9^2*$D$18)</f>
        <v>7.8877183012579746E-2</v>
      </c>
      <c r="L13" s="46">
        <f>$B$20+(($C$18-$B$20)/SQRT($D$18))*K13</f>
        <v>4.2599999999999999E-2</v>
      </c>
    </row>
    <row r="14" spans="1:12" x14ac:dyDescent="0.25">
      <c r="A14" s="16" t="s">
        <v>2</v>
      </c>
      <c r="B14" s="20">
        <f>B9*B5*C5</f>
        <v>6.0000000000000001E-3</v>
      </c>
      <c r="C14" s="14"/>
      <c r="F14" s="18"/>
      <c r="G14" s="10">
        <v>1</v>
      </c>
      <c r="H14" s="47">
        <f>SQRT((1^2*$B$5^2)+(0^2*$C$5^2)+(2*$C$8*1*0*$B$5*$C$5))</f>
        <v>0.08</v>
      </c>
      <c r="I14" s="47">
        <f>($B$4*1)+($C$4*0)</f>
        <v>0.04</v>
      </c>
      <c r="J14" s="10">
        <v>1</v>
      </c>
      <c r="K14" s="47">
        <f>SQRT(1^2*$D$18)</f>
        <v>8.7641314458421951E-2</v>
      </c>
      <c r="L14" s="46">
        <f t="shared" si="0"/>
        <v>4.5999999999999999E-2</v>
      </c>
    </row>
    <row r="15" spans="1:12" x14ac:dyDescent="0.25">
      <c r="F15" s="18"/>
      <c r="G15" s="10">
        <v>1.1000000000000001</v>
      </c>
      <c r="H15" s="47">
        <f>SQRT((1.1^2*$B$5^2)+(-0.1^2*$C$5^2)+(2*$C$8*1.1*-0.1*$B$5*$C$5))</f>
        <v>8.1541400527584768E-2</v>
      </c>
      <c r="I15" s="47">
        <f>($B$4*1.1)+($C$4*-0.1)</f>
        <v>3.8000000000000006E-2</v>
      </c>
      <c r="J15" s="10">
        <v>1.1000000000000001</v>
      </c>
      <c r="K15" s="47">
        <f>SQRT(1.1^2*$D$18)</f>
        <v>9.6405445904264142E-2</v>
      </c>
      <c r="L15" s="46">
        <f>$B$20+(($C$18-$B$20)/SQRT($D$18))*K15</f>
        <v>4.9399999999999999E-2</v>
      </c>
    </row>
    <row r="16" spans="1:12" x14ac:dyDescent="0.25">
      <c r="F16" s="18"/>
      <c r="G16" s="10">
        <v>1.2</v>
      </c>
      <c r="H16" s="47">
        <f>SQRT((1.2^2*$B$5^2)+(-0.2^2*$C$5^2)+(2*$C$8*1.2*-0.2*$B$5*$C$5))</f>
        <v>8.5064681272546946E-2</v>
      </c>
      <c r="I16" s="47">
        <f>($B$4*1.2)+($C$4*-0.2)</f>
        <v>3.6000000000000004E-2</v>
      </c>
      <c r="J16" s="10">
        <v>1.2</v>
      </c>
      <c r="K16" s="47">
        <f>SQRT(1.2^2*$D$18)</f>
        <v>0.10516957735010633</v>
      </c>
      <c r="L16" s="46">
        <f t="shared" si="0"/>
        <v>5.28E-2</v>
      </c>
    </row>
    <row r="17" spans="1:12" x14ac:dyDescent="0.25">
      <c r="A17" s="16" t="s">
        <v>12</v>
      </c>
      <c r="B17" s="16" t="s">
        <v>13</v>
      </c>
      <c r="C17" s="16" t="s">
        <v>7</v>
      </c>
      <c r="D17" s="16" t="s">
        <v>14</v>
      </c>
      <c r="F17" s="18"/>
      <c r="G17" s="10">
        <v>1.3</v>
      </c>
      <c r="H17" s="47">
        <f>SQRT((1.3^2*$B$5^2)+(-0.3^2*$C$5^2)+(2*$C$8*1.3*-0.3*$B$5*$C$5))</f>
        <v>9.0338253248554684E-2</v>
      </c>
      <c r="I17" s="47">
        <f>($B$4*1.3)+($C$4*-0.3)</f>
        <v>3.4000000000000002E-2</v>
      </c>
      <c r="J17" s="10">
        <v>1.3</v>
      </c>
      <c r="K17" s="47">
        <f>SQRT(1.3^2*$D$18)</f>
        <v>0.11393370879594854</v>
      </c>
      <c r="L17" s="46">
        <f t="shared" si="0"/>
        <v>5.62E-2</v>
      </c>
    </row>
    <row r="18" spans="1:12" x14ac:dyDescent="0.25">
      <c r="A18" s="21">
        <v>0.7</v>
      </c>
      <c r="B18" s="22">
        <v>0.3</v>
      </c>
      <c r="C18" s="19">
        <f>(A18*B4)+(B18*C4)</f>
        <v>4.5999999999999999E-2</v>
      </c>
      <c r="D18" s="23">
        <f>((A18^2)*(0.08^2))+((B18^2)*(0.15^2))+(2*0.5*A18*B18*0.08*0.15)</f>
        <v>7.6809999999999995E-3</v>
      </c>
      <c r="F18" s="18"/>
      <c r="G18" s="10">
        <v>1.4</v>
      </c>
      <c r="H18" s="47">
        <f>SQRT((1.4^2*$B$5^2)+(-0.4^2*$C$5^2)+(2*$C$8*1.4*-0.4*$B$5*$C$5))</f>
        <v>9.7077288796092773E-2</v>
      </c>
      <c r="I18" s="47">
        <f>($B$4*1.4)+($C$4*-0.4)</f>
        <v>3.1999999999999994E-2</v>
      </c>
      <c r="J18" s="10">
        <v>1.4</v>
      </c>
      <c r="K18" s="47">
        <f>SQRT(1.4^2*$D$18)</f>
        <v>0.12269784024179071</v>
      </c>
      <c r="L18" s="46">
        <f t="shared" si="0"/>
        <v>5.96E-2</v>
      </c>
    </row>
    <row r="19" spans="1:12" x14ac:dyDescent="0.25">
      <c r="F19" s="18"/>
      <c r="G19" s="10">
        <v>1.5</v>
      </c>
      <c r="H19" s="47">
        <f>SQRT((1.5^2*$B$5^2)+(-0.5^2*$C$5^2)+(2*$C$8*1.5*-0.5*$B$5*$C$5))</f>
        <v>0.10500000000000001</v>
      </c>
      <c r="I19" s="47">
        <f>($B$4*1.5)+($C$4*-0.5)</f>
        <v>0.03</v>
      </c>
      <c r="J19" s="10">
        <v>1.5</v>
      </c>
      <c r="K19" s="47">
        <f>SQRT(1.5^2*$D$18)</f>
        <v>0.13146197168763291</v>
      </c>
      <c r="L19" s="46">
        <f t="shared" si="0"/>
        <v>6.3E-2</v>
      </c>
    </row>
    <row r="20" spans="1:12" x14ac:dyDescent="0.25">
      <c r="A20" s="24" t="s">
        <v>15</v>
      </c>
      <c r="B20" s="25">
        <v>1.2E-2</v>
      </c>
      <c r="F20" s="18"/>
      <c r="G20" s="18"/>
      <c r="H20" s="18"/>
      <c r="I20" s="18"/>
      <c r="J20" s="18"/>
      <c r="K20" s="18"/>
      <c r="L20" s="1"/>
    </row>
    <row r="21" spans="1:12" x14ac:dyDescent="0.25">
      <c r="A21" s="16" t="s">
        <v>16</v>
      </c>
      <c r="B21" s="26">
        <f>EXP(B20)-1</f>
        <v>1.2072288866077807E-2</v>
      </c>
      <c r="F21" s="18"/>
      <c r="G21" s="18"/>
      <c r="H21" s="18"/>
      <c r="I21" s="18"/>
      <c r="J21" s="18"/>
      <c r="K21" s="18"/>
      <c r="L21" s="1"/>
    </row>
    <row r="22" spans="1:12" x14ac:dyDescent="0.25">
      <c r="F22" s="18"/>
      <c r="G22" s="18"/>
      <c r="H22" s="18"/>
      <c r="I22" s="18"/>
      <c r="J22" s="18"/>
      <c r="K22" s="18"/>
      <c r="L22" s="1"/>
    </row>
    <row r="23" spans="1:12" x14ac:dyDescent="0.25">
      <c r="E23" s="15"/>
      <c r="F23" s="18"/>
      <c r="G23" s="18"/>
      <c r="H23" s="18"/>
      <c r="I23" s="18"/>
      <c r="J23" s="18"/>
      <c r="K23" s="18"/>
      <c r="L23" s="1"/>
    </row>
    <row r="24" spans="1:12" x14ac:dyDescent="0.25">
      <c r="F24" s="18"/>
      <c r="G24" s="27" t="s">
        <v>17</v>
      </c>
      <c r="H24" s="18"/>
      <c r="I24" s="18"/>
      <c r="J24" s="18"/>
      <c r="K24" s="18"/>
      <c r="L24" s="1"/>
    </row>
    <row r="25" spans="1:12" x14ac:dyDescent="0.25">
      <c r="F25" s="18"/>
      <c r="G25" s="18"/>
      <c r="H25" s="18"/>
      <c r="I25" s="18"/>
      <c r="J25" s="18"/>
      <c r="K25" s="18"/>
      <c r="L25" s="1"/>
    </row>
  </sheetData>
  <mergeCells count="3">
    <mergeCell ref="G2:I2"/>
    <mergeCell ref="J2:L2"/>
    <mergeCell ref="E4:F4"/>
  </mergeCells>
  <conditionalFormatting sqref="F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B1" workbookViewId="0">
      <selection activeCell="H5" sqref="H5"/>
    </sheetView>
  </sheetViews>
  <sheetFormatPr defaultRowHeight="15" x14ac:dyDescent="0.25"/>
  <cols>
    <col min="1" max="1" width="14.85546875" bestFit="1" customWidth="1"/>
    <col min="2" max="2" width="5.85546875" bestFit="1" customWidth="1"/>
    <col min="4" max="4" width="4.85546875" bestFit="1" customWidth="1"/>
    <col min="5" max="5" width="3.85546875" bestFit="1" customWidth="1"/>
    <col min="6" max="6" width="6.28515625" bestFit="1" customWidth="1"/>
    <col min="7" max="7" width="32.7109375" bestFit="1" customWidth="1"/>
  </cols>
  <sheetData>
    <row r="1" spans="1:9" x14ac:dyDescent="0.25">
      <c r="A1" s="30" t="s">
        <v>32</v>
      </c>
      <c r="B1" s="31">
        <v>2</v>
      </c>
    </row>
    <row r="2" spans="1:9" x14ac:dyDescent="0.25">
      <c r="F2" s="15" t="s">
        <v>20</v>
      </c>
      <c r="G2" s="32" t="s">
        <v>21</v>
      </c>
      <c r="H2" s="11">
        <f>MAX(F18:F57)</f>
        <v>1.2329472290484682</v>
      </c>
    </row>
    <row r="3" spans="1:9" x14ac:dyDescent="0.25">
      <c r="A3" s="33" t="s">
        <v>22</v>
      </c>
      <c r="B3" s="34">
        <v>1</v>
      </c>
      <c r="F3" s="15" t="s">
        <v>23</v>
      </c>
      <c r="G3" s="35" t="s">
        <v>24</v>
      </c>
      <c r="H3" s="11">
        <f>MAX(E18:E57)</f>
        <v>-15.666395220122823</v>
      </c>
    </row>
    <row r="4" spans="1:9" x14ac:dyDescent="0.25">
      <c r="A4" s="36" t="s">
        <v>25</v>
      </c>
      <c r="B4" s="37">
        <v>3</v>
      </c>
      <c r="F4" s="15" t="s">
        <v>26</v>
      </c>
      <c r="G4" s="38" t="s">
        <v>27</v>
      </c>
      <c r="H4" s="11">
        <f>H2</f>
        <v>1.2329472290484682</v>
      </c>
    </row>
    <row r="6" spans="1:9" x14ac:dyDescent="0.25">
      <c r="B6" s="39" t="s">
        <v>28</v>
      </c>
    </row>
    <row r="7" spans="1:9" x14ac:dyDescent="0.25">
      <c r="B7" s="39">
        <v>1.76</v>
      </c>
      <c r="I7" s="40"/>
    </row>
    <row r="8" spans="1:9" x14ac:dyDescent="0.25">
      <c r="B8" s="39">
        <v>1.78</v>
      </c>
      <c r="G8" s="40"/>
    </row>
    <row r="9" spans="1:9" x14ac:dyDescent="0.25">
      <c r="B9" s="39">
        <v>1.69</v>
      </c>
    </row>
    <row r="10" spans="1:9" x14ac:dyDescent="0.25">
      <c r="B10" s="39">
        <v>1.93</v>
      </c>
    </row>
    <row r="11" spans="1:9" x14ac:dyDescent="0.25">
      <c r="B11" s="39">
        <v>1.82</v>
      </c>
    </row>
    <row r="12" spans="1:9" x14ac:dyDescent="0.25">
      <c r="B12" s="39">
        <v>1.94</v>
      </c>
    </row>
    <row r="13" spans="1:9" x14ac:dyDescent="0.25">
      <c r="B13" s="39">
        <v>1.85</v>
      </c>
    </row>
    <row r="14" spans="1:9" ht="15.75" thickBot="1" x14ac:dyDescent="0.3">
      <c r="B14" s="41">
        <f>1.4+B1/100</f>
        <v>1.42</v>
      </c>
    </row>
    <row r="15" spans="1:9" ht="15.75" thickTop="1" x14ac:dyDescent="0.25">
      <c r="A15" t="s">
        <v>33</v>
      </c>
      <c r="B15">
        <f>AVERAGE(B7:B14)</f>
        <v>1.7737499999999999</v>
      </c>
    </row>
    <row r="17" spans="4:7" x14ac:dyDescent="0.25">
      <c r="D17" s="42" t="s">
        <v>29</v>
      </c>
      <c r="E17" s="43" t="s">
        <v>30</v>
      </c>
      <c r="G17" s="44" t="s">
        <v>31</v>
      </c>
    </row>
    <row r="18" spans="4:7" x14ac:dyDescent="0.25">
      <c r="D18" s="45">
        <v>0.05</v>
      </c>
      <c r="E18" s="11">
        <f>(8*LN(D18))-(8*(EXP(-D18)-EXP(-3*D18)))-(D18*8*$B$15)</f>
        <v>-25.399529773037173</v>
      </c>
      <c r="F18">
        <f>1/($B$15-((EXP(2*D18)-3)/(EXP(2*D18)-1)))</f>
        <v>5.0529514217387293E-2</v>
      </c>
    </row>
    <row r="19" spans="4:7" x14ac:dyDescent="0.25">
      <c r="D19" s="45">
        <v>0.1</v>
      </c>
      <c r="E19" s="11">
        <f t="shared" ref="E19:E57" si="0">(8*LN(D19))-(8*(EXP(-D19)-EXP(-3*D19)))-(D19*8*$B$15)</f>
        <v>-21.151834322786296</v>
      </c>
      <c r="F19">
        <f t="shared" ref="F19:F57" si="1">1/($B$15-((EXP(2*D19)-3)/(EXP(2*D19)-1)))</f>
        <v>0.1019673464368593</v>
      </c>
    </row>
    <row r="20" spans="4:7" x14ac:dyDescent="0.25">
      <c r="D20" s="45">
        <v>0.15</v>
      </c>
      <c r="E20" s="11">
        <f t="shared" si="0"/>
        <v>-19.090098477513326</v>
      </c>
      <c r="F20">
        <f t="shared" si="1"/>
        <v>0.15407508982606524</v>
      </c>
    </row>
    <row r="21" spans="4:7" x14ac:dyDescent="0.25">
      <c r="D21" s="45">
        <v>0.2</v>
      </c>
      <c r="E21" s="11">
        <f t="shared" si="0"/>
        <v>-17.872856235344447</v>
      </c>
      <c r="F21">
        <f t="shared" si="1"/>
        <v>0.20660134418830303</v>
      </c>
    </row>
    <row r="22" spans="4:7" x14ac:dyDescent="0.25">
      <c r="D22" s="45">
        <v>0.25</v>
      </c>
      <c r="E22" s="11">
        <f t="shared" si="0"/>
        <v>-17.089328731602247</v>
      </c>
      <c r="F22">
        <f t="shared" si="1"/>
        <v>0.25928646363809282</v>
      </c>
    </row>
    <row r="23" spans="4:7" x14ac:dyDescent="0.25">
      <c r="D23" s="45">
        <v>0.3</v>
      </c>
      <c r="E23" s="11">
        <f t="shared" si="0"/>
        <v>-16.562770922136437</v>
      </c>
      <c r="F23">
        <f t="shared" si="1"/>
        <v>0.31186764640833559</v>
      </c>
    </row>
    <row r="24" spans="4:7" x14ac:dyDescent="0.25">
      <c r="D24" s="45">
        <v>0.35</v>
      </c>
      <c r="E24" s="11">
        <f t="shared" si="0"/>
        <v>-16.203079720849885</v>
      </c>
      <c r="F24">
        <f t="shared" si="1"/>
        <v>0.36408415706045144</v>
      </c>
    </row>
    <row r="25" spans="4:7" x14ac:dyDescent="0.25">
      <c r="D25" s="45">
        <v>0.4</v>
      </c>
      <c r="E25" s="11">
        <f t="shared" si="0"/>
        <v>-15.959332527980738</v>
      </c>
      <c r="F25">
        <f t="shared" si="1"/>
        <v>0.41568246191230113</v>
      </c>
    </row>
    <row r="26" spans="4:7" x14ac:dyDescent="0.25">
      <c r="D26" s="45">
        <v>0.45</v>
      </c>
      <c r="E26" s="11">
        <f t="shared" si="0"/>
        <v>-15.800664697549227</v>
      </c>
      <c r="F26">
        <f t="shared" si="1"/>
        <v>0.46642106470505129</v>
      </c>
    </row>
    <row r="27" spans="4:7" x14ac:dyDescent="0.25">
      <c r="D27" s="45">
        <v>0.5</v>
      </c>
      <c r="E27" s="11">
        <f t="shared" si="0"/>
        <v>-15.707381440993192</v>
      </c>
      <c r="F27">
        <f t="shared" si="1"/>
        <v>0.51607485072783932</v>
      </c>
    </row>
    <row r="28" spans="4:7" x14ac:dyDescent="0.25">
      <c r="D28" s="45">
        <v>0.55000000000000004</v>
      </c>
      <c r="E28" s="11">
        <f t="shared" si="0"/>
        <v>-15.666395220122823</v>
      </c>
      <c r="F28">
        <f t="shared" si="1"/>
        <v>0.56443878154506533</v>
      </c>
    </row>
    <row r="29" spans="4:7" x14ac:dyDescent="0.25">
      <c r="D29" s="45">
        <v>0.6</v>
      </c>
      <c r="E29" s="11">
        <f t="shared" si="0"/>
        <v>-15.668706973107444</v>
      </c>
      <c r="F29">
        <f t="shared" si="1"/>
        <v>0.61133082560881469</v>
      </c>
    </row>
    <row r="30" spans="4:7" x14ac:dyDescent="0.25">
      <c r="D30" s="45">
        <v>0.65</v>
      </c>
      <c r="E30" s="11">
        <f t="shared" si="0"/>
        <v>-15.707936970135654</v>
      </c>
      <c r="F30">
        <f t="shared" si="1"/>
        <v>0.65659405812533778</v>
      </c>
    </row>
    <row r="31" spans="4:7" x14ac:dyDescent="0.25">
      <c r="D31" s="45">
        <v>0.7</v>
      </c>
      <c r="E31" s="11">
        <f t="shared" si="0"/>
        <v>-15.77943055581728</v>
      </c>
      <c r="F31">
        <f t="shared" si="1"/>
        <v>0.70009791215020933</v>
      </c>
    </row>
    <row r="32" spans="4:7" x14ac:dyDescent="0.25">
      <c r="D32" s="45">
        <v>0.75</v>
      </c>
      <c r="E32" s="11">
        <f t="shared" si="0"/>
        <v>-15.879695205047451</v>
      </c>
      <c r="F32">
        <f t="shared" si="1"/>
        <v>0.74173860796584001</v>
      </c>
    </row>
    <row r="33" spans="4:6" x14ac:dyDescent="0.25">
      <c r="D33" s="45">
        <v>0.8</v>
      </c>
      <c r="E33" s="11">
        <f t="shared" si="0"/>
        <v>-16.006036497136151</v>
      </c>
      <c r="F33">
        <f t="shared" si="1"/>
        <v>0.78143882611866167</v>
      </c>
    </row>
    <row r="34" spans="4:6" x14ac:dyDescent="0.25">
      <c r="D34" s="45">
        <v>0.85</v>
      </c>
      <c r="E34" s="11">
        <f t="shared" si="0"/>
        <v>-16.156317563562787</v>
      </c>
      <c r="F34">
        <f t="shared" si="1"/>
        <v>0.81914671891377866</v>
      </c>
    </row>
    <row r="35" spans="4:6" x14ac:dyDescent="0.25">
      <c r="D35" s="45">
        <v>0.9</v>
      </c>
      <c r="E35" s="11">
        <f>(8*LN(D35))-(8*(EXP(-D35)-EXP(-3*D35)))-(D35*8*$B$15)</f>
        <v>-16.328797301269404</v>
      </c>
      <c r="F35">
        <f t="shared" si="1"/>
        <v>0.85483437469386081</v>
      </c>
    </row>
    <row r="36" spans="4:6" x14ac:dyDescent="0.25">
      <c r="D36" s="45">
        <v>0.95</v>
      </c>
      <c r="E36" s="11">
        <f t="shared" si="0"/>
        <v>-16.522019975737706</v>
      </c>
      <c r="F36">
        <f t="shared" si="1"/>
        <v>0.88849585895132777</v>
      </c>
    </row>
    <row r="37" spans="4:6" x14ac:dyDescent="0.25">
      <c r="D37" s="45">
        <v>1</v>
      </c>
      <c r="E37" s="11">
        <f t="shared" si="0"/>
        <v>-16.734738982428627</v>
      </c>
      <c r="F37">
        <f t="shared" si="1"/>
        <v>0.92014495718953626</v>
      </c>
    </row>
    <row r="38" spans="4:6" x14ac:dyDescent="0.25">
      <c r="D38" s="45">
        <v>1.05</v>
      </c>
      <c r="E38" s="11">
        <f t="shared" si="0"/>
        <v>-16.965863664597464</v>
      </c>
      <c r="F38">
        <f t="shared" si="1"/>
        <v>0.94981273800492194</v>
      </c>
    </row>
    <row r="39" spans="4:6" x14ac:dyDescent="0.25">
      <c r="D39" s="45">
        <v>1.1000000000000001</v>
      </c>
      <c r="E39" s="11">
        <f t="shared" si="0"/>
        <v>-17.214421891940116</v>
      </c>
      <c r="F39">
        <f t="shared" si="1"/>
        <v>0.97754504296317213</v>
      </c>
    </row>
    <row r="40" spans="4:6" x14ac:dyDescent="0.25">
      <c r="D40" s="45">
        <v>1.1499999999999999</v>
      </c>
      <c r="E40" s="11">
        <f t="shared" si="0"/>
        <v>-17.479533525006609</v>
      </c>
      <c r="F40">
        <f t="shared" si="1"/>
        <v>1.0033999943993246</v>
      </c>
    </row>
    <row r="41" spans="4:6" x14ac:dyDescent="0.25">
      <c r="D41" s="45">
        <v>1.2</v>
      </c>
      <c r="E41" s="11">
        <f t="shared" si="0"/>
        <v>-17.760391461367639</v>
      </c>
      <c r="F41">
        <f t="shared" si="1"/>
        <v>1.0274455950526067</v>
      </c>
    </row>
    <row r="42" spans="4:6" x14ac:dyDescent="0.25">
      <c r="D42" s="45">
        <v>1.25</v>
      </c>
      <c r="E42" s="11">
        <f t="shared" si="0"/>
        <v>-18.056247997519769</v>
      </c>
      <c r="F42">
        <f t="shared" si="1"/>
        <v>1.0497574759463613</v>
      </c>
    </row>
    <row r="43" spans="4:6" x14ac:dyDescent="0.25">
      <c r="D43" s="45">
        <v>1.3</v>
      </c>
      <c r="E43" s="11">
        <f t="shared" si="0"/>
        <v>-18.366404936965736</v>
      </c>
      <c r="F43">
        <f t="shared" si="1"/>
        <v>1.0704168322957492</v>
      </c>
    </row>
    <row r="44" spans="4:6" x14ac:dyDescent="0.25">
      <c r="D44" s="45">
        <v>1.35</v>
      </c>
      <c r="E44" s="11">
        <f>(8*LN(D44))-(8*(EXP(-D44)-EXP(-3*D44)))-(D44*8*$B$15)</f>
        <v>-18.690206348448481</v>
      </c>
      <c r="F44">
        <f t="shared" si="1"/>
        <v>1.0895085722725601</v>
      </c>
    </row>
    <row r="45" spans="4:6" x14ac:dyDescent="0.25">
      <c r="D45" s="45">
        <v>1.4</v>
      </c>
      <c r="E45" s="11">
        <f t="shared" si="0"/>
        <v>-19.027033203999327</v>
      </c>
      <c r="F45">
        <f t="shared" si="1"/>
        <v>1.1071196906531768</v>
      </c>
    </row>
    <row r="46" spans="4:6" x14ac:dyDescent="0.25">
      <c r="D46" s="45">
        <v>1.45</v>
      </c>
      <c r="E46" s="11">
        <f t="shared" si="0"/>
        <v>-19.376299352646676</v>
      </c>
      <c r="F46">
        <f t="shared" si="1"/>
        <v>1.1233378689237741</v>
      </c>
    </row>
    <row r="47" spans="4:6" x14ac:dyDescent="0.25">
      <c r="D47" s="45">
        <v>1.5</v>
      </c>
      <c r="E47" s="11">
        <f t="shared" si="0"/>
        <v>-19.737448444016184</v>
      </c>
      <c r="F47">
        <f t="shared" si="1"/>
        <v>1.1382502953049884</v>
      </c>
    </row>
    <row r="48" spans="4:6" x14ac:dyDescent="0.25">
      <c r="D48" s="45">
        <v>1.55</v>
      </c>
      <c r="E48" s="11">
        <f t="shared" si="0"/>
        <v>-20.109951527720352</v>
      </c>
      <c r="F48">
        <f t="shared" si="1"/>
        <v>1.1519426922254881</v>
      </c>
    </row>
    <row r="49" spans="4:6" x14ac:dyDescent="0.25">
      <c r="D49" s="45">
        <v>1.6</v>
      </c>
      <c r="E49" s="11">
        <f t="shared" si="0"/>
        <v>-20.4933051335992</v>
      </c>
      <c r="F49">
        <f t="shared" si="1"/>
        <v>1.1644985347657557</v>
      </c>
    </row>
    <row r="50" spans="4:6" x14ac:dyDescent="0.25">
      <c r="D50" s="45">
        <v>1.65</v>
      </c>
      <c r="E50" s="11">
        <f t="shared" si="0"/>
        <v>-20.887029694233703</v>
      </c>
      <c r="F50">
        <f t="shared" si="1"/>
        <v>1.1759984412089568</v>
      </c>
    </row>
    <row r="51" spans="4:6" x14ac:dyDescent="0.25">
      <c r="D51" s="45">
        <v>1.7</v>
      </c>
      <c r="E51" s="11">
        <f t="shared" si="0"/>
        <v>-21.290668211400387</v>
      </c>
      <c r="F51">
        <f t="shared" si="1"/>
        <v>1.1865197157629923</v>
      </c>
    </row>
    <row r="52" spans="4:6" x14ac:dyDescent="0.25">
      <c r="D52" s="45">
        <v>1.75</v>
      </c>
      <c r="E52" s="11">
        <f t="shared" si="0"/>
        <v>-21.70378509692673</v>
      </c>
      <c r="F52">
        <f t="shared" si="1"/>
        <v>1.1961360234586496</v>
      </c>
    </row>
    <row r="53" spans="4:6" x14ac:dyDescent="0.25">
      <c r="D53" s="45">
        <v>1.8</v>
      </c>
      <c r="E53" s="11">
        <f t="shared" si="0"/>
        <v>-22.125965139014838</v>
      </c>
      <c r="F53">
        <f t="shared" si="1"/>
        <v>1.2049171779146</v>
      </c>
    </row>
    <row r="54" spans="4:6" x14ac:dyDescent="0.25">
      <c r="D54" s="45">
        <v>1.85</v>
      </c>
      <c r="E54" s="11">
        <f t="shared" si="0"/>
        <v>-22.556812559839344</v>
      </c>
      <c r="F54">
        <f t="shared" si="1"/>
        <v>1.2129290238601178</v>
      </c>
    </row>
    <row r="55" spans="4:6" x14ac:dyDescent="0.25">
      <c r="D55" s="45">
        <v>1.9</v>
      </c>
      <c r="E55" s="11">
        <f t="shared" si="0"/>
        <v>-22.995950140742153</v>
      </c>
      <c r="F55">
        <f t="shared" si="1"/>
        <v>1.2202333978304638</v>
      </c>
    </row>
    <row r="56" spans="4:6" x14ac:dyDescent="0.25">
      <c r="D56" s="45">
        <v>1.95</v>
      </c>
      <c r="E56" s="11">
        <f t="shared" si="0"/>
        <v>-23.443018398822154</v>
      </c>
      <c r="F56">
        <f t="shared" si="1"/>
        <v>1.226888152146939</v>
      </c>
    </row>
    <row r="57" spans="4:6" x14ac:dyDescent="0.25">
      <c r="D57" s="45">
        <v>2</v>
      </c>
      <c r="E57" s="11">
        <f t="shared" si="0"/>
        <v>-23.897674804000008</v>
      </c>
      <c r="F57">
        <f t="shared" si="1"/>
        <v>1.2329472290484682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fredy</cp:lastModifiedBy>
  <dcterms:created xsi:type="dcterms:W3CDTF">2023-05-04T10:38:36Z</dcterms:created>
  <dcterms:modified xsi:type="dcterms:W3CDTF">2023-05-06T06:08:35Z</dcterms:modified>
</cp:coreProperties>
</file>