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ana_parente_fatec_sp_gov_br/Documents/FATEC/Atividades entregues(ar) FATEC/5º semestre/Gestão de Projetos Empresariais/"/>
    </mc:Choice>
  </mc:AlternateContent>
  <xr:revisionPtr revIDLastSave="10" documentId="13_ncr:1_{8178B861-55BB-4457-9028-D892F18B7A03}" xr6:coauthVersionLast="47" xr6:coauthVersionMax="47" xr10:uidLastSave="{B04A19F2-72BF-41AC-A719-AAF45E2A4E05}"/>
  <bookViews>
    <workbookView xWindow="-120" yWindow="-120" windowWidth="20730" windowHeight="11160" tabRatio="617" xr2:uid="{00000000-000D-0000-FFFF-FFFF00000000}"/>
  </bookViews>
  <sheets>
    <sheet name="Plan. Fin. CEDES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D27" i="1"/>
  <c r="D48" i="1" l="1"/>
  <c r="E48" i="1" s="1"/>
  <c r="H5" i="1"/>
  <c r="D21" i="1"/>
  <c r="D22" i="1"/>
  <c r="D23" i="1"/>
  <c r="D24" i="1"/>
  <c r="D25" i="1"/>
  <c r="D26" i="1"/>
  <c r="E43" i="1"/>
  <c r="F43" i="1"/>
  <c r="D44" i="1"/>
  <c r="F44" i="1" s="1"/>
  <c r="E45" i="1"/>
  <c r="F45" i="1"/>
  <c r="E46" i="1"/>
  <c r="F46" i="1"/>
  <c r="E47" i="1"/>
  <c r="F47" i="1"/>
  <c r="F48" i="1"/>
  <c r="E50" i="1"/>
  <c r="F50" i="1"/>
  <c r="E51" i="1"/>
  <c r="F51" i="1"/>
  <c r="E59" i="1"/>
  <c r="F70" i="1" s="1"/>
  <c r="E60" i="1"/>
  <c r="E61" i="1"/>
  <c r="G72" i="1" s="1"/>
  <c r="E62" i="1"/>
  <c r="D73" i="1" s="1"/>
  <c r="E63" i="1"/>
  <c r="E74" i="1" s="1"/>
  <c r="E64" i="1"/>
  <c r="G75" i="1" s="1"/>
  <c r="D65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B129" i="1"/>
  <c r="B139" i="1"/>
  <c r="B140" i="1"/>
  <c r="B141" i="1"/>
  <c r="B142" i="1"/>
  <c r="I36" i="1"/>
  <c r="E36" i="1"/>
  <c r="G36" i="1"/>
  <c r="B143" i="1" l="1"/>
  <c r="C100" i="1"/>
  <c r="G74" i="1"/>
  <c r="E75" i="1"/>
  <c r="G35" i="1"/>
  <c r="E34" i="1"/>
  <c r="D70" i="1"/>
  <c r="E96" i="1"/>
  <c r="C112" i="1" s="1"/>
  <c r="E150" i="1" s="1"/>
  <c r="F74" i="1"/>
  <c r="B167" i="1"/>
  <c r="D74" i="1"/>
  <c r="F75" i="1"/>
  <c r="E44" i="1"/>
  <c r="D75" i="1"/>
  <c r="E73" i="1"/>
  <c r="G73" i="1"/>
  <c r="F73" i="1"/>
  <c r="E65" i="1"/>
  <c r="D72" i="1"/>
  <c r="E72" i="1"/>
  <c r="F72" i="1"/>
  <c r="E71" i="1"/>
  <c r="D71" i="1"/>
  <c r="G71" i="1"/>
  <c r="F71" i="1"/>
  <c r="E70" i="1"/>
  <c r="G70" i="1"/>
  <c r="D28" i="1"/>
  <c r="C150" i="1" l="1"/>
  <c r="D150" i="1"/>
  <c r="F150" i="1"/>
  <c r="H74" i="1"/>
  <c r="G150" i="1"/>
  <c r="E35" i="1"/>
  <c r="E37" i="1" s="1"/>
  <c r="E38" i="1" s="1"/>
  <c r="C37" i="1"/>
  <c r="C38" i="1" s="1"/>
  <c r="I35" i="1"/>
  <c r="H75" i="1"/>
  <c r="H73" i="1"/>
  <c r="F76" i="1"/>
  <c r="F77" i="1" s="1"/>
  <c r="F78" i="1" s="1"/>
  <c r="E151" i="1" s="1"/>
  <c r="H72" i="1"/>
  <c r="D76" i="1"/>
  <c r="H71" i="1"/>
  <c r="G76" i="1"/>
  <c r="G77" i="1" s="1"/>
  <c r="G78" i="1" s="1"/>
  <c r="F151" i="1" s="1"/>
  <c r="E76" i="1"/>
  <c r="H70" i="1"/>
  <c r="I34" i="1"/>
  <c r="G34" i="1"/>
  <c r="G37" i="1" s="1"/>
  <c r="G38" i="1" s="1"/>
  <c r="I37" i="1" l="1"/>
  <c r="I38" i="1" s="1"/>
  <c r="D49" i="1" s="1"/>
  <c r="H76" i="1"/>
  <c r="H77" i="1" s="1"/>
  <c r="H78" i="1" s="1"/>
  <c r="D77" i="1"/>
  <c r="D78" i="1" s="1"/>
  <c r="E77" i="1"/>
  <c r="E78" i="1" s="1"/>
  <c r="D151" i="1" s="1"/>
  <c r="C151" i="1" l="1"/>
  <c r="B169" i="1"/>
  <c r="C113" i="1"/>
  <c r="G151" i="1"/>
  <c r="E49" i="1"/>
  <c r="E52" i="1" s="1"/>
  <c r="D52" i="1"/>
  <c r="B170" i="1" s="1"/>
  <c r="F49" i="1"/>
  <c r="F52" i="1" s="1"/>
  <c r="B106" i="1" s="1"/>
  <c r="C114" i="1" s="1"/>
  <c r="B173" i="1" l="1"/>
  <c r="B163" i="1" s="1"/>
  <c r="C115" i="1"/>
  <c r="B119" i="1" s="1"/>
  <c r="C140" i="1" s="1"/>
  <c r="D140" i="1" s="1"/>
  <c r="D148" i="1" s="1"/>
  <c r="D154" i="1"/>
  <c r="F154" i="1"/>
  <c r="C154" i="1"/>
  <c r="E154" i="1"/>
  <c r="C141" i="1" l="1"/>
  <c r="D141" i="1" s="1"/>
  <c r="E148" i="1" s="1"/>
  <c r="E152" i="1" s="1"/>
  <c r="E149" i="1" s="1"/>
  <c r="E153" i="1" s="1"/>
  <c r="E155" i="1" s="1"/>
  <c r="C142" i="1"/>
  <c r="D142" i="1" s="1"/>
  <c r="F148" i="1" s="1"/>
  <c r="F152" i="1" s="1"/>
  <c r="F149" i="1" s="1"/>
  <c r="F153" i="1" s="1"/>
  <c r="F155" i="1" s="1"/>
  <c r="C139" i="1"/>
  <c r="D139" i="1" s="1"/>
  <c r="C148" i="1" s="1"/>
  <c r="G154" i="1"/>
  <c r="D152" i="1"/>
  <c r="D149" i="1" s="1"/>
  <c r="D153" i="1" s="1"/>
  <c r="D155" i="1" s="1"/>
  <c r="D143" i="1" l="1"/>
  <c r="G148" i="1"/>
  <c r="G152" i="1" s="1"/>
  <c r="G149" i="1" s="1"/>
  <c r="G153" i="1" s="1"/>
  <c r="C152" i="1"/>
  <c r="C149" i="1" s="1"/>
  <c r="C153" i="1" s="1"/>
  <c r="C155" i="1" s="1"/>
  <c r="G155" i="1" l="1"/>
  <c r="B181" i="1"/>
  <c r="G156" i="1" l="1"/>
  <c r="G157" i="1" s="1"/>
  <c r="B196" i="1" s="1"/>
  <c r="B189" i="1"/>
</calcChain>
</file>

<file path=xl/sharedStrings.xml><?xml version="1.0" encoding="utf-8"?>
<sst xmlns="http://schemas.openxmlformats.org/spreadsheetml/2006/main" count="194" uniqueCount="147">
  <si>
    <t>Roteiro de Planejamento Financeiro para um negócio</t>
  </si>
  <si>
    <t>1- Projeção do volume de produção</t>
  </si>
  <si>
    <t>Unidades produzidas por trimestre</t>
  </si>
  <si>
    <t>Produto:</t>
  </si>
  <si>
    <t>1º</t>
  </si>
  <si>
    <t>2º</t>
  </si>
  <si>
    <t>3º</t>
  </si>
  <si>
    <t>4º</t>
  </si>
  <si>
    <t>ANO</t>
  </si>
  <si>
    <t xml:space="preserve">CEDESP - Redes de Comunicação </t>
  </si>
  <si>
    <t>2- Processo de produção</t>
  </si>
  <si>
    <t>A</t>
  </si>
  <si>
    <t xml:space="preserve">Desenvolvimento </t>
  </si>
  <si>
    <t>B</t>
  </si>
  <si>
    <t>Divulgação</t>
  </si>
  <si>
    <t>C</t>
  </si>
  <si>
    <t>Parceria/Fornecedores</t>
  </si>
  <si>
    <t>D</t>
  </si>
  <si>
    <t>Negociação</t>
  </si>
  <si>
    <t>E</t>
  </si>
  <si>
    <t>Cliente interno/externo</t>
  </si>
  <si>
    <t>F</t>
  </si>
  <si>
    <t>Feedback</t>
  </si>
  <si>
    <t>Aspectos Financeiros</t>
  </si>
  <si>
    <t>3- Investimento fixo</t>
  </si>
  <si>
    <t>Quantidade</t>
  </si>
  <si>
    <t>Discriminação</t>
  </si>
  <si>
    <t>Unitário</t>
  </si>
  <si>
    <t>Total</t>
  </si>
  <si>
    <t xml:space="preserve">Computador </t>
  </si>
  <si>
    <t xml:space="preserve">Notebook </t>
  </si>
  <si>
    <t>Impressora</t>
  </si>
  <si>
    <t>Cadeira</t>
  </si>
  <si>
    <t>Materiais Diversos</t>
  </si>
  <si>
    <t>3.1- Manutenção, Depreciação e Seguro</t>
  </si>
  <si>
    <t>Depreciação</t>
  </si>
  <si>
    <t>Manutenção</t>
  </si>
  <si>
    <t>Seguro</t>
  </si>
  <si>
    <t>Valor</t>
  </si>
  <si>
    <t>Taxa</t>
  </si>
  <si>
    <t>Instalações</t>
  </si>
  <si>
    <t>-</t>
  </si>
  <si>
    <t>Máquin./Equip.</t>
  </si>
  <si>
    <t>Móv. Utensílios</t>
  </si>
  <si>
    <t>Veículos</t>
  </si>
  <si>
    <t>Total/Ano</t>
  </si>
  <si>
    <t>Total/Mês</t>
  </si>
  <si>
    <t>4- Estimativa de custos fixos</t>
  </si>
  <si>
    <t>Itens de custo fixo</t>
  </si>
  <si>
    <t>Mensal</t>
  </si>
  <si>
    <t>Trimestral</t>
  </si>
  <si>
    <t>Anual</t>
  </si>
  <si>
    <t>Salários</t>
  </si>
  <si>
    <t>Encargos Sociais</t>
  </si>
  <si>
    <t>Retirada dos sócios</t>
  </si>
  <si>
    <t>Honorários profissionais</t>
  </si>
  <si>
    <t>Aluguel e taxas</t>
  </si>
  <si>
    <t>Água/luz/telefone</t>
  </si>
  <si>
    <t>Desp.manutenção e depreciação</t>
  </si>
  <si>
    <t>Desp. Escritório</t>
  </si>
  <si>
    <t>Outras despesas</t>
  </si>
  <si>
    <t>5- Estimativa de custos varáveis</t>
  </si>
  <si>
    <t>5.1- Quantidade de mão de obra</t>
  </si>
  <si>
    <t>Função</t>
  </si>
  <si>
    <t>Sal. Mês</t>
  </si>
  <si>
    <t>Sal. Trim.</t>
  </si>
  <si>
    <t>Quantidade Trimestral</t>
  </si>
  <si>
    <t>TOTAL</t>
  </si>
  <si>
    <t>5.2- Custo de mão-de-obra</t>
  </si>
  <si>
    <t>Trimestre - Valor em R$</t>
  </si>
  <si>
    <t>Ano</t>
  </si>
  <si>
    <t>SOMA</t>
  </si>
  <si>
    <t>ENCARGOS</t>
  </si>
  <si>
    <t>5.3- Custos dos materiais diretos por peça produzida</t>
  </si>
  <si>
    <t>Unidade</t>
  </si>
  <si>
    <t xml:space="preserve">Qtdde. </t>
  </si>
  <si>
    <t>6- Custo unitário da mão-de-obra</t>
  </si>
  <si>
    <t xml:space="preserve">Custo unitário da mão-de-obra = </t>
  </si>
  <si>
    <t>7- Rateio dos custos fixos</t>
  </si>
  <si>
    <t xml:space="preserve">RCF = </t>
  </si>
  <si>
    <t>8- Custo unitário de produção</t>
  </si>
  <si>
    <t>Custo dos Mat. Diretos por peça</t>
  </si>
  <si>
    <t>Custo unitário da mão-de-obra</t>
  </si>
  <si>
    <t>Custo fixo unitário</t>
  </si>
  <si>
    <t>9- Estimativa do preço de venda unitário</t>
  </si>
  <si>
    <t>PVU =</t>
  </si>
  <si>
    <t>Custo de Comercialização</t>
  </si>
  <si>
    <t>Margem de lucro (ML)=</t>
  </si>
  <si>
    <t>Previsão de perdas</t>
  </si>
  <si>
    <t>ISS</t>
  </si>
  <si>
    <t>PIS</t>
  </si>
  <si>
    <t>CONFINS</t>
  </si>
  <si>
    <t>Comissão</t>
  </si>
  <si>
    <t>IPI</t>
  </si>
  <si>
    <t>OBS:</t>
  </si>
  <si>
    <t>CONFINS = contribuição para financiamento da Seguridade Social</t>
  </si>
  <si>
    <t>ICMS = imposto sobre circulação de mercadorias e serviços de transporte</t>
  </si>
  <si>
    <t>PIS = programa de integração social</t>
  </si>
  <si>
    <t>IPI = imposto sobre produto industrializado</t>
  </si>
  <si>
    <t>10- Projeção das receitas operacionais</t>
  </si>
  <si>
    <t>Trimestre</t>
  </si>
  <si>
    <t>Qtd. Produzida</t>
  </si>
  <si>
    <t>Preço de venda</t>
  </si>
  <si>
    <t>11- Resultados Operacionais</t>
  </si>
  <si>
    <t>Valores em R$</t>
  </si>
  <si>
    <t>Item</t>
  </si>
  <si>
    <t>Receita operacional</t>
  </si>
  <si>
    <t>Custos variáveis</t>
  </si>
  <si>
    <t>2.1</t>
  </si>
  <si>
    <t>Custo mat. Direto</t>
  </si>
  <si>
    <t>2.2</t>
  </si>
  <si>
    <t>Mão-de-obra</t>
  </si>
  <si>
    <t>2.3</t>
  </si>
  <si>
    <t>Custo comercialização</t>
  </si>
  <si>
    <t>Margem de contribuição</t>
  </si>
  <si>
    <t>Custos fixos</t>
  </si>
  <si>
    <t>Lucro operacional</t>
  </si>
  <si>
    <t>Previsão de IR (30%)</t>
  </si>
  <si>
    <t>Lucro líquido anual</t>
  </si>
  <si>
    <t>12- Investimento inicial</t>
  </si>
  <si>
    <t>Investimento inicial = investimento fixo + capital de giro</t>
  </si>
  <si>
    <t xml:space="preserve">Investimento inicial = </t>
  </si>
  <si>
    <t>Capital de giro</t>
  </si>
  <si>
    <t>Componentes</t>
  </si>
  <si>
    <t>Estoque inicial</t>
  </si>
  <si>
    <t>Despesa com registro</t>
  </si>
  <si>
    <t>Despesas com pessoal</t>
  </si>
  <si>
    <t>Publicidade inicial</t>
  </si>
  <si>
    <t>Outros</t>
  </si>
  <si>
    <t>13 Análise Financeira</t>
  </si>
  <si>
    <t>13.1- Ponto de Equilíbrio</t>
  </si>
  <si>
    <t xml:space="preserve">PE = </t>
  </si>
  <si>
    <t>13.2- Lucratividade</t>
  </si>
  <si>
    <t xml:space="preserve">L = Lucro Operacional/Receita Operacional x 100 </t>
  </si>
  <si>
    <t>L =</t>
  </si>
  <si>
    <t>13.3- Prazo de Retorno de Investimento</t>
  </si>
  <si>
    <t>PRI = Investimento Inicial/Lucro Liq. Anual</t>
  </si>
  <si>
    <t xml:space="preserve">PRI = </t>
  </si>
  <si>
    <t>anos</t>
  </si>
  <si>
    <t xml:space="preserve">Mesa de escritório L </t>
  </si>
  <si>
    <t>panfletos</t>
  </si>
  <si>
    <t>Wordpress</t>
  </si>
  <si>
    <t xml:space="preserve">Redator </t>
  </si>
  <si>
    <t>Design</t>
  </si>
  <si>
    <t xml:space="preserve">Social media - tráfego </t>
  </si>
  <si>
    <t xml:space="preserve">Revisor </t>
  </si>
  <si>
    <t>Social/gestor media - tráfego (GERENTE)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</si>
</sst>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8" xfId="0" applyFont="1" applyBorder="1"/>
    <xf numFmtId="0" fontId="2" fillId="0" borderId="6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7" xfId="0" applyFont="1" applyBorder="1"/>
    <xf numFmtId="0" fontId="2" fillId="0" borderId="0" xfId="0" applyFont="1"/>
    <xf numFmtId="0" fontId="0" fillId="0" borderId="2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164" fontId="0" fillId="0" borderId="0" xfId="1" applyFont="1" applyFill="1" applyBorder="1"/>
    <xf numFmtId="164" fontId="0" fillId="0" borderId="2" xfId="1" applyFont="1" applyFill="1" applyBorder="1"/>
    <xf numFmtId="0" fontId="0" fillId="0" borderId="1" xfId="0" applyBorder="1" applyAlignment="1">
      <alignment horizontal="center" vertical="center"/>
    </xf>
    <xf numFmtId="164" fontId="0" fillId="0" borderId="5" xfId="1" applyFont="1" applyFill="1" applyBorder="1"/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4" fontId="0" fillId="0" borderId="2" xfId="1" applyFont="1" applyFill="1" applyBorder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4" xfId="1" applyFont="1" applyFill="1" applyBorder="1"/>
    <xf numFmtId="9" fontId="0" fillId="0" borderId="3" xfId="2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2" xfId="1" applyFont="1" applyFill="1" applyBorder="1" applyAlignment="1">
      <alignment horizontal="left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0" xfId="0" applyNumberFormat="1"/>
    <xf numFmtId="9" fontId="0" fillId="0" borderId="2" xfId="0" applyNumberFormat="1" applyBorder="1" applyAlignment="1">
      <alignment horizontal="left"/>
    </xf>
    <xf numFmtId="9" fontId="0" fillId="0" borderId="0" xfId="2" applyFont="1" applyFill="1" applyBorder="1"/>
    <xf numFmtId="10" fontId="0" fillId="0" borderId="0" xfId="0" applyNumberFormat="1"/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164" fontId="0" fillId="0" borderId="0" xfId="1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5" fontId="0" fillId="0" borderId="0" xfId="0" applyNumberFormat="1"/>
    <xf numFmtId="3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topLeftCell="A55" zoomScale="90" zoomScaleNormal="90" workbookViewId="0">
      <selection activeCell="A73" sqref="A73:C73"/>
    </sheetView>
  </sheetViews>
  <sheetFormatPr defaultRowHeight="12.75" x14ac:dyDescent="0.2"/>
  <cols>
    <col min="1" max="1" width="67.42578125" bestFit="1" customWidth="1"/>
    <col min="2" max="2" width="22.42578125" bestFit="1" customWidth="1"/>
    <col min="3" max="8" width="15.42578125" bestFit="1" customWidth="1"/>
    <col min="9" max="9" width="11.42578125" bestFit="1" customWidth="1"/>
  </cols>
  <sheetData>
    <row r="1" spans="1:9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13.5" thickBot="1" x14ac:dyDescent="0.25"/>
    <row r="3" spans="1:9" ht="13.5" thickBot="1" x14ac:dyDescent="0.25">
      <c r="A3" s="1" t="s">
        <v>1</v>
      </c>
      <c r="B3" s="2"/>
      <c r="C3" s="2"/>
      <c r="D3" s="57" t="s">
        <v>2</v>
      </c>
      <c r="E3" s="57"/>
      <c r="F3" s="57"/>
      <c r="G3" s="57"/>
      <c r="H3" s="58"/>
    </row>
    <row r="4" spans="1:9" x14ac:dyDescent="0.2">
      <c r="A4" s="5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</row>
    <row r="5" spans="1:9" ht="13.5" thickBot="1" x14ac:dyDescent="0.25">
      <c r="A5" s="8" t="s">
        <v>9</v>
      </c>
      <c r="B5" s="9"/>
      <c r="C5" s="9"/>
      <c r="D5" s="53">
        <v>2700</v>
      </c>
      <c r="E5" s="53">
        <v>3000</v>
      </c>
      <c r="F5" s="53">
        <v>2700</v>
      </c>
      <c r="G5" s="53">
        <v>3000</v>
      </c>
      <c r="H5" s="10">
        <f>SUM(D5:G5)</f>
        <v>11400</v>
      </c>
    </row>
    <row r="6" spans="1:9" ht="13.5" thickBot="1" x14ac:dyDescent="0.25"/>
    <row r="7" spans="1:9" ht="13.5" thickBot="1" x14ac:dyDescent="0.25">
      <c r="A7" s="1" t="s">
        <v>10</v>
      </c>
      <c r="B7" s="11"/>
      <c r="C7" s="12"/>
      <c r="D7" s="12"/>
      <c r="E7" s="12"/>
      <c r="F7" s="12"/>
      <c r="G7" s="12"/>
      <c r="H7" s="12"/>
      <c r="I7" s="12"/>
    </row>
    <row r="8" spans="1:9" x14ac:dyDescent="0.2">
      <c r="A8" s="5"/>
      <c r="B8" s="13"/>
    </row>
    <row r="9" spans="1:9" x14ac:dyDescent="0.2">
      <c r="A9" s="5" t="s">
        <v>11</v>
      </c>
      <c r="B9" s="13" t="s">
        <v>12</v>
      </c>
    </row>
    <row r="10" spans="1:9" x14ac:dyDescent="0.2">
      <c r="A10" s="5" t="s">
        <v>13</v>
      </c>
      <c r="B10" s="13" t="s">
        <v>14</v>
      </c>
    </row>
    <row r="11" spans="1:9" x14ac:dyDescent="0.2">
      <c r="A11" s="5" t="s">
        <v>15</v>
      </c>
      <c r="B11" s="13" t="s">
        <v>16</v>
      </c>
    </row>
    <row r="12" spans="1:9" x14ac:dyDescent="0.2">
      <c r="A12" s="5" t="s">
        <v>17</v>
      </c>
      <c r="B12" s="13" t="s">
        <v>18</v>
      </c>
    </row>
    <row r="13" spans="1:9" x14ac:dyDescent="0.2">
      <c r="A13" s="5" t="s">
        <v>19</v>
      </c>
      <c r="B13" s="13" t="s">
        <v>20</v>
      </c>
    </row>
    <row r="14" spans="1:9" x14ac:dyDescent="0.2">
      <c r="A14" s="5" t="s">
        <v>21</v>
      </c>
      <c r="B14" s="13" t="s">
        <v>22</v>
      </c>
    </row>
    <row r="15" spans="1:9" x14ac:dyDescent="0.2">
      <c r="A15" s="8"/>
      <c r="B15" s="14"/>
    </row>
    <row r="17" spans="1:9" x14ac:dyDescent="0.2">
      <c r="A17" s="15" t="s">
        <v>23</v>
      </c>
      <c r="B17" s="16"/>
    </row>
    <row r="18" spans="1:9" ht="13.5" thickBot="1" x14ac:dyDescent="0.25"/>
    <row r="19" spans="1:9" ht="13.5" thickBot="1" x14ac:dyDescent="0.25">
      <c r="A19" s="1" t="s">
        <v>24</v>
      </c>
      <c r="B19" s="2"/>
      <c r="C19" s="2"/>
      <c r="D19" s="11"/>
      <c r="E19" s="12"/>
      <c r="F19" s="12"/>
    </row>
    <row r="20" spans="1:9" x14ac:dyDescent="0.2">
      <c r="A20" s="17" t="s">
        <v>25</v>
      </c>
      <c r="B20" s="6" t="s">
        <v>26</v>
      </c>
      <c r="C20" s="6" t="s">
        <v>27</v>
      </c>
      <c r="D20" s="7" t="s">
        <v>28</v>
      </c>
      <c r="E20" s="6"/>
      <c r="F20" s="6"/>
    </row>
    <row r="21" spans="1:9" x14ac:dyDescent="0.2">
      <c r="A21" s="17">
        <v>1</v>
      </c>
      <c r="B21" t="s">
        <v>29</v>
      </c>
      <c r="C21" s="18">
        <v>2500</v>
      </c>
      <c r="D21" s="19">
        <f>(A21*C21)</f>
        <v>2500</v>
      </c>
      <c r="E21" s="18"/>
      <c r="F21" s="18"/>
    </row>
    <row r="22" spans="1:9" x14ac:dyDescent="0.2">
      <c r="A22" s="17">
        <v>1</v>
      </c>
      <c r="B22" t="s">
        <v>141</v>
      </c>
      <c r="C22" s="18">
        <v>83</v>
      </c>
      <c r="D22" s="19">
        <f t="shared" ref="D22:D26" si="0">(A22*C22)</f>
        <v>83</v>
      </c>
      <c r="E22" s="18"/>
      <c r="F22" s="18"/>
    </row>
    <row r="23" spans="1:9" x14ac:dyDescent="0.2">
      <c r="A23" s="17">
        <v>4</v>
      </c>
      <c r="B23" t="s">
        <v>30</v>
      </c>
      <c r="C23" s="18">
        <v>2600</v>
      </c>
      <c r="D23" s="19">
        <f t="shared" si="0"/>
        <v>10400</v>
      </c>
      <c r="E23" s="18"/>
      <c r="F23" s="18"/>
    </row>
    <row r="24" spans="1:9" x14ac:dyDescent="0.2">
      <c r="A24" s="17">
        <v>1</v>
      </c>
      <c r="B24" t="s">
        <v>31</v>
      </c>
      <c r="C24" s="18">
        <v>935.1</v>
      </c>
      <c r="D24" s="19">
        <f t="shared" si="0"/>
        <v>935.1</v>
      </c>
      <c r="E24" s="18"/>
      <c r="F24" s="18"/>
    </row>
    <row r="25" spans="1:9" x14ac:dyDescent="0.2">
      <c r="A25" s="17">
        <v>3</v>
      </c>
      <c r="B25" t="s">
        <v>139</v>
      </c>
      <c r="C25" s="18">
        <v>298.89999999999998</v>
      </c>
      <c r="D25" s="19">
        <f t="shared" si="0"/>
        <v>896.69999999999993</v>
      </c>
      <c r="E25" s="18"/>
      <c r="F25" s="18"/>
    </row>
    <row r="26" spans="1:9" x14ac:dyDescent="0.2">
      <c r="A26" s="17">
        <v>5</v>
      </c>
      <c r="B26" t="s">
        <v>32</v>
      </c>
      <c r="C26" s="18">
        <v>299</v>
      </c>
      <c r="D26" s="19">
        <f t="shared" si="0"/>
        <v>1495</v>
      </c>
      <c r="E26" s="18"/>
    </row>
    <row r="27" spans="1:9" x14ac:dyDescent="0.2">
      <c r="A27" s="20">
        <v>100</v>
      </c>
      <c r="B27" t="s">
        <v>33</v>
      </c>
      <c r="C27" s="18">
        <v>0.16900000000000001</v>
      </c>
      <c r="D27" s="19">
        <f>(C27*A27)</f>
        <v>16.900000000000002</v>
      </c>
      <c r="E27" s="18" t="s">
        <v>140</v>
      </c>
      <c r="F27" s="18"/>
    </row>
    <row r="28" spans="1:9" ht="13.5" thickBot="1" x14ac:dyDescent="0.25">
      <c r="A28" s="8"/>
      <c r="B28" s="9"/>
      <c r="C28" s="9" t="s">
        <v>28</v>
      </c>
      <c r="D28" s="21">
        <f>SUM(D21:D27)</f>
        <v>16326.7</v>
      </c>
      <c r="F28" s="18"/>
    </row>
    <row r="29" spans="1:9" ht="13.5" thickBot="1" x14ac:dyDescent="0.25"/>
    <row r="30" spans="1:9" ht="13.5" thickBot="1" x14ac:dyDescent="0.25">
      <c r="A30" s="64" t="s">
        <v>34</v>
      </c>
      <c r="B30" s="65"/>
      <c r="C30" s="65"/>
      <c r="D30" s="65"/>
      <c r="E30" s="65"/>
      <c r="F30" s="65"/>
      <c r="G30" s="65"/>
      <c r="H30" s="65"/>
      <c r="I30" s="66"/>
    </row>
    <row r="31" spans="1:9" x14ac:dyDescent="0.2">
      <c r="A31" s="55"/>
      <c r="B31" s="63"/>
      <c r="C31" s="56"/>
      <c r="D31" s="55" t="s">
        <v>35</v>
      </c>
      <c r="E31" s="63"/>
      <c r="F31" s="55" t="s">
        <v>36</v>
      </c>
      <c r="G31" s="56"/>
      <c r="H31" s="55" t="s">
        <v>37</v>
      </c>
      <c r="I31" s="56"/>
    </row>
    <row r="32" spans="1:9" x14ac:dyDescent="0.2">
      <c r="A32" s="59" t="s">
        <v>26</v>
      </c>
      <c r="B32" s="60"/>
      <c r="C32" s="23" t="s">
        <v>38</v>
      </c>
      <c r="D32" s="17" t="s">
        <v>39</v>
      </c>
      <c r="E32" s="6" t="s">
        <v>38</v>
      </c>
      <c r="F32" s="17" t="s">
        <v>39</v>
      </c>
      <c r="G32" s="7" t="s">
        <v>38</v>
      </c>
      <c r="H32" s="17" t="s">
        <v>39</v>
      </c>
      <c r="I32" s="7" t="s">
        <v>38</v>
      </c>
    </row>
    <row r="33" spans="1:9" x14ac:dyDescent="0.2">
      <c r="A33" s="61" t="s">
        <v>40</v>
      </c>
      <c r="B33" s="62"/>
      <c r="C33" s="25" t="s">
        <v>41</v>
      </c>
      <c r="D33" s="26">
        <v>0.1</v>
      </c>
      <c r="E33" s="25" t="s">
        <v>41</v>
      </c>
      <c r="F33" s="26">
        <v>0.01</v>
      </c>
      <c r="G33" s="27" t="s">
        <v>41</v>
      </c>
      <c r="H33" s="26">
        <v>0.01</v>
      </c>
      <c r="I33" s="27" t="s">
        <v>41</v>
      </c>
    </row>
    <row r="34" spans="1:9" x14ac:dyDescent="0.2">
      <c r="A34" s="5" t="s">
        <v>42</v>
      </c>
      <c r="C34" s="18">
        <f>SUM(D21:D24)</f>
        <v>13918.1</v>
      </c>
      <c r="D34" s="26">
        <v>0.1</v>
      </c>
      <c r="E34" s="18">
        <f>(D34*C34)</f>
        <v>1391.8100000000002</v>
      </c>
      <c r="F34" s="28">
        <v>1.4999999999999999E-2</v>
      </c>
      <c r="G34" s="19">
        <f>(C34*F34)</f>
        <v>208.7715</v>
      </c>
      <c r="H34" s="26">
        <v>0.01</v>
      </c>
      <c r="I34" s="19">
        <f>(C34*H34)</f>
        <v>139.18100000000001</v>
      </c>
    </row>
    <row r="35" spans="1:9" x14ac:dyDescent="0.2">
      <c r="A35" s="5" t="s">
        <v>43</v>
      </c>
      <c r="C35" s="18">
        <f>SUM(D25:D26)</f>
        <v>2391.6999999999998</v>
      </c>
      <c r="D35" s="26">
        <v>0.1</v>
      </c>
      <c r="E35" s="18">
        <f>(D35*C35)</f>
        <v>239.17</v>
      </c>
      <c r="F35" s="28">
        <v>2E-3</v>
      </c>
      <c r="G35" s="19">
        <f>(C35*F35)</f>
        <v>4.7833999999999994</v>
      </c>
      <c r="H35" s="28">
        <v>2E-3</v>
      </c>
      <c r="I35" s="19">
        <f>(C35*H35)</f>
        <v>4.7833999999999994</v>
      </c>
    </row>
    <row r="36" spans="1:9" x14ac:dyDescent="0.2">
      <c r="A36" s="61" t="s">
        <v>44</v>
      </c>
      <c r="B36" s="62"/>
      <c r="C36" s="18">
        <v>0</v>
      </c>
      <c r="D36" s="26">
        <v>0.2</v>
      </c>
      <c r="E36" s="18">
        <f>(D36*C36)</f>
        <v>0</v>
      </c>
      <c r="F36" s="26">
        <v>0.1</v>
      </c>
      <c r="G36" s="19">
        <f>(C36*F36)</f>
        <v>0</v>
      </c>
      <c r="H36" s="26">
        <v>0.01</v>
      </c>
      <c r="I36" s="19">
        <f>(C36*H36)</f>
        <v>0</v>
      </c>
    </row>
    <row r="37" spans="1:9" x14ac:dyDescent="0.2">
      <c r="A37" s="61" t="s">
        <v>45</v>
      </c>
      <c r="B37" s="62"/>
      <c r="C37" s="18">
        <f>SUM(C33:C36)</f>
        <v>16309.8</v>
      </c>
      <c r="D37" s="26"/>
      <c r="E37" s="18">
        <f>SUM(E33:E36)</f>
        <v>1630.9800000000002</v>
      </c>
      <c r="F37" s="29"/>
      <c r="G37" s="19">
        <f>SUM(G33:G36)</f>
        <v>213.5549</v>
      </c>
      <c r="H37" s="29"/>
      <c r="I37" s="19">
        <f>SUM(I33:I36)</f>
        <v>143.96440000000001</v>
      </c>
    </row>
    <row r="38" spans="1:9" ht="13.5" thickBot="1" x14ac:dyDescent="0.25">
      <c r="A38" s="67" t="s">
        <v>46</v>
      </c>
      <c r="B38" s="68"/>
      <c r="C38" s="31">
        <f>(C37/12)</f>
        <v>1359.1499999999999</v>
      </c>
      <c r="D38" s="32"/>
      <c r="E38" s="31">
        <f>E37/12</f>
        <v>135.91500000000002</v>
      </c>
      <c r="F38" s="32"/>
      <c r="G38" s="21">
        <f>G37/12</f>
        <v>17.796241666666667</v>
      </c>
      <c r="H38" s="32"/>
      <c r="I38" s="21">
        <f>I37/12</f>
        <v>11.997033333333334</v>
      </c>
    </row>
    <row r="39" spans="1:9" ht="13.5" thickBot="1" x14ac:dyDescent="0.25"/>
    <row r="40" spans="1:9" ht="13.5" thickBot="1" x14ac:dyDescent="0.25">
      <c r="A40" s="64" t="s">
        <v>47</v>
      </c>
      <c r="B40" s="65"/>
      <c r="C40" s="65"/>
      <c r="D40" s="65"/>
      <c r="E40" s="65"/>
      <c r="F40" s="66"/>
    </row>
    <row r="41" spans="1:9" x14ac:dyDescent="0.2">
      <c r="A41" s="59" t="s">
        <v>48</v>
      </c>
      <c r="B41" s="60"/>
      <c r="C41" s="60"/>
      <c r="F41" s="13"/>
    </row>
    <row r="42" spans="1:9" x14ac:dyDescent="0.2">
      <c r="A42" s="59"/>
      <c r="B42" s="60"/>
      <c r="C42" s="60"/>
      <c r="D42" s="6" t="s">
        <v>49</v>
      </c>
      <c r="E42" s="6" t="s">
        <v>50</v>
      </c>
      <c r="F42" s="7" t="s">
        <v>51</v>
      </c>
    </row>
    <row r="43" spans="1:9" x14ac:dyDescent="0.2">
      <c r="A43" s="61" t="s">
        <v>52</v>
      </c>
      <c r="B43" s="62"/>
      <c r="C43" s="62"/>
      <c r="D43" s="18">
        <v>3100</v>
      </c>
      <c r="E43" s="18">
        <f>(D43*3)</f>
        <v>9300</v>
      </c>
      <c r="F43" s="19">
        <f>(D43*12)</f>
        <v>37200</v>
      </c>
    </row>
    <row r="44" spans="1:9" x14ac:dyDescent="0.2">
      <c r="A44" s="61" t="s">
        <v>53</v>
      </c>
      <c r="B44" s="62"/>
      <c r="C44" s="62"/>
      <c r="D44" s="18">
        <f>137%*D43</f>
        <v>4247</v>
      </c>
      <c r="E44" s="18">
        <f t="shared" ref="E44:E51" si="1">(D44*3)</f>
        <v>12741</v>
      </c>
      <c r="F44" s="19">
        <f t="shared" ref="F44:F51" si="2">(D44*12)</f>
        <v>50964</v>
      </c>
    </row>
    <row r="45" spans="1:9" x14ac:dyDescent="0.2">
      <c r="A45" s="61" t="s">
        <v>54</v>
      </c>
      <c r="B45" s="62"/>
      <c r="C45" s="62"/>
      <c r="D45" s="18">
        <v>400</v>
      </c>
      <c r="E45" s="18">
        <f t="shared" si="1"/>
        <v>1200</v>
      </c>
      <c r="F45" s="19">
        <f t="shared" si="2"/>
        <v>4800</v>
      </c>
    </row>
    <row r="46" spans="1:9" x14ac:dyDescent="0.2">
      <c r="A46" s="61" t="s">
        <v>55</v>
      </c>
      <c r="B46" s="62"/>
      <c r="C46" s="62"/>
      <c r="D46" s="18">
        <v>220</v>
      </c>
      <c r="E46" s="18">
        <f t="shared" si="1"/>
        <v>660</v>
      </c>
      <c r="F46" s="19">
        <f t="shared" si="2"/>
        <v>2640</v>
      </c>
    </row>
    <row r="47" spans="1:9" x14ac:dyDescent="0.2">
      <c r="A47" s="61" t="s">
        <v>56</v>
      </c>
      <c r="B47" s="62"/>
      <c r="C47" s="62"/>
      <c r="D47" s="18">
        <v>400</v>
      </c>
      <c r="E47" s="18">
        <f t="shared" si="1"/>
        <v>1200</v>
      </c>
      <c r="F47" s="19">
        <f t="shared" si="2"/>
        <v>4800</v>
      </c>
    </row>
    <row r="48" spans="1:9" x14ac:dyDescent="0.2">
      <c r="A48" s="61" t="s">
        <v>57</v>
      </c>
      <c r="B48" s="62"/>
      <c r="C48" s="62"/>
      <c r="D48" s="18">
        <f>90+350+150</f>
        <v>590</v>
      </c>
      <c r="E48" s="18">
        <f t="shared" si="1"/>
        <v>1770</v>
      </c>
      <c r="F48" s="19">
        <f t="shared" si="2"/>
        <v>7080</v>
      </c>
    </row>
    <row r="49" spans="1:9" x14ac:dyDescent="0.2">
      <c r="A49" s="61" t="s">
        <v>58</v>
      </c>
      <c r="B49" s="62"/>
      <c r="C49" s="62"/>
      <c r="D49" s="18">
        <f>E38+G38+I38</f>
        <v>165.70827500000001</v>
      </c>
      <c r="E49" s="18">
        <f t="shared" si="1"/>
        <v>497.12482500000004</v>
      </c>
      <c r="F49" s="19">
        <f t="shared" si="2"/>
        <v>1988.4993000000002</v>
      </c>
    </row>
    <row r="50" spans="1:9" x14ac:dyDescent="0.2">
      <c r="A50" s="61" t="s">
        <v>59</v>
      </c>
      <c r="B50" s="62"/>
      <c r="C50" s="62"/>
      <c r="D50" s="18">
        <v>50</v>
      </c>
      <c r="E50" s="18">
        <f t="shared" si="1"/>
        <v>150</v>
      </c>
      <c r="F50" s="19">
        <f t="shared" si="2"/>
        <v>600</v>
      </c>
    </row>
    <row r="51" spans="1:9" x14ac:dyDescent="0.2">
      <c r="A51" s="61" t="s">
        <v>60</v>
      </c>
      <c r="B51" s="62"/>
      <c r="C51" s="62"/>
      <c r="D51" s="18">
        <v>20</v>
      </c>
      <c r="E51" s="18">
        <f t="shared" si="1"/>
        <v>60</v>
      </c>
      <c r="F51" s="19">
        <f t="shared" si="2"/>
        <v>240</v>
      </c>
    </row>
    <row r="52" spans="1:9" ht="13.5" thickBot="1" x14ac:dyDescent="0.25">
      <c r="A52" s="69" t="s">
        <v>28</v>
      </c>
      <c r="B52" s="70"/>
      <c r="C52" s="70"/>
      <c r="D52" s="31">
        <f>SUM(D43:D51)</f>
        <v>9192.7082750000009</v>
      </c>
      <c r="E52" s="31">
        <f>SUM(E43:E51)</f>
        <v>27578.124824999999</v>
      </c>
      <c r="F52" s="21">
        <f>SUM(F43:F51)</f>
        <v>110312.4993</v>
      </c>
    </row>
    <row r="54" spans="1:9" x14ac:dyDescent="0.2">
      <c r="A54" s="12" t="s">
        <v>61</v>
      </c>
      <c r="B54" s="12"/>
      <c r="C54" s="12"/>
    </row>
    <row r="55" spans="1:9" ht="13.5" thickBot="1" x14ac:dyDescent="0.25"/>
    <row r="56" spans="1:9" ht="13.5" thickBot="1" x14ac:dyDescent="0.25">
      <c r="A56" s="64" t="s">
        <v>62</v>
      </c>
      <c r="B56" s="65"/>
      <c r="C56" s="65"/>
      <c r="D56" s="65"/>
      <c r="E56" s="65"/>
      <c r="F56" s="65"/>
      <c r="G56" s="65"/>
      <c r="H56" s="34"/>
      <c r="I56" s="35"/>
    </row>
    <row r="57" spans="1:9" x14ac:dyDescent="0.2">
      <c r="A57" s="55" t="s">
        <v>63</v>
      </c>
      <c r="B57" s="63"/>
      <c r="C57" s="63"/>
      <c r="D57" s="22" t="s">
        <v>64</v>
      </c>
      <c r="E57" s="22" t="s">
        <v>65</v>
      </c>
      <c r="F57" s="63" t="s">
        <v>66</v>
      </c>
      <c r="G57" s="63"/>
      <c r="H57" s="63"/>
      <c r="I57" s="56"/>
    </row>
    <row r="58" spans="1:9" x14ac:dyDescent="0.2">
      <c r="A58" s="59"/>
      <c r="B58" s="60"/>
      <c r="C58" s="60"/>
      <c r="F58" s="23" t="s">
        <v>4</v>
      </c>
      <c r="G58" s="23" t="s">
        <v>5</v>
      </c>
      <c r="H58" s="23" t="s">
        <v>6</v>
      </c>
      <c r="I58" s="36" t="s">
        <v>7</v>
      </c>
    </row>
    <row r="59" spans="1:9" x14ac:dyDescent="0.2">
      <c r="A59" s="61" t="s">
        <v>142</v>
      </c>
      <c r="B59" s="62"/>
      <c r="C59" s="62"/>
      <c r="D59" s="18">
        <v>3200</v>
      </c>
      <c r="E59" s="18">
        <f t="shared" ref="E59:E64" si="3">3*D59</f>
        <v>9600</v>
      </c>
      <c r="F59" s="6">
        <v>1</v>
      </c>
      <c r="G59" s="6">
        <v>1</v>
      </c>
      <c r="H59" s="6">
        <v>1</v>
      </c>
      <c r="I59" s="7">
        <v>1</v>
      </c>
    </row>
    <row r="60" spans="1:9" x14ac:dyDescent="0.2">
      <c r="A60" s="61" t="s">
        <v>143</v>
      </c>
      <c r="B60" s="62"/>
      <c r="C60" s="62"/>
      <c r="D60" s="18">
        <v>3500</v>
      </c>
      <c r="E60" s="18">
        <f t="shared" si="3"/>
        <v>10500</v>
      </c>
      <c r="F60" s="6">
        <v>2</v>
      </c>
      <c r="G60" s="6">
        <v>2</v>
      </c>
      <c r="H60" s="6">
        <v>2</v>
      </c>
      <c r="I60" s="7">
        <v>2</v>
      </c>
    </row>
    <row r="61" spans="1:9" x14ac:dyDescent="0.2">
      <c r="A61" s="61" t="s">
        <v>144</v>
      </c>
      <c r="B61" s="62"/>
      <c r="C61" s="62"/>
      <c r="D61" s="18">
        <v>2500</v>
      </c>
      <c r="E61" s="18">
        <f t="shared" si="3"/>
        <v>7500</v>
      </c>
      <c r="F61" s="6">
        <v>1</v>
      </c>
      <c r="G61" s="6">
        <v>1</v>
      </c>
      <c r="H61" s="6">
        <v>1</v>
      </c>
      <c r="I61" s="7">
        <v>1</v>
      </c>
    </row>
    <row r="62" spans="1:9" x14ac:dyDescent="0.2">
      <c r="A62" s="61" t="s">
        <v>145</v>
      </c>
      <c r="B62" s="62"/>
      <c r="C62" s="62"/>
      <c r="D62" s="18">
        <v>2500</v>
      </c>
      <c r="E62" s="18">
        <f t="shared" si="3"/>
        <v>7500</v>
      </c>
      <c r="F62" s="6">
        <v>1</v>
      </c>
      <c r="G62" s="6">
        <v>1</v>
      </c>
      <c r="H62" s="6">
        <v>1</v>
      </c>
      <c r="I62" s="7">
        <v>1</v>
      </c>
    </row>
    <row r="63" spans="1:9" x14ac:dyDescent="0.2">
      <c r="A63" s="61"/>
      <c r="B63" s="62"/>
      <c r="C63" s="62"/>
      <c r="D63" s="18"/>
      <c r="E63" s="18">
        <f t="shared" si="3"/>
        <v>0</v>
      </c>
      <c r="F63" s="6"/>
      <c r="G63" s="6"/>
      <c r="H63" s="6"/>
      <c r="I63" s="7"/>
    </row>
    <row r="64" spans="1:9" x14ac:dyDescent="0.2">
      <c r="A64" s="61"/>
      <c r="B64" s="62"/>
      <c r="C64" s="62"/>
      <c r="D64" s="18"/>
      <c r="E64" s="18">
        <f t="shared" si="3"/>
        <v>0</v>
      </c>
      <c r="F64" s="6"/>
      <c r="G64" s="6"/>
      <c r="H64" s="6"/>
      <c r="I64" s="7"/>
    </row>
    <row r="65" spans="1:9" ht="13.5" thickBot="1" x14ac:dyDescent="0.25">
      <c r="A65" s="69" t="s">
        <v>67</v>
      </c>
      <c r="B65" s="70"/>
      <c r="C65" s="70"/>
      <c r="D65" s="31">
        <f>SUM(D59:D64)</f>
        <v>11700</v>
      </c>
      <c r="E65" s="31">
        <f>SUM(E59:E64)</f>
        <v>35100</v>
      </c>
      <c r="F65" s="9"/>
      <c r="G65" s="9"/>
      <c r="H65" s="9"/>
      <c r="I65" s="14"/>
    </row>
    <row r="66" spans="1:9" ht="13.5" thickBot="1" x14ac:dyDescent="0.25"/>
    <row r="67" spans="1:9" ht="13.5" thickBot="1" x14ac:dyDescent="0.25">
      <c r="A67" s="1" t="s">
        <v>68</v>
      </c>
      <c r="B67" s="2"/>
      <c r="C67" s="2"/>
      <c r="D67" s="2"/>
      <c r="E67" s="2"/>
      <c r="F67" s="2"/>
      <c r="G67" s="2"/>
      <c r="H67" s="11"/>
    </row>
    <row r="68" spans="1:9" x14ac:dyDescent="0.2">
      <c r="A68" s="55" t="s">
        <v>63</v>
      </c>
      <c r="B68" s="63"/>
      <c r="C68" s="63"/>
      <c r="D68" s="60" t="s">
        <v>69</v>
      </c>
      <c r="E68" s="60"/>
      <c r="F68" s="60"/>
      <c r="G68" s="60"/>
      <c r="H68" s="13" t="s">
        <v>70</v>
      </c>
    </row>
    <row r="69" spans="1:9" x14ac:dyDescent="0.2">
      <c r="A69" s="59"/>
      <c r="B69" s="60"/>
      <c r="C69" s="60"/>
      <c r="D69" t="s">
        <v>4</v>
      </c>
      <c r="E69" t="s">
        <v>5</v>
      </c>
      <c r="F69" t="s">
        <v>6</v>
      </c>
      <c r="G69" t="s">
        <v>7</v>
      </c>
      <c r="H69" s="13"/>
    </row>
    <row r="70" spans="1:9" x14ac:dyDescent="0.2">
      <c r="A70" s="61" t="s">
        <v>142</v>
      </c>
      <c r="B70" s="62"/>
      <c r="C70" s="62"/>
      <c r="D70" s="18">
        <f>F59*E59</f>
        <v>9600</v>
      </c>
      <c r="E70" s="18">
        <f>G59*E59</f>
        <v>9600</v>
      </c>
      <c r="F70" s="18">
        <f>H59*E59</f>
        <v>9600</v>
      </c>
      <c r="G70" s="18">
        <f>I59*E59</f>
        <v>9600</v>
      </c>
      <c r="H70" s="19">
        <f t="shared" ref="H70:H75" si="4">SUM(D70:G70)</f>
        <v>38400</v>
      </c>
    </row>
    <row r="71" spans="1:9" x14ac:dyDescent="0.2">
      <c r="A71" s="61" t="s">
        <v>143</v>
      </c>
      <c r="B71" s="62"/>
      <c r="C71" s="62"/>
      <c r="D71" s="18">
        <f>F60*E60</f>
        <v>21000</v>
      </c>
      <c r="E71" s="18">
        <f>G60*E60</f>
        <v>21000</v>
      </c>
      <c r="F71" s="18">
        <f>H60*E60</f>
        <v>21000</v>
      </c>
      <c r="G71" s="18">
        <f>I60*E60</f>
        <v>21000</v>
      </c>
      <c r="H71" s="19">
        <f t="shared" si="4"/>
        <v>84000</v>
      </c>
    </row>
    <row r="72" spans="1:9" x14ac:dyDescent="0.2">
      <c r="A72" s="61" t="s">
        <v>146</v>
      </c>
      <c r="B72" s="62"/>
      <c r="C72" s="62"/>
      <c r="D72" s="18">
        <f>F61*E61</f>
        <v>7500</v>
      </c>
      <c r="E72" s="18">
        <f>G61*E61</f>
        <v>7500</v>
      </c>
      <c r="F72" s="18">
        <f>H61*E61</f>
        <v>7500</v>
      </c>
      <c r="G72" s="18">
        <f>I61*E61</f>
        <v>7500</v>
      </c>
      <c r="H72" s="19">
        <f t="shared" si="4"/>
        <v>30000</v>
      </c>
    </row>
    <row r="73" spans="1:9" x14ac:dyDescent="0.2">
      <c r="A73" s="61" t="s">
        <v>145</v>
      </c>
      <c r="B73" s="62"/>
      <c r="C73" s="62"/>
      <c r="D73" s="18">
        <f>F62*E62</f>
        <v>7500</v>
      </c>
      <c r="E73" s="18">
        <f>G62*E62</f>
        <v>7500</v>
      </c>
      <c r="F73" s="18">
        <f>H62*E62</f>
        <v>7500</v>
      </c>
      <c r="G73" s="18">
        <f>I62*E62</f>
        <v>7500</v>
      </c>
      <c r="H73" s="19">
        <f t="shared" si="4"/>
        <v>30000</v>
      </c>
    </row>
    <row r="74" spans="1:9" x14ac:dyDescent="0.2">
      <c r="A74" s="61"/>
      <c r="B74" s="62"/>
      <c r="C74" s="62"/>
      <c r="D74" s="18">
        <f>F63*E63</f>
        <v>0</v>
      </c>
      <c r="E74" s="18">
        <f>G63*E63</f>
        <v>0</v>
      </c>
      <c r="F74" s="18">
        <f>H63*E63</f>
        <v>0</v>
      </c>
      <c r="G74" s="18">
        <f>I63*E63</f>
        <v>0</v>
      </c>
      <c r="H74" s="19">
        <f t="shared" si="4"/>
        <v>0</v>
      </c>
    </row>
    <row r="75" spans="1:9" x14ac:dyDescent="0.2">
      <c r="A75" s="61"/>
      <c r="B75" s="62"/>
      <c r="C75" s="62"/>
      <c r="D75" s="18">
        <f>F64*$E$64</f>
        <v>0</v>
      </c>
      <c r="E75" s="18">
        <f>G64*$E$64</f>
        <v>0</v>
      </c>
      <c r="F75" s="18">
        <f>H64*$E$64</f>
        <v>0</v>
      </c>
      <c r="G75" s="18">
        <f>I64*$E$64</f>
        <v>0</v>
      </c>
      <c r="H75" s="19">
        <f t="shared" si="4"/>
        <v>0</v>
      </c>
    </row>
    <row r="76" spans="1:9" x14ac:dyDescent="0.2">
      <c r="A76" s="73" t="s">
        <v>71</v>
      </c>
      <c r="B76" s="71"/>
      <c r="C76" s="71"/>
      <c r="D76" s="18">
        <f>SUM(D70:D74)</f>
        <v>45600</v>
      </c>
      <c r="E76" s="18">
        <f>SUM(E70:E74)</f>
        <v>45600</v>
      </c>
      <c r="F76" s="18">
        <f>SUM(F70:F74)</f>
        <v>45600</v>
      </c>
      <c r="G76" s="18">
        <f>SUM(G70:G74)</f>
        <v>45600</v>
      </c>
      <c r="H76" s="19">
        <f>SUM(H70:H75)</f>
        <v>182400</v>
      </c>
    </row>
    <row r="77" spans="1:9" x14ac:dyDescent="0.2">
      <c r="A77" s="73" t="s">
        <v>72</v>
      </c>
      <c r="B77" s="71"/>
      <c r="C77" s="71"/>
      <c r="D77" s="18">
        <f>(82*D76/100)</f>
        <v>37392</v>
      </c>
      <c r="E77" s="18">
        <f>(82*E76/100)</f>
        <v>37392</v>
      </c>
      <c r="F77" s="18">
        <f>(82*F76/100)</f>
        <v>37392</v>
      </c>
      <c r="G77" s="18">
        <f>(82*G76/100)</f>
        <v>37392</v>
      </c>
      <c r="H77" s="19">
        <f>(82*H76/100)</f>
        <v>149568</v>
      </c>
    </row>
    <row r="78" spans="1:9" ht="13.5" thickBot="1" x14ac:dyDescent="0.25">
      <c r="A78" s="69" t="s">
        <v>67</v>
      </c>
      <c r="B78" s="70"/>
      <c r="C78" s="70"/>
      <c r="D78" s="31">
        <f>(D76+D77)</f>
        <v>82992</v>
      </c>
      <c r="E78" s="31">
        <f>(E76+E77)</f>
        <v>82992</v>
      </c>
      <c r="F78" s="31">
        <f>(F76+F77)</f>
        <v>82992</v>
      </c>
      <c r="G78" s="31">
        <f>(G76+G77)</f>
        <v>82992</v>
      </c>
      <c r="H78" s="21">
        <f>(H76+H77)</f>
        <v>331968</v>
      </c>
    </row>
    <row r="80" spans="1:9" ht="13.5" hidden="1" thickBot="1" x14ac:dyDescent="0.25">
      <c r="A80" s="1" t="s">
        <v>73</v>
      </c>
      <c r="B80" s="2"/>
      <c r="C80" s="2"/>
      <c r="D80" s="2"/>
      <c r="E80" s="11"/>
      <c r="F80" s="12"/>
      <c r="G80" s="12"/>
    </row>
    <row r="81" spans="1:5" hidden="1" x14ac:dyDescent="0.2">
      <c r="A81" s="5"/>
      <c r="B81" s="6" t="s">
        <v>74</v>
      </c>
      <c r="C81" s="6" t="s">
        <v>75</v>
      </c>
      <c r="D81" s="6" t="s">
        <v>27</v>
      </c>
      <c r="E81" s="7" t="s">
        <v>28</v>
      </c>
    </row>
    <row r="82" spans="1:5" hidden="1" x14ac:dyDescent="0.2">
      <c r="A82" s="5"/>
      <c r="C82" s="38"/>
      <c r="D82" s="18"/>
      <c r="E82" s="19">
        <f>(C82*D82)</f>
        <v>0</v>
      </c>
    </row>
    <row r="83" spans="1:5" hidden="1" x14ac:dyDescent="0.2">
      <c r="A83" s="5"/>
      <c r="D83" s="18"/>
      <c r="E83" s="19">
        <f t="shared" ref="E83:E95" si="5">(C83*D83)</f>
        <v>0</v>
      </c>
    </row>
    <row r="84" spans="1:5" hidden="1" x14ac:dyDescent="0.2">
      <c r="A84" s="5"/>
      <c r="D84" s="18"/>
      <c r="E84" s="19">
        <f t="shared" si="5"/>
        <v>0</v>
      </c>
    </row>
    <row r="85" spans="1:5" hidden="1" x14ac:dyDescent="0.2">
      <c r="A85" s="5"/>
      <c r="D85" s="18"/>
      <c r="E85" s="19">
        <f t="shared" si="5"/>
        <v>0</v>
      </c>
    </row>
    <row r="86" spans="1:5" hidden="1" x14ac:dyDescent="0.2">
      <c r="A86" s="5"/>
      <c r="D86" s="18"/>
      <c r="E86" s="19">
        <f t="shared" si="5"/>
        <v>0</v>
      </c>
    </row>
    <row r="87" spans="1:5" hidden="1" x14ac:dyDescent="0.2">
      <c r="A87" s="5"/>
      <c r="D87" s="18"/>
      <c r="E87" s="19">
        <f t="shared" si="5"/>
        <v>0</v>
      </c>
    </row>
    <row r="88" spans="1:5" hidden="1" x14ac:dyDescent="0.2">
      <c r="A88" s="5"/>
      <c r="D88" s="18"/>
      <c r="E88" s="19">
        <f t="shared" si="5"/>
        <v>0</v>
      </c>
    </row>
    <row r="89" spans="1:5" hidden="1" x14ac:dyDescent="0.2">
      <c r="A89" s="5"/>
      <c r="D89" s="18"/>
      <c r="E89" s="19">
        <f t="shared" si="5"/>
        <v>0</v>
      </c>
    </row>
    <row r="90" spans="1:5" hidden="1" x14ac:dyDescent="0.2">
      <c r="A90" s="5"/>
      <c r="D90" s="18"/>
      <c r="E90" s="19">
        <f t="shared" si="5"/>
        <v>0</v>
      </c>
    </row>
    <row r="91" spans="1:5" hidden="1" x14ac:dyDescent="0.2">
      <c r="A91" s="5"/>
      <c r="D91" s="18"/>
      <c r="E91" s="19">
        <f t="shared" si="5"/>
        <v>0</v>
      </c>
    </row>
    <row r="92" spans="1:5" hidden="1" x14ac:dyDescent="0.2">
      <c r="A92" s="5"/>
      <c r="D92" s="18"/>
      <c r="E92" s="19">
        <f t="shared" si="5"/>
        <v>0</v>
      </c>
    </row>
    <row r="93" spans="1:5" hidden="1" x14ac:dyDescent="0.2">
      <c r="A93" s="5"/>
      <c r="D93" s="18"/>
      <c r="E93" s="19">
        <f t="shared" si="5"/>
        <v>0</v>
      </c>
    </row>
    <row r="94" spans="1:5" hidden="1" x14ac:dyDescent="0.2">
      <c r="A94" s="5"/>
      <c r="D94" s="18"/>
      <c r="E94" s="19">
        <f t="shared" si="5"/>
        <v>0</v>
      </c>
    </row>
    <row r="95" spans="1:5" hidden="1" x14ac:dyDescent="0.2">
      <c r="A95" s="5"/>
      <c r="D95" s="18"/>
      <c r="E95" s="19">
        <f t="shared" si="5"/>
        <v>0</v>
      </c>
    </row>
    <row r="96" spans="1:5" ht="13.5" hidden="1" thickBot="1" x14ac:dyDescent="0.25">
      <c r="A96" s="8"/>
      <c r="B96" s="9"/>
      <c r="C96" s="9"/>
      <c r="D96" s="9" t="s">
        <v>28</v>
      </c>
      <c r="E96" s="21">
        <f>SUM(E82:E95)</f>
        <v>0</v>
      </c>
    </row>
    <row r="97" spans="1:5" ht="13.5" thickBot="1" x14ac:dyDescent="0.25"/>
    <row r="98" spans="1:5" ht="13.5" thickBot="1" x14ac:dyDescent="0.25">
      <c r="A98" s="1" t="s">
        <v>76</v>
      </c>
      <c r="B98" s="2"/>
      <c r="C98" s="11"/>
      <c r="D98" s="12"/>
    </row>
    <row r="99" spans="1:5" x14ac:dyDescent="0.2">
      <c r="A99" s="5"/>
      <c r="C99" s="13"/>
    </row>
    <row r="100" spans="1:5" x14ac:dyDescent="0.2">
      <c r="A100" s="5" t="s">
        <v>77</v>
      </c>
      <c r="C100" s="19">
        <f>(H78/H5)</f>
        <v>29.12</v>
      </c>
    </row>
    <row r="101" spans="1:5" x14ac:dyDescent="0.2">
      <c r="A101" s="5"/>
      <c r="C101" s="13"/>
    </row>
    <row r="102" spans="1:5" ht="13.5" thickBot="1" x14ac:dyDescent="0.25">
      <c r="A102" s="8"/>
      <c r="B102" s="9"/>
      <c r="C102" s="14"/>
    </row>
    <row r="103" spans="1:5" ht="13.5" thickBot="1" x14ac:dyDescent="0.25"/>
    <row r="104" spans="1:5" ht="13.5" thickBot="1" x14ac:dyDescent="0.25">
      <c r="A104" s="1" t="s">
        <v>78</v>
      </c>
      <c r="B104" s="11"/>
      <c r="C104" s="12"/>
      <c r="D104" s="12"/>
    </row>
    <row r="105" spans="1:5" x14ac:dyDescent="0.2">
      <c r="A105" s="5"/>
      <c r="B105" s="13"/>
    </row>
    <row r="106" spans="1:5" x14ac:dyDescent="0.2">
      <c r="A106" s="37" t="s">
        <v>79</v>
      </c>
      <c r="B106" s="39">
        <f>(F52/H5)</f>
        <v>9.6765350263157899</v>
      </c>
    </row>
    <row r="107" spans="1:5" x14ac:dyDescent="0.2">
      <c r="A107" s="5"/>
      <c r="B107" s="13"/>
    </row>
    <row r="108" spans="1:5" ht="13.5" thickBot="1" x14ac:dyDescent="0.25">
      <c r="A108" s="8"/>
      <c r="B108" s="14"/>
    </row>
    <row r="109" spans="1:5" ht="13.5" thickBot="1" x14ac:dyDescent="0.25"/>
    <row r="110" spans="1:5" ht="13.5" thickBot="1" x14ac:dyDescent="0.25">
      <c r="A110" s="1" t="s">
        <v>80</v>
      </c>
      <c r="B110" s="2"/>
      <c r="C110" s="11"/>
      <c r="D110" s="12"/>
      <c r="E110" s="12"/>
    </row>
    <row r="111" spans="1:5" x14ac:dyDescent="0.2">
      <c r="A111" s="5" t="s">
        <v>26</v>
      </c>
      <c r="C111" s="13" t="s">
        <v>38</v>
      </c>
    </row>
    <row r="112" spans="1:5" x14ac:dyDescent="0.2">
      <c r="A112" s="5" t="s">
        <v>81</v>
      </c>
      <c r="C112" s="40">
        <f>E96</f>
        <v>0</v>
      </c>
      <c r="D112" s="72"/>
      <c r="E112" s="72"/>
    </row>
    <row r="113" spans="1:8" x14ac:dyDescent="0.2">
      <c r="A113" s="5" t="s">
        <v>82</v>
      </c>
      <c r="C113" s="40">
        <f>C100</f>
        <v>29.12</v>
      </c>
      <c r="D113" s="72"/>
      <c r="E113" s="72"/>
    </row>
    <row r="114" spans="1:8" x14ac:dyDescent="0.2">
      <c r="A114" s="5" t="s">
        <v>83</v>
      </c>
      <c r="C114" s="40">
        <f>B106</f>
        <v>9.6765350263157899</v>
      </c>
      <c r="D114" s="72"/>
      <c r="E114" s="72"/>
    </row>
    <row r="115" spans="1:8" ht="13.5" thickBot="1" x14ac:dyDescent="0.25">
      <c r="A115" s="8"/>
      <c r="B115" s="33" t="s">
        <v>28</v>
      </c>
      <c r="C115" s="41">
        <f>SUM(C112:C114)</f>
        <v>38.796535026315794</v>
      </c>
      <c r="D115" s="72"/>
      <c r="E115" s="72"/>
    </row>
    <row r="116" spans="1:8" ht="13.5" thickBot="1" x14ac:dyDescent="0.25"/>
    <row r="117" spans="1:8" ht="13.5" thickBot="1" x14ac:dyDescent="0.25">
      <c r="A117" s="1" t="s">
        <v>84</v>
      </c>
      <c r="B117" s="2"/>
      <c r="C117" s="2"/>
      <c r="D117" s="2"/>
      <c r="E117" s="11"/>
      <c r="F117" s="12"/>
      <c r="G117" s="12"/>
      <c r="H117" s="12"/>
    </row>
    <row r="118" spans="1:8" x14ac:dyDescent="0.2">
      <c r="A118" s="5"/>
      <c r="E118" s="13"/>
    </row>
    <row r="119" spans="1:8" x14ac:dyDescent="0.2">
      <c r="A119" s="5" t="s">
        <v>85</v>
      </c>
      <c r="B119" s="42">
        <f>(C115/(1-(B129+E121)))</f>
        <v>53.512462105263168</v>
      </c>
      <c r="E119" s="13"/>
    </row>
    <row r="120" spans="1:8" x14ac:dyDescent="0.2">
      <c r="A120" s="5"/>
      <c r="E120" s="13"/>
    </row>
    <row r="121" spans="1:8" x14ac:dyDescent="0.2">
      <c r="A121" s="59" t="s">
        <v>86</v>
      </c>
      <c r="B121" s="60"/>
      <c r="C121" s="71" t="s">
        <v>87</v>
      </c>
      <c r="D121" s="71"/>
      <c r="E121" s="43">
        <v>0.1</v>
      </c>
    </row>
    <row r="122" spans="1:8" x14ac:dyDescent="0.2">
      <c r="A122" s="5" t="s">
        <v>88</v>
      </c>
      <c r="B122" s="44">
        <v>0.02</v>
      </c>
      <c r="C122" s="44"/>
      <c r="E122" s="13"/>
    </row>
    <row r="123" spans="1:8" x14ac:dyDescent="0.2">
      <c r="A123" s="5" t="s">
        <v>14</v>
      </c>
      <c r="B123" s="44">
        <v>0.03</v>
      </c>
      <c r="C123" s="44"/>
      <c r="E123" s="13"/>
    </row>
    <row r="124" spans="1:8" x14ac:dyDescent="0.2">
      <c r="A124" s="5" t="s">
        <v>89</v>
      </c>
      <c r="B124" s="44">
        <v>0.02</v>
      </c>
      <c r="C124" s="44"/>
      <c r="E124" s="13"/>
    </row>
    <row r="125" spans="1:8" hidden="1" x14ac:dyDescent="0.2">
      <c r="A125" s="5" t="s">
        <v>90</v>
      </c>
      <c r="B125" s="44">
        <v>0.04</v>
      </c>
      <c r="C125" s="44"/>
      <c r="E125" s="13"/>
    </row>
    <row r="126" spans="1:8" hidden="1" x14ac:dyDescent="0.2">
      <c r="A126" s="5" t="s">
        <v>91</v>
      </c>
      <c r="B126" s="44">
        <v>0.04</v>
      </c>
      <c r="C126" s="44"/>
      <c r="E126" s="13"/>
    </row>
    <row r="127" spans="1:8" hidden="1" x14ac:dyDescent="0.2">
      <c r="A127" s="5" t="s">
        <v>92</v>
      </c>
      <c r="B127" s="44">
        <v>0.02</v>
      </c>
      <c r="C127" s="44"/>
      <c r="E127" s="13"/>
    </row>
    <row r="128" spans="1:8" hidden="1" x14ac:dyDescent="0.2">
      <c r="A128" s="5" t="s">
        <v>93</v>
      </c>
      <c r="B128" s="44">
        <v>5.0000000000000001E-3</v>
      </c>
      <c r="C128" s="44"/>
      <c r="E128" s="13"/>
    </row>
    <row r="129" spans="1:7" x14ac:dyDescent="0.2">
      <c r="A129" s="5" t="s">
        <v>28</v>
      </c>
      <c r="B129" s="45">
        <f>SUM(B122:B128)</f>
        <v>0.17500000000000002</v>
      </c>
      <c r="C129" s="44"/>
      <c r="E129" s="13"/>
    </row>
    <row r="130" spans="1:7" x14ac:dyDescent="0.2">
      <c r="A130" s="5"/>
      <c r="E130" s="13"/>
    </row>
    <row r="131" spans="1:7" x14ac:dyDescent="0.2">
      <c r="A131" s="46" t="s">
        <v>94</v>
      </c>
      <c r="E131" s="13"/>
    </row>
    <row r="132" spans="1:7" x14ac:dyDescent="0.2">
      <c r="A132" s="5" t="s">
        <v>95</v>
      </c>
      <c r="E132" s="13"/>
    </row>
    <row r="133" spans="1:7" x14ac:dyDescent="0.2">
      <c r="A133" s="5" t="s">
        <v>96</v>
      </c>
      <c r="E133" s="13"/>
    </row>
    <row r="134" spans="1:7" x14ac:dyDescent="0.2">
      <c r="A134" s="5" t="s">
        <v>97</v>
      </c>
      <c r="E134" s="13"/>
    </row>
    <row r="135" spans="1:7" ht="13.5" thickBot="1" x14ac:dyDescent="0.25">
      <c r="A135" s="8" t="s">
        <v>98</v>
      </c>
      <c r="B135" s="9"/>
      <c r="C135" s="9"/>
      <c r="D135" s="9"/>
      <c r="E135" s="14"/>
    </row>
    <row r="136" spans="1:7" ht="13.5" thickBot="1" x14ac:dyDescent="0.25"/>
    <row r="137" spans="1:7" ht="13.5" thickBot="1" x14ac:dyDescent="0.25">
      <c r="A137" s="1" t="s">
        <v>99</v>
      </c>
      <c r="B137" s="2"/>
      <c r="C137" s="2"/>
      <c r="D137" s="11"/>
      <c r="E137" s="12"/>
      <c r="F137" s="12"/>
      <c r="G137" s="12"/>
    </row>
    <row r="138" spans="1:7" x14ac:dyDescent="0.2">
      <c r="A138" s="47" t="s">
        <v>100</v>
      </c>
      <c r="B138" s="48" t="s">
        <v>101</v>
      </c>
      <c r="C138" s="48" t="s">
        <v>102</v>
      </c>
      <c r="D138" s="49" t="s">
        <v>28</v>
      </c>
      <c r="E138" s="12"/>
      <c r="F138" s="12"/>
      <c r="G138" s="12"/>
    </row>
    <row r="139" spans="1:7" x14ac:dyDescent="0.2">
      <c r="A139" s="5" t="s">
        <v>4</v>
      </c>
      <c r="B139">
        <f>D5</f>
        <v>2700</v>
      </c>
      <c r="C139" s="42">
        <f>B119</f>
        <v>53.512462105263168</v>
      </c>
      <c r="D139" s="19">
        <f>(B139*C139)</f>
        <v>144483.64768421056</v>
      </c>
    </row>
    <row r="140" spans="1:7" x14ac:dyDescent="0.2">
      <c r="A140" s="5" t="s">
        <v>5</v>
      </c>
      <c r="B140">
        <f>E5</f>
        <v>3000</v>
      </c>
      <c r="C140" s="42">
        <f>B119</f>
        <v>53.512462105263168</v>
      </c>
      <c r="D140" s="19">
        <f>(B140*C140)</f>
        <v>160537.38631578951</v>
      </c>
    </row>
    <row r="141" spans="1:7" x14ac:dyDescent="0.2">
      <c r="A141" s="5" t="s">
        <v>6</v>
      </c>
      <c r="B141">
        <f>F5</f>
        <v>2700</v>
      </c>
      <c r="C141" s="42">
        <f>B119</f>
        <v>53.512462105263168</v>
      </c>
      <c r="D141" s="19">
        <f>(B141*C141)</f>
        <v>144483.64768421056</v>
      </c>
    </row>
    <row r="142" spans="1:7" x14ac:dyDescent="0.2">
      <c r="A142" s="5" t="s">
        <v>7</v>
      </c>
      <c r="B142">
        <f>G5</f>
        <v>3000</v>
      </c>
      <c r="C142" s="42">
        <f>B119</f>
        <v>53.512462105263168</v>
      </c>
      <c r="D142" s="19">
        <f>(B142*C142)</f>
        <v>160537.38631578951</v>
      </c>
    </row>
    <row r="143" spans="1:7" ht="13.5" thickBot="1" x14ac:dyDescent="0.25">
      <c r="A143" s="8" t="s">
        <v>8</v>
      </c>
      <c r="B143" s="9">
        <f>H5</f>
        <v>11400</v>
      </c>
      <c r="C143" s="9"/>
      <c r="D143" s="21">
        <f>SUM(D139:D142)</f>
        <v>610042.0680000002</v>
      </c>
      <c r="G143" s="50"/>
    </row>
    <row r="144" spans="1:7" ht="13.5" thickBot="1" x14ac:dyDescent="0.25"/>
    <row r="145" spans="1:7" ht="13.5" thickBot="1" x14ac:dyDescent="0.25">
      <c r="A145" s="1" t="s">
        <v>103</v>
      </c>
      <c r="B145" s="2"/>
      <c r="C145" s="3" t="s">
        <v>104</v>
      </c>
      <c r="D145" s="3"/>
      <c r="E145" s="3"/>
      <c r="F145" s="3"/>
      <c r="G145" s="4"/>
    </row>
    <row r="146" spans="1:7" x14ac:dyDescent="0.2">
      <c r="A146" s="5"/>
      <c r="G146" s="13"/>
    </row>
    <row r="147" spans="1:7" x14ac:dyDescent="0.2">
      <c r="A147" s="17" t="s">
        <v>105</v>
      </c>
      <c r="B147" s="6" t="s">
        <v>26</v>
      </c>
      <c r="C147" s="6" t="s">
        <v>4</v>
      </c>
      <c r="D147" s="6" t="s">
        <v>5</v>
      </c>
      <c r="E147" s="6" t="s">
        <v>6</v>
      </c>
      <c r="F147" s="6" t="s">
        <v>7</v>
      </c>
      <c r="G147" s="7" t="s">
        <v>8</v>
      </c>
    </row>
    <row r="148" spans="1:7" x14ac:dyDescent="0.2">
      <c r="A148" s="17">
        <v>1</v>
      </c>
      <c r="B148" s="24" t="s">
        <v>106</v>
      </c>
      <c r="C148" s="18">
        <f>D139</f>
        <v>144483.64768421056</v>
      </c>
      <c r="D148" s="18">
        <f>D140</f>
        <v>160537.38631578951</v>
      </c>
      <c r="E148" s="18">
        <f>D141</f>
        <v>144483.64768421056</v>
      </c>
      <c r="F148" s="18">
        <f>D142</f>
        <v>160537.38631578951</v>
      </c>
      <c r="G148" s="19">
        <f>SUM(C148:F148)</f>
        <v>610042.0680000002</v>
      </c>
    </row>
    <row r="149" spans="1:7" x14ac:dyDescent="0.2">
      <c r="A149" s="17">
        <v>2</v>
      </c>
      <c r="B149" s="24" t="s">
        <v>107</v>
      </c>
      <c r="C149" s="18">
        <f>SUM(C150:C152)</f>
        <v>108276.63834473686</v>
      </c>
      <c r="D149" s="18">
        <f>SUM(D150:D152)</f>
        <v>111086.04260526317</v>
      </c>
      <c r="E149" s="18">
        <f>SUM(E150:E152)</f>
        <v>108276.63834473686</v>
      </c>
      <c r="F149" s="18">
        <f>SUM(F150:F152)</f>
        <v>111086.04260526317</v>
      </c>
      <c r="G149" s="19">
        <f>SUM(G150:G152)</f>
        <v>438725.36190000002</v>
      </c>
    </row>
    <row r="150" spans="1:7" x14ac:dyDescent="0.2">
      <c r="A150" s="17" t="s">
        <v>108</v>
      </c>
      <c r="B150" s="24" t="s">
        <v>109</v>
      </c>
      <c r="C150" s="18">
        <f>$C$112*$B139</f>
        <v>0</v>
      </c>
      <c r="D150" s="18">
        <f>$C$112*B140</f>
        <v>0</v>
      </c>
      <c r="E150" s="18">
        <f>$C$112*B141</f>
        <v>0</v>
      </c>
      <c r="F150" s="18">
        <f>$C$112*B142</f>
        <v>0</v>
      </c>
      <c r="G150" s="19">
        <f>SUM(C150:F150)</f>
        <v>0</v>
      </c>
    </row>
    <row r="151" spans="1:7" x14ac:dyDescent="0.2">
      <c r="A151" s="17" t="s">
        <v>110</v>
      </c>
      <c r="B151" s="24" t="s">
        <v>111</v>
      </c>
      <c r="C151" s="18">
        <f>D78</f>
        <v>82992</v>
      </c>
      <c r="D151" s="18">
        <f>E78</f>
        <v>82992</v>
      </c>
      <c r="E151" s="18">
        <f>F78</f>
        <v>82992</v>
      </c>
      <c r="F151" s="18">
        <f>G78</f>
        <v>82992</v>
      </c>
      <c r="G151" s="19">
        <f>H78</f>
        <v>331968</v>
      </c>
    </row>
    <row r="152" spans="1:7" x14ac:dyDescent="0.2">
      <c r="A152" s="17" t="s">
        <v>112</v>
      </c>
      <c r="B152" s="24" t="s">
        <v>113</v>
      </c>
      <c r="C152" s="18">
        <f>$B$129*C148</f>
        <v>25284.63834473685</v>
      </c>
      <c r="D152" s="18">
        <f>$B$129*D148</f>
        <v>28094.042605263166</v>
      </c>
      <c r="E152" s="18">
        <f>$B$129*E148</f>
        <v>25284.63834473685</v>
      </c>
      <c r="F152" s="18">
        <f>$B$129*F148</f>
        <v>28094.042605263166</v>
      </c>
      <c r="G152" s="19">
        <f>$B$129*G148</f>
        <v>106757.36190000005</v>
      </c>
    </row>
    <row r="153" spans="1:7" x14ac:dyDescent="0.2">
      <c r="A153" s="17">
        <v>3</v>
      </c>
      <c r="B153" s="24" t="s">
        <v>114</v>
      </c>
      <c r="C153" s="18">
        <f>C148-C149</f>
        <v>36207.009339473705</v>
      </c>
      <c r="D153" s="18">
        <f>D148-D149</f>
        <v>49451.343710526344</v>
      </c>
      <c r="E153" s="18">
        <f>E148-E149</f>
        <v>36207.009339473705</v>
      </c>
      <c r="F153" s="18">
        <f>F148-F149</f>
        <v>49451.343710526344</v>
      </c>
      <c r="G153" s="19">
        <f>G148-G149</f>
        <v>171316.70610000018</v>
      </c>
    </row>
    <row r="154" spans="1:7" x14ac:dyDescent="0.2">
      <c r="A154" s="17">
        <v>4</v>
      </c>
      <c r="B154" s="24" t="s">
        <v>115</v>
      </c>
      <c r="C154" s="18">
        <f>E52</f>
        <v>27578.124824999999</v>
      </c>
      <c r="D154" s="18">
        <f>E52</f>
        <v>27578.124824999999</v>
      </c>
      <c r="E154" s="18">
        <f>E52</f>
        <v>27578.124824999999</v>
      </c>
      <c r="F154" s="18">
        <f>E52</f>
        <v>27578.124824999999</v>
      </c>
      <c r="G154" s="19">
        <f>SUM(C154:F154)</f>
        <v>110312.4993</v>
      </c>
    </row>
    <row r="155" spans="1:7" x14ac:dyDescent="0.2">
      <c r="A155" s="17">
        <v>5</v>
      </c>
      <c r="B155" s="24" t="s">
        <v>116</v>
      </c>
      <c r="C155" s="18">
        <f>C153-C154</f>
        <v>8628.8845144737061</v>
      </c>
      <c r="D155" s="18">
        <f>D153-D154</f>
        <v>21873.218885526345</v>
      </c>
      <c r="E155" s="18">
        <f>E153-E154</f>
        <v>8628.8845144737061</v>
      </c>
      <c r="F155" s="18">
        <f>F153-F154</f>
        <v>21873.218885526345</v>
      </c>
      <c r="G155" s="19">
        <f>G153-G154</f>
        <v>61004.206800000189</v>
      </c>
    </row>
    <row r="156" spans="1:7" x14ac:dyDescent="0.2">
      <c r="A156" s="17">
        <v>6</v>
      </c>
      <c r="B156" s="24" t="s">
        <v>117</v>
      </c>
      <c r="F156" s="42"/>
      <c r="G156" s="19">
        <f>G155*30%</f>
        <v>18301.262040000056</v>
      </c>
    </row>
    <row r="157" spans="1:7" ht="13.5" thickBot="1" x14ac:dyDescent="0.25">
      <c r="A157" s="51">
        <v>7</v>
      </c>
      <c r="B157" s="30" t="s">
        <v>118</v>
      </c>
      <c r="C157" s="9"/>
      <c r="D157" s="9"/>
      <c r="E157" s="9"/>
      <c r="F157" s="9"/>
      <c r="G157" s="21">
        <f>G155-G156</f>
        <v>42702.944760000129</v>
      </c>
    </row>
    <row r="158" spans="1:7" ht="13.5" thickBot="1" x14ac:dyDescent="0.25">
      <c r="G158" s="42"/>
    </row>
    <row r="159" spans="1:7" ht="13.5" thickBot="1" x14ac:dyDescent="0.25">
      <c r="A159" s="1" t="s">
        <v>119</v>
      </c>
      <c r="B159" s="2"/>
      <c r="C159" s="11"/>
      <c r="D159" s="12"/>
      <c r="E159" s="12"/>
      <c r="F159" s="12"/>
    </row>
    <row r="160" spans="1:7" x14ac:dyDescent="0.2">
      <c r="A160" s="5"/>
      <c r="C160" s="13"/>
    </row>
    <row r="161" spans="1:3" x14ac:dyDescent="0.2">
      <c r="A161" s="61" t="s">
        <v>120</v>
      </c>
      <c r="B161" s="62"/>
      <c r="C161" s="74"/>
    </row>
    <row r="162" spans="1:3" x14ac:dyDescent="0.2">
      <c r="A162" s="5"/>
      <c r="C162" s="13"/>
    </row>
    <row r="163" spans="1:3" x14ac:dyDescent="0.2">
      <c r="A163" s="5" t="s">
        <v>121</v>
      </c>
      <c r="B163" s="18">
        <f>D28+B173</f>
        <v>80283.172183333329</v>
      </c>
      <c r="C163" s="13"/>
    </row>
    <row r="164" spans="1:3" x14ac:dyDescent="0.2">
      <c r="A164" s="5"/>
      <c r="C164" s="13"/>
    </row>
    <row r="165" spans="1:3" x14ac:dyDescent="0.2">
      <c r="A165" s="46" t="s">
        <v>122</v>
      </c>
      <c r="B165" s="12"/>
      <c r="C165" s="13"/>
    </row>
    <row r="166" spans="1:3" x14ac:dyDescent="0.2">
      <c r="A166" s="47" t="s">
        <v>123</v>
      </c>
      <c r="B166" s="48" t="s">
        <v>38</v>
      </c>
      <c r="C166" s="13"/>
    </row>
    <row r="167" spans="1:3" x14ac:dyDescent="0.2">
      <c r="A167" s="5" t="s">
        <v>124</v>
      </c>
      <c r="B167" s="18">
        <f>(B139*C112/3)/2</f>
        <v>0</v>
      </c>
      <c r="C167" s="13"/>
    </row>
    <row r="168" spans="1:3" x14ac:dyDescent="0.2">
      <c r="A168" s="5" t="s">
        <v>125</v>
      </c>
      <c r="B168" s="18">
        <v>2000</v>
      </c>
      <c r="C168" s="13"/>
    </row>
    <row r="169" spans="1:3" x14ac:dyDescent="0.2">
      <c r="A169" s="5" t="s">
        <v>126</v>
      </c>
      <c r="B169" s="18">
        <f>D78/3*2</f>
        <v>55328</v>
      </c>
      <c r="C169" s="13"/>
    </row>
    <row r="170" spans="1:3" x14ac:dyDescent="0.2">
      <c r="A170" s="5" t="s">
        <v>115</v>
      </c>
      <c r="B170" s="18">
        <f>D52/3*2</f>
        <v>6128.4721833333342</v>
      </c>
      <c r="C170" s="13"/>
    </row>
    <row r="171" spans="1:3" x14ac:dyDescent="0.2">
      <c r="A171" s="5" t="s">
        <v>127</v>
      </c>
      <c r="B171" s="18">
        <v>500</v>
      </c>
      <c r="C171" s="13"/>
    </row>
    <row r="172" spans="1:3" x14ac:dyDescent="0.2">
      <c r="A172" s="5" t="s">
        <v>128</v>
      </c>
      <c r="B172" s="18"/>
      <c r="C172" s="13"/>
    </row>
    <row r="173" spans="1:3" ht="13.5" thickBot="1" x14ac:dyDescent="0.25">
      <c r="A173" s="8" t="s">
        <v>28</v>
      </c>
      <c r="B173" s="31">
        <f>SUM(B167:B172)</f>
        <v>63956.472183333331</v>
      </c>
      <c r="C173" s="14"/>
    </row>
    <row r="177" spans="1:3" x14ac:dyDescent="0.2">
      <c r="A177" s="12" t="s">
        <v>129</v>
      </c>
      <c r="B177" s="12"/>
    </row>
    <row r="178" spans="1:3" ht="13.5" thickBot="1" x14ac:dyDescent="0.25"/>
    <row r="179" spans="1:3" ht="13.5" thickBot="1" x14ac:dyDescent="0.25">
      <c r="A179" s="1" t="s">
        <v>130</v>
      </c>
      <c r="B179" s="2"/>
      <c r="C179" s="11"/>
    </row>
    <row r="180" spans="1:3" x14ac:dyDescent="0.2">
      <c r="A180" s="5"/>
      <c r="C180" s="13"/>
    </row>
    <row r="181" spans="1:3" x14ac:dyDescent="0.2">
      <c r="A181" s="5" t="s">
        <v>131</v>
      </c>
      <c r="B181" s="42">
        <f>F52/G153*G148</f>
        <v>392812.04227648</v>
      </c>
      <c r="C181" s="13"/>
    </row>
    <row r="182" spans="1:3" x14ac:dyDescent="0.2">
      <c r="A182" s="5"/>
      <c r="C182" s="13"/>
    </row>
    <row r="183" spans="1:3" ht="13.5" thickBot="1" x14ac:dyDescent="0.25">
      <c r="A183" s="8"/>
      <c r="B183" s="9"/>
      <c r="C183" s="14"/>
    </row>
    <row r="184" spans="1:3" ht="13.5" thickBot="1" x14ac:dyDescent="0.25"/>
    <row r="185" spans="1:3" ht="13.5" thickBot="1" x14ac:dyDescent="0.25">
      <c r="A185" s="1" t="s">
        <v>132</v>
      </c>
      <c r="B185" s="2"/>
      <c r="C185" s="11"/>
    </row>
    <row r="186" spans="1:3" x14ac:dyDescent="0.2">
      <c r="A186" s="5"/>
      <c r="C186" s="13"/>
    </row>
    <row r="187" spans="1:3" x14ac:dyDescent="0.2">
      <c r="A187" s="5" t="s">
        <v>133</v>
      </c>
      <c r="C187" s="13"/>
    </row>
    <row r="188" spans="1:3" x14ac:dyDescent="0.2">
      <c r="A188" s="5"/>
      <c r="C188" s="13"/>
    </row>
    <row r="189" spans="1:3" x14ac:dyDescent="0.2">
      <c r="A189" s="5" t="s">
        <v>134</v>
      </c>
      <c r="B189" s="44">
        <f>(G155/G148)</f>
        <v>0.10000000000000028</v>
      </c>
      <c r="C189" s="13"/>
    </row>
    <row r="190" spans="1:3" ht="13.5" thickBot="1" x14ac:dyDescent="0.25">
      <c r="A190" s="8"/>
      <c r="B190" s="9"/>
      <c r="C190" s="14"/>
    </row>
    <row r="191" spans="1:3" ht="13.5" thickBot="1" x14ac:dyDescent="0.25"/>
    <row r="192" spans="1:3" ht="13.5" thickBot="1" x14ac:dyDescent="0.25">
      <c r="A192" s="1" t="s">
        <v>135</v>
      </c>
      <c r="B192" s="2"/>
      <c r="C192" s="11"/>
    </row>
    <row r="193" spans="1:3" x14ac:dyDescent="0.2">
      <c r="A193" s="5"/>
      <c r="C193" s="13"/>
    </row>
    <row r="194" spans="1:3" x14ac:dyDescent="0.2">
      <c r="A194" s="5" t="s">
        <v>136</v>
      </c>
      <c r="C194" s="13"/>
    </row>
    <row r="195" spans="1:3" x14ac:dyDescent="0.2">
      <c r="A195" s="5"/>
      <c r="C195" s="13"/>
    </row>
    <row r="196" spans="1:3" x14ac:dyDescent="0.2">
      <c r="A196" s="5" t="s">
        <v>137</v>
      </c>
      <c r="B196" s="52">
        <f>B163/G157</f>
        <v>1.8800383119839224</v>
      </c>
      <c r="C196" s="13" t="s">
        <v>138</v>
      </c>
    </row>
    <row r="197" spans="1:3" ht="13.5" thickBot="1" x14ac:dyDescent="0.25">
      <c r="A197" s="8"/>
      <c r="B197" s="9"/>
      <c r="C197" s="14"/>
    </row>
  </sheetData>
  <mergeCells count="55">
    <mergeCell ref="A61:C61"/>
    <mergeCell ref="A56:G56"/>
    <mergeCell ref="A42:C42"/>
    <mergeCell ref="A161:C161"/>
    <mergeCell ref="A58:C58"/>
    <mergeCell ref="F57:I57"/>
    <mergeCell ref="A59:C59"/>
    <mergeCell ref="A60:C60"/>
    <mergeCell ref="A68:C68"/>
    <mergeCell ref="A78:C78"/>
    <mergeCell ref="A77:C77"/>
    <mergeCell ref="A65:C65"/>
    <mergeCell ref="A57:C57"/>
    <mergeCell ref="A74:C74"/>
    <mergeCell ref="A73:C73"/>
    <mergeCell ref="A72:C72"/>
    <mergeCell ref="A64:C64"/>
    <mergeCell ref="A62:C62"/>
    <mergeCell ref="A63:C63"/>
    <mergeCell ref="A121:B121"/>
    <mergeCell ref="C121:D121"/>
    <mergeCell ref="D113:E113"/>
    <mergeCell ref="D114:E114"/>
    <mergeCell ref="D115:E115"/>
    <mergeCell ref="D68:G68"/>
    <mergeCell ref="D112:E112"/>
    <mergeCell ref="A71:C71"/>
    <mergeCell ref="A70:C70"/>
    <mergeCell ref="A69:C69"/>
    <mergeCell ref="A76:C76"/>
    <mergeCell ref="A75:C75"/>
    <mergeCell ref="A52:C52"/>
    <mergeCell ref="A49:C49"/>
    <mergeCell ref="A48:C48"/>
    <mergeCell ref="A47:C47"/>
    <mergeCell ref="A46:C46"/>
    <mergeCell ref="A41:C41"/>
    <mergeCell ref="A31:C31"/>
    <mergeCell ref="A45:C45"/>
    <mergeCell ref="A50:C50"/>
    <mergeCell ref="A51:C51"/>
    <mergeCell ref="A44:C44"/>
    <mergeCell ref="A43:C43"/>
    <mergeCell ref="A36:B36"/>
    <mergeCell ref="A37:B37"/>
    <mergeCell ref="A38:B38"/>
    <mergeCell ref="A40:F40"/>
    <mergeCell ref="A1:I1"/>
    <mergeCell ref="H31:I31"/>
    <mergeCell ref="D3:H3"/>
    <mergeCell ref="A32:B32"/>
    <mergeCell ref="A33:B33"/>
    <mergeCell ref="F31:G31"/>
    <mergeCell ref="D31:E31"/>
    <mergeCell ref="A30:I30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1FD152BA3FDA408BCEE228EAD4604E" ma:contentTypeVersion="2" ma:contentTypeDescription="Crie um novo documento." ma:contentTypeScope="" ma:versionID="2b8922e8ffc6adff1e49f4643fd4eec2">
  <xsd:schema xmlns:xsd="http://www.w3.org/2001/XMLSchema" xmlns:xs="http://www.w3.org/2001/XMLSchema" xmlns:p="http://schemas.microsoft.com/office/2006/metadata/properties" xmlns:ns2="ed528587-09a1-430b-b1c9-1c4bb290ef10" targetNamespace="http://schemas.microsoft.com/office/2006/metadata/properties" ma:root="true" ma:fieldsID="7351e47475c0ec611e1e52c787efd877" ns2:_="">
    <xsd:import namespace="ed528587-09a1-430b-b1c9-1c4bb290e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28587-09a1-430b-b1c9-1c4bb290ef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3C3575-9007-4AB2-8452-A70205EC3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528587-09a1-430b-b1c9-1c4bb290e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35BDC4-28A9-4BD1-BFBC-1E11EEFD10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Plan. Fin. CEDESP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Letycia</dc:creator>
  <cp:keywords/>
  <dc:description/>
  <cp:lastModifiedBy>Ana Letycia</cp:lastModifiedBy>
  <cp:revision/>
  <dcterms:created xsi:type="dcterms:W3CDTF">2006-04-08T20:16:01Z</dcterms:created>
  <dcterms:modified xsi:type="dcterms:W3CDTF">2022-08-27T14:38:48Z</dcterms:modified>
  <cp:category/>
  <cp:contentStatus/>
</cp:coreProperties>
</file>