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edith/Dropbox/PfE/Graphs/"/>
    </mc:Choice>
  </mc:AlternateContent>
  <xr:revisionPtr revIDLastSave="0" documentId="13_ncr:1_{50E06025-B838-3541-8E6A-EE2C5D2744B1}" xr6:coauthVersionLast="46" xr6:coauthVersionMax="46" xr10:uidLastSave="{00000000-0000-0000-0000-000000000000}"/>
  <bookViews>
    <workbookView xWindow="0" yWindow="460" windowWidth="28800" windowHeight="15940" activeTab="2" xr2:uid="{D02CA84B-B46C-F44C-9F7F-DDD16062229B}"/>
  </bookViews>
  <sheets>
    <sheet name="RPS" sheetId="1" r:id="rId1"/>
    <sheet name="NEM" sheetId="2" r:id="rId2"/>
    <sheet name="Figure 5" sheetId="5" r:id="rId3"/>
    <sheet name="care_non_care_rates" sheetId="4" r:id="rId4"/>
  </sheets>
  <definedNames>
    <definedName name="_xlchart.v1.0" hidden="1">'Figure 5'!$C$7</definedName>
    <definedName name="_xlchart.v1.1" hidden="1">'Figure 5'!$C$8</definedName>
    <definedName name="_xlchart.v1.2" hidden="1">'Figure 5'!$D$6:$F$6</definedName>
    <definedName name="_xlchart.v1.3" hidden="1">'Figure 5'!$D$7:$F$7</definedName>
    <definedName name="_xlchart.v1.4" hidden="1">'Figure 5'!$D$8:$F$8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5" l="1"/>
  <c r="F7" i="5"/>
  <c r="E8" i="5"/>
  <c r="E7" i="5"/>
  <c r="D8" i="5"/>
  <c r="D7" i="5"/>
  <c r="C111" i="2" l="1"/>
  <c r="C112" i="2" s="1"/>
  <c r="C66" i="2"/>
  <c r="C123" i="2" l="1"/>
  <c r="M5" i="1" l="1"/>
  <c r="N5" i="1"/>
  <c r="E8" i="2"/>
  <c r="C78" i="2"/>
  <c r="D98" i="2"/>
  <c r="D52" i="2" l="1"/>
  <c r="D9" i="2"/>
  <c r="I43" i="1"/>
  <c r="C100" i="2"/>
  <c r="C99" i="2"/>
  <c r="C54" i="2"/>
  <c r="C53" i="2"/>
  <c r="C11" i="2"/>
  <c r="C10" i="2"/>
  <c r="F10" i="4"/>
  <c r="E10" i="4"/>
  <c r="F6" i="4"/>
  <c r="E6" i="4"/>
  <c r="F2" i="4"/>
  <c r="E2" i="4"/>
  <c r="G124" i="2"/>
  <c r="G123" i="2"/>
  <c r="J85" i="2" l="1"/>
  <c r="I67" i="1"/>
  <c r="C118" i="2"/>
  <c r="C120" i="2"/>
  <c r="C106" i="2"/>
  <c r="C105" i="2"/>
  <c r="J84" i="2"/>
  <c r="C75" i="2"/>
  <c r="C73" i="2"/>
  <c r="C60" i="2"/>
  <c r="C59" i="2"/>
  <c r="G66" i="1"/>
  <c r="G67" i="1" s="1"/>
  <c r="I49" i="1"/>
  <c r="I48" i="1"/>
  <c r="G42" i="1"/>
  <c r="C16" i="2"/>
  <c r="C17" i="2"/>
  <c r="C124" i="2" l="1"/>
  <c r="C79" i="2"/>
  <c r="C21" i="2"/>
  <c r="C20" i="2"/>
  <c r="C109" i="2"/>
  <c r="C110" i="2"/>
  <c r="C64" i="2"/>
  <c r="C65" i="2"/>
  <c r="C101" i="2"/>
  <c r="C12" i="2"/>
  <c r="C55" i="2"/>
  <c r="C67" i="2" l="1"/>
  <c r="C122" i="2"/>
  <c r="C125" i="2" s="1"/>
  <c r="H44" i="1"/>
  <c r="O31" i="1" s="1"/>
  <c r="D12" i="2"/>
  <c r="H19" i="1"/>
  <c r="I78" i="2"/>
  <c r="I77" i="2"/>
  <c r="D101" i="2"/>
  <c r="D55" i="2"/>
  <c r="O5" i="1" l="1"/>
  <c r="Q5" i="1" s="1"/>
  <c r="C113" i="2"/>
  <c r="P31" i="1"/>
  <c r="I44" i="1"/>
  <c r="C68" i="2"/>
  <c r="C69" i="2" s="1"/>
  <c r="C77" i="2"/>
  <c r="C80" i="2" s="1"/>
  <c r="I122" i="2"/>
  <c r="C62" i="2"/>
  <c r="I123" i="2"/>
  <c r="I19" i="1"/>
  <c r="G43" i="1"/>
  <c r="H24" i="1"/>
  <c r="I24" i="1" s="1"/>
  <c r="H23" i="1"/>
  <c r="I23" i="1" s="1"/>
  <c r="G17" i="1"/>
  <c r="G18" i="1" s="1"/>
  <c r="I18" i="1" s="1"/>
  <c r="C128" i="2" l="1"/>
  <c r="D128" i="2" s="1"/>
  <c r="P5" i="1"/>
  <c r="R5" i="1" s="1"/>
  <c r="C107" i="2"/>
  <c r="C114" i="2"/>
  <c r="C70" i="2"/>
  <c r="H86" i="2"/>
  <c r="C83" i="2"/>
  <c r="C84" i="2" s="1"/>
  <c r="C85" i="2" s="1"/>
  <c r="N31" i="1"/>
  <c r="M31" i="1"/>
  <c r="H58" i="1"/>
  <c r="I58" i="1" s="1"/>
  <c r="H57" i="1"/>
  <c r="H31" i="1"/>
  <c r="I31" i="1" s="1"/>
  <c r="J31" i="1" s="1"/>
  <c r="H30" i="1"/>
  <c r="H5" i="1"/>
  <c r="I5" i="1" s="1"/>
  <c r="J5" i="1" s="1"/>
  <c r="H8" i="1"/>
  <c r="C129" i="2" l="1"/>
  <c r="D129" i="2" s="1"/>
  <c r="H127" i="2"/>
  <c r="H129" i="2"/>
  <c r="D83" i="2"/>
  <c r="D127" i="2"/>
  <c r="H84" i="2"/>
  <c r="K84" i="2" s="1"/>
  <c r="H85" i="2"/>
  <c r="D84" i="2"/>
  <c r="K31" i="1"/>
  <c r="C13" i="2"/>
  <c r="C22" i="2" s="1"/>
  <c r="C23" i="2" s="1"/>
  <c r="F6" i="1"/>
  <c r="K5" i="1"/>
  <c r="G4" i="1"/>
  <c r="H4" i="1" s="1"/>
  <c r="C35" i="2" l="1"/>
  <c r="C24" i="2"/>
  <c r="C130" i="2"/>
  <c r="D131" i="2" s="1"/>
  <c r="J127" i="2"/>
  <c r="H128" i="2"/>
  <c r="J128" i="2" s="1"/>
  <c r="D86" i="2"/>
  <c r="Q31" i="1"/>
  <c r="K85" i="2"/>
  <c r="C29" i="2"/>
  <c r="C34" i="2"/>
  <c r="C31" i="2"/>
  <c r="I34" i="2" l="1"/>
  <c r="C33" i="2"/>
  <c r="C25" i="2"/>
  <c r="R31" i="1"/>
  <c r="I33" i="2"/>
  <c r="C36" i="2" l="1"/>
  <c r="H41" i="2" s="1"/>
  <c r="C39" i="2" l="1"/>
  <c r="H39" i="2" l="1"/>
  <c r="C40" i="2"/>
  <c r="D40" i="2" s="1"/>
  <c r="D39" i="2"/>
  <c r="K39" i="2" l="1"/>
  <c r="C41" i="2"/>
  <c r="D42" i="2" s="1"/>
  <c r="H40" i="2"/>
  <c r="K40" i="2" l="1"/>
</calcChain>
</file>

<file path=xl/sharedStrings.xml><?xml version="1.0" encoding="utf-8"?>
<sst xmlns="http://schemas.openxmlformats.org/spreadsheetml/2006/main" count="421" uniqueCount="193">
  <si>
    <t xml:space="preserve">(a) </t>
  </si>
  <si>
    <t xml:space="preserve">(b) </t>
  </si>
  <si>
    <t>PG&amp;E</t>
  </si>
  <si>
    <t>non-RPS</t>
  </si>
  <si>
    <t>RPS</t>
  </si>
  <si>
    <t xml:space="preserve">(c) </t>
  </si>
  <si>
    <t xml:space="preserve">(d) </t>
  </si>
  <si>
    <t>Estimate compliance cost (c) x price premium</t>
  </si>
  <si>
    <t xml:space="preserve">(e) </t>
  </si>
  <si>
    <t xml:space="preserve">(f) </t>
  </si>
  <si>
    <t xml:space="preserve">( c) </t>
  </si>
  <si>
    <t>Sources</t>
  </si>
  <si>
    <t>Padilla report</t>
  </si>
  <si>
    <t>https://www.cpuc.ca.gov/uploadedFiles/CPUCWebsite/Content/About_Us/Organization/Divisions/Office_of_Governmental_Affairs/Legislation/2020/2020%20Padilla%20Report.pdf</t>
  </si>
  <si>
    <t>Estimated RE kWh (b / a)</t>
  </si>
  <si>
    <t>Cost//kWh</t>
  </si>
  <si>
    <t>Rev Requirement</t>
  </si>
  <si>
    <t>Implied kWhs</t>
  </si>
  <si>
    <t>Implied compliance cost</t>
  </si>
  <si>
    <t xml:space="preserve">(g) </t>
  </si>
  <si>
    <t>CARE</t>
  </si>
  <si>
    <t xml:space="preserve">(h) </t>
  </si>
  <si>
    <t>non-CARE</t>
  </si>
  <si>
    <t>CARE kWhs</t>
  </si>
  <si>
    <t>non-CARE kWhs</t>
  </si>
  <si>
    <t>(g)</t>
  </si>
  <si>
    <t>Compliance cost recovered from residential</t>
  </si>
  <si>
    <t xml:space="preserve">(i) </t>
  </si>
  <si>
    <t>non-CARE sales</t>
  </si>
  <si>
    <t>(j)</t>
  </si>
  <si>
    <t>CARE_rate</t>
  </si>
  <si>
    <t>cf_residential</t>
  </si>
  <si>
    <t>pc_PV</t>
  </si>
  <si>
    <t>pv_acc</t>
  </si>
  <si>
    <t>cf_res_revenue</t>
  </si>
  <si>
    <t>res_rate_cf</t>
  </si>
  <si>
    <t>CARE_rate_cf</t>
  </si>
  <si>
    <t>Residential rate/kWh</t>
  </si>
  <si>
    <t>CARE rate</t>
  </si>
  <si>
    <t>PV generation</t>
  </si>
  <si>
    <t>CARE sales</t>
  </si>
  <si>
    <t>2019 residential sales</t>
  </si>
  <si>
    <t>Avoided cost</t>
  </si>
  <si>
    <t>PV * ACC</t>
  </si>
  <si>
    <t>Counterfactual rev req</t>
  </si>
  <si>
    <t>Counterfactual sales</t>
  </si>
  <si>
    <t>counterfactual non-CARE price</t>
  </si>
  <si>
    <t>Price increase</t>
  </si>
  <si>
    <t>counterfactual CARE rate</t>
  </si>
  <si>
    <t>no-CARE impact</t>
  </si>
  <si>
    <t>CARE impact</t>
  </si>
  <si>
    <t>CARE rate impact</t>
  </si>
  <si>
    <t>monthly consumption</t>
  </si>
  <si>
    <t>SCE</t>
  </si>
  <si>
    <t>SDGE</t>
  </si>
  <si>
    <t>CARE report number of customers</t>
  </si>
  <si>
    <t>Implied CARE kWh</t>
  </si>
  <si>
    <t>Share</t>
  </si>
  <si>
    <t>CARE report average consumption (table 9)</t>
  </si>
  <si>
    <t>CARE report</t>
  </si>
  <si>
    <t>Revenue requirement as reported in Padilla Report Table 4</t>
  </si>
  <si>
    <t>Advice letter 5444-E</t>
  </si>
  <si>
    <t>Assume 40% generation costs recovered from residential</t>
  </si>
  <si>
    <t>(k) Annual non-CARE</t>
  </si>
  <si>
    <t>(l) Annual cARE</t>
  </si>
  <si>
    <t xml:space="preserve">(k) </t>
  </si>
  <si>
    <t>Multiply by annual average kWh as reported in CARE report (table 9)</t>
  </si>
  <si>
    <t xml:space="preserve">(l) </t>
  </si>
  <si>
    <t>noncare</t>
  </si>
  <si>
    <t>Assume 34% generation costs recovered from residential</t>
  </si>
  <si>
    <t>(Residential share of total generation)</t>
  </si>
  <si>
    <t>Annual non-CARE</t>
  </si>
  <si>
    <t>(l(</t>
  </si>
  <si>
    <t>Annual CARE</t>
  </si>
  <si>
    <t>Compute share of residential sales that are CARE kWhs</t>
  </si>
  <si>
    <t>Non-CARE rate impact</t>
  </si>
  <si>
    <t>Marshall care and non-care rate components</t>
  </si>
  <si>
    <t>Res sales</t>
  </si>
  <si>
    <t>Downloaded from here: http://www.ecdms.energy.ca.gov/elecbyutil.aspx</t>
  </si>
  <si>
    <t>Source</t>
  </si>
  <si>
    <t>Padilla Report Table 5</t>
  </si>
  <si>
    <t>Padilla Report Table 4</t>
  </si>
  <si>
    <t>CARE Annual Report 2020</t>
  </si>
  <si>
    <t>CARE Annual Report Table 9</t>
  </si>
  <si>
    <t>Note</t>
  </si>
  <si>
    <t>Divide (e) by retail sales to estimate average rate impact</t>
  </si>
  <si>
    <t>Estimate non-CARE rate impact using subsidy rate</t>
  </si>
  <si>
    <t>year</t>
  </si>
  <si>
    <t>annualgengwh</t>
  </si>
  <si>
    <t>PV share</t>
  </si>
  <si>
    <t>Implied CARE subsidy</t>
  </si>
  <si>
    <t>Implicated parameters</t>
  </si>
  <si>
    <t>CARE monthly consumption</t>
  </si>
  <si>
    <t>CARE report 2020</t>
  </si>
  <si>
    <t>non-CARE monthly consumption</t>
  </si>
  <si>
    <t>iou</t>
  </si>
  <si>
    <t>cat.major</t>
  </si>
  <si>
    <t>noncare.rate</t>
  </si>
  <si>
    <t>care.rate</t>
  </si>
  <si>
    <t>pge</t>
  </si>
  <si>
    <t>D</t>
  </si>
  <si>
    <t>G</t>
  </si>
  <si>
    <t>PPP/Other</t>
  </si>
  <si>
    <t>T</t>
  </si>
  <si>
    <t>sce</t>
  </si>
  <si>
    <t>sdge</t>
  </si>
  <si>
    <t>CARE subsidy reality check</t>
  </si>
  <si>
    <t>Source: utility cost report</t>
  </si>
  <si>
    <t>2019 total sales</t>
  </si>
  <si>
    <t>Counterfactual CARE share kWh</t>
  </si>
  <si>
    <t>Share residential</t>
  </si>
  <si>
    <t>Implied CARE subsidy/discount</t>
  </si>
  <si>
    <t>check</t>
  </si>
  <si>
    <t>PGE</t>
  </si>
  <si>
    <t>no care</t>
  </si>
  <si>
    <t>Revenu from non_CARE</t>
  </si>
  <si>
    <t>Revenue from CARE</t>
  </si>
  <si>
    <t>Cross-subsidy</t>
  </si>
  <si>
    <t>Share of CARE costs born by residential</t>
  </si>
  <si>
    <t>Share of CARE born by residential</t>
  </si>
  <si>
    <t>counterfactual CARE kWh</t>
  </si>
  <si>
    <t>counterfactual non-CARE kWh</t>
  </si>
  <si>
    <t>Total non care</t>
  </si>
  <si>
    <t>cross subsidy</t>
  </si>
  <si>
    <t>Counterfactual average retail</t>
  </si>
  <si>
    <t>Check that rates recover required costs</t>
  </si>
  <si>
    <t>Revenue from non-CARE</t>
  </si>
  <si>
    <t>CARE monthly</t>
  </si>
  <si>
    <t>premium</t>
  </si>
  <si>
    <t>Assume CARE is 29% residential sales to get CARE kWhs. Calculations as follows</t>
  </si>
  <si>
    <t>CARE subsidy implied by advice letters</t>
  </si>
  <si>
    <t>C&amp;I cross subsidy of CARE cost shift</t>
  </si>
  <si>
    <t>CARE rate impact (care subsidy x non-CARE rate)</t>
  </si>
  <si>
    <t>AVG Residential rate impact</t>
  </si>
  <si>
    <t>Severin</t>
  </si>
  <si>
    <t>Computing non-CARE counterfactual price</t>
  </si>
  <si>
    <t>Revenue requirement (residential but including cross subsidy)</t>
  </si>
  <si>
    <t>PMC not SMC</t>
  </si>
  <si>
    <t>Implied res rev requirement</t>
  </si>
  <si>
    <t>Average cf rate</t>
  </si>
  <si>
    <t>Annual bill impact</t>
  </si>
  <si>
    <t>PMC</t>
  </si>
  <si>
    <t xml:space="preserve">Note </t>
  </si>
  <si>
    <t xml:space="preserve">These calculations estimate the rate implications of RPS obligations on CARE and non-CARE rates. </t>
  </si>
  <si>
    <t>Cents per kWh (average procurement cost) as reported in Padilla Report Table 5</t>
  </si>
  <si>
    <t>Crudely estimate non-care rate impact: Solve for P that recovers (e) using CARE subsidy and C&amp;I cross subsidy</t>
  </si>
  <si>
    <t>Source:</t>
  </si>
  <si>
    <t>Average rev/kWh</t>
  </si>
  <si>
    <t>(CF price - CARE price) x CARE kWhs x share recovered from res</t>
  </si>
  <si>
    <t>These are negative -- RPS non-binding.</t>
  </si>
  <si>
    <t>Average 2019 residential prices (CARE and non-CARE) are constructed using advice letters and rate schedules PG&amp;E sources: 5366-E-A/B; 5444-E; 5573-E; 5644-E. SCE sources: 67666-E: 67668-E. SDGE: 31811-E; 31501-E.  </t>
  </si>
  <si>
    <t xml:space="preserve">Advice letter sources: 5366-E-A/B; 5444-E; 5573-E; 5644-E. </t>
  </si>
  <si>
    <t xml:space="preserve">Advice letter sources: 67666-E: 67668-E. </t>
  </si>
  <si>
    <t xml:space="preserve">These calculations estimate the impacts of BTM PV incentives on CARE and non-CARE rates. </t>
  </si>
  <si>
    <r>
      <rPr>
        <sz val="11"/>
        <color rgb="FF222222"/>
        <rFont val="Arial"/>
        <family val="2"/>
      </rPr>
      <t>Average 2019 residential prices (CARE and non-CARE) are constructed using advice letters and rate schedules: 5366-E-A/B; 5444-E; 5573-E; 5644-E.</t>
    </r>
    <r>
      <rPr>
        <i/>
        <sz val="11"/>
        <color rgb="FF222222"/>
        <rFont val="Arial"/>
        <family val="2"/>
      </rPr>
      <t xml:space="preserve"> </t>
    </r>
  </si>
  <si>
    <t>Reported in Annual Utility Cost report/CARE reports</t>
  </si>
  <si>
    <t>NEM systems data for 2019 combined with PV Watts simulated production</t>
  </si>
  <si>
    <t>(5)/(4)</t>
  </si>
  <si>
    <t>0.29 x (1) : Assume 29% CARE share (see RPS sheet for justification)</t>
  </si>
  <si>
    <t>0.71 x (1)</t>
  </si>
  <si>
    <t>Source/calculation</t>
  </si>
  <si>
    <t>(4) x (9)</t>
  </si>
  <si>
    <t>(5) x (8)</t>
  </si>
  <si>
    <t>((10) +( 11) - (0.73 x( 11)) / (1 -( (0.73 x (8))/(1) )</t>
  </si>
  <si>
    <t>(12)/(1)</t>
  </si>
  <si>
    <t>(7)/((7) + (1))</t>
  </si>
  <si>
    <t>Our primary SMC estimate for PG&amp;E 2019</t>
  </si>
  <si>
    <t>(16)x(7)</t>
  </si>
  <si>
    <t>(17) + (12)</t>
  </si>
  <si>
    <t>(1) + (7)</t>
  </si>
  <si>
    <t>(8) / ((8) + (7) + (9))</t>
  </si>
  <si>
    <t>(18)/(19)</t>
  </si>
  <si>
    <t>CARE report 2019</t>
  </si>
  <si>
    <t>Average 2019 residential prices (CARE and non-CARE) are constructed using advice letters and rate schedules. SDGE: 31811-E; 31501-E.  </t>
  </si>
  <si>
    <t>0.21 x (1) : Assume 29% CARE share (see RPS sheet for justification)</t>
  </si>
  <si>
    <t>0.79 x (1)</t>
  </si>
  <si>
    <t>((10) +( 11) - (0.71 x( 11)) / (1 -( (0.71 x (8))/(1) )</t>
  </si>
  <si>
    <t xml:space="preserve">2019 total sales </t>
  </si>
  <si>
    <t>??</t>
  </si>
  <si>
    <t xml:space="preserve">Average 2019 residential prices (CARE and non-CARE) are constructed using advice letters and rate schedules. SCE sources: 67666-E: 67668-E. </t>
  </si>
  <si>
    <t>0.25 x (1) : Assume 29% CARE share (see RPS sheet for justification)</t>
  </si>
  <si>
    <t>0.75 x (1)</t>
  </si>
  <si>
    <t>Revenue from non_CARE</t>
  </si>
  <si>
    <t>Revenue from NEM2.0</t>
  </si>
  <si>
    <t>Share of PV installed after 2016</t>
  </si>
  <si>
    <t>LBNL Tracking the Sun 2020</t>
  </si>
  <si>
    <t>https://emp.lbl.gov/tracking-the-sun</t>
  </si>
  <si>
    <t>Share of PV injected into the grid</t>
  </si>
  <si>
    <t>https://www.dropbox.com/s/oy85vxstf0nmatx/Darghouth2011EnergyPolicy.pdf?dl=0</t>
  </si>
  <si>
    <t>This adjustment reflects the fact that NEM2.0 customers pay non-bypassable charge ($0.023) on grid-injected kWhs</t>
  </si>
  <si>
    <t>Figure 5</t>
  </si>
  <si>
    <t>Annual bill impacts</t>
  </si>
  <si>
    <t>FERC form 1 data of residential and total quantity sales.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</si>
</sst>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00_);_(* \(#,##0.0000\);_(* &quot;-&quot;??_);_(@_)"/>
    <numFmt numFmtId="165" formatCode="_(* #,##0.000_);_(* \(#,##0.000\);_(* &quot;-&quot;??_);_(@_)"/>
    <numFmt numFmtId="166" formatCode="_(* #,##0.000000_);_(* \(#,##0.000000\);_(* &quot;-&quot;??_);_(@_)"/>
    <numFmt numFmtId="167" formatCode="_(* #,##0.00000_);_(* \(#,##0.00000\);_(* &quot;-&quot;??_);_(@_)"/>
    <numFmt numFmtId="171" formatCode="0.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Helvetica"/>
      <family val="2"/>
    </font>
    <font>
      <i/>
      <sz val="12"/>
      <color rgb="FF222222"/>
      <name val="Arial"/>
      <family val="2"/>
    </font>
    <font>
      <sz val="12"/>
      <color rgb="FF222222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222222"/>
      <name val="Arial"/>
      <family val="2"/>
    </font>
    <font>
      <sz val="11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/>
    <xf numFmtId="11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4" fillId="0" borderId="0" xfId="2" applyAlignment="1">
      <alignment vertical="center"/>
    </xf>
    <xf numFmtId="0" fontId="3" fillId="0" borderId="0" xfId="0" applyFont="1"/>
    <xf numFmtId="0" fontId="0" fillId="2" borderId="0" xfId="0" applyFill="1"/>
    <xf numFmtId="164" fontId="0" fillId="0" borderId="0" xfId="1" applyNumberFormat="1" applyFont="1"/>
    <xf numFmtId="0" fontId="2" fillId="0" borderId="0" xfId="0" applyFont="1" applyAlignment="1">
      <alignment horizontal="center"/>
    </xf>
    <xf numFmtId="3" fontId="5" fillId="0" borderId="0" xfId="0" applyNumberFormat="1" applyFont="1"/>
    <xf numFmtId="165" fontId="0" fillId="0" borderId="0" xfId="0" applyNumberFormat="1"/>
    <xf numFmtId="43" fontId="0" fillId="0" borderId="0" xfId="0" applyNumberFormat="1" applyFill="1"/>
    <xf numFmtId="167" fontId="0" fillId="0" borderId="0" xfId="0" applyNumberFormat="1"/>
    <xf numFmtId="0" fontId="0" fillId="3" borderId="0" xfId="0" applyFill="1"/>
    <xf numFmtId="0" fontId="3" fillId="3" borderId="0" xfId="0" applyFont="1" applyFill="1"/>
    <xf numFmtId="11" fontId="0" fillId="3" borderId="0" xfId="0" applyNumberFormat="1" applyFill="1"/>
    <xf numFmtId="43" fontId="0" fillId="3" borderId="0" xfId="1" applyFont="1" applyFill="1"/>
    <xf numFmtId="0" fontId="0" fillId="0" borderId="0" xfId="0" applyFill="1"/>
    <xf numFmtId="165" fontId="3" fillId="0" borderId="0" xfId="0" applyNumberFormat="1" applyFont="1"/>
    <xf numFmtId="0" fontId="0" fillId="4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3" borderId="0" xfId="0" applyFont="1" applyFill="1"/>
    <xf numFmtId="0" fontId="9" fillId="0" borderId="0" xfId="2" applyFont="1" applyAlignment="1">
      <alignment vertical="center"/>
    </xf>
    <xf numFmtId="0" fontId="10" fillId="0" borderId="0" xfId="0" applyFont="1"/>
    <xf numFmtId="11" fontId="8" fillId="3" borderId="0" xfId="0" applyNumberFormat="1" applyFont="1" applyFill="1"/>
    <xf numFmtId="43" fontId="8" fillId="0" borderId="0" xfId="1" applyFont="1"/>
    <xf numFmtId="11" fontId="8" fillId="0" borderId="0" xfId="0" applyNumberFormat="1" applyFont="1"/>
    <xf numFmtId="0" fontId="8" fillId="0" borderId="0" xfId="0" applyFont="1" applyFill="1"/>
    <xf numFmtId="43" fontId="3" fillId="0" borderId="0" xfId="0" applyNumberFormat="1" applyFont="1"/>
    <xf numFmtId="0" fontId="11" fillId="0" borderId="0" xfId="0" applyFont="1"/>
    <xf numFmtId="9" fontId="0" fillId="0" borderId="0" xfId="1" applyNumberFormat="1" applyFont="1"/>
    <xf numFmtId="0" fontId="0" fillId="0" borderId="0" xfId="1" applyNumberFormat="1" applyFont="1"/>
    <xf numFmtId="171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5'!$C$7</c:f>
              <c:strCache>
                <c:ptCount val="1"/>
                <c:pt idx="0">
                  <c:v>non-CARE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5'!$D$6:$F$6</c:f>
              <c:strCache>
                <c:ptCount val="3"/>
                <c:pt idx="0">
                  <c:v>PG&amp;E</c:v>
                </c:pt>
                <c:pt idx="1">
                  <c:v>SCE</c:v>
                </c:pt>
                <c:pt idx="2">
                  <c:v>SDGE</c:v>
                </c:pt>
              </c:strCache>
            </c:strRef>
          </c:cat>
          <c:val>
            <c:numRef>
              <c:f>'Figure 5'!$D$7:$F$7</c:f>
              <c:numCache>
                <c:formatCode>_(* #,##0.00_);_(* \(#,##0.00\);_(* "-"??_);_(@_)</c:formatCode>
                <c:ptCount val="3"/>
                <c:pt idx="0" formatCode="General">
                  <c:v>146.55645324425043</c:v>
                </c:pt>
                <c:pt idx="1">
                  <c:v>95.388744431226627</c:v>
                </c:pt>
                <c:pt idx="2" formatCode="General">
                  <c:v>230.1173177779142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7-F547-8E1A-53582298913F}"/>
            </c:ext>
          </c:extLst>
        </c:ser>
        <c:ser>
          <c:idx val="1"/>
          <c:order val="1"/>
          <c:tx>
            <c:strRef>
              <c:f>'Figure 5'!$C$8</c:f>
              <c:strCache>
                <c:ptCount val="1"/>
                <c:pt idx="0">
                  <c:v>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5'!$D$6:$F$6</c:f>
              <c:strCache>
                <c:ptCount val="3"/>
                <c:pt idx="0">
                  <c:v>PG&amp;E</c:v>
                </c:pt>
                <c:pt idx="1">
                  <c:v>SCE</c:v>
                </c:pt>
                <c:pt idx="2">
                  <c:v>SDGE</c:v>
                </c:pt>
              </c:strCache>
            </c:strRef>
          </c:cat>
          <c:val>
            <c:numRef>
              <c:f>'Figure 5'!$D$8:$F$8</c:f>
              <c:numCache>
                <c:formatCode>_(* #,##0.00_);_(* \(#,##0.00\);_(* "-"??_);_(@_)</c:formatCode>
                <c:ptCount val="3"/>
                <c:pt idx="0" formatCode="General">
                  <c:v>101.60541244947714</c:v>
                </c:pt>
                <c:pt idx="1">
                  <c:v>63.950681911319471</c:v>
                </c:pt>
                <c:pt idx="2" formatCode="General">
                  <c:v>124.11030683175326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E7-F547-8E1A-535822989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5801296"/>
        <c:axId val="1894228016"/>
      </c:barChart>
      <c:catAx>
        <c:axId val="14258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28016"/>
        <c:crosses val="autoZero"/>
        <c:auto val="1"/>
        <c:lblAlgn val="ctr"/>
        <c:lblOffset val="100"/>
        <c:noMultiLvlLbl val="0"/>
      </c:catAx>
      <c:valAx>
        <c:axId val="18942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0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11</xdr:row>
      <xdr:rowOff>50800</xdr:rowOff>
    </xdr:from>
    <xdr:to>
      <xdr:col>13</xdr:col>
      <xdr:colOff>552450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FD059-D4F9-C244-B41E-A17175D37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cdms.energy.ca.gov/elecbyutil.aspx" TargetMode="External"/><Relationship Id="rId2" Type="http://schemas.openxmlformats.org/officeDocument/2006/relationships/hyperlink" Target="http://www.ecdms.energy.ca.gov/elecbyutil.aspx" TargetMode="External"/><Relationship Id="rId1" Type="http://schemas.openxmlformats.org/officeDocument/2006/relationships/hyperlink" Target="http://www.ecdms.energy.ca.gov/elecbyutil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cdms.energy.ca.gov/elecbyutil.aspx" TargetMode="External"/><Relationship Id="rId2" Type="http://schemas.openxmlformats.org/officeDocument/2006/relationships/hyperlink" Target="http://www.ecdms.energy.ca.gov/elecbyutil.aspx" TargetMode="External"/><Relationship Id="rId1" Type="http://schemas.openxmlformats.org/officeDocument/2006/relationships/hyperlink" Target="http://www.ecdms.energy.ca.gov/elecbyutil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820F-7148-AC4E-8838-B1010F8EFB2E}">
  <dimension ref="A1:R68"/>
  <sheetViews>
    <sheetView workbookViewId="0">
      <selection activeCell="L50" sqref="L50"/>
    </sheetView>
  </sheetViews>
  <sheetFormatPr baseColWidth="10" defaultRowHeight="16" x14ac:dyDescent="0.2"/>
  <cols>
    <col min="5" max="5" width="17.6640625" bestFit="1" customWidth="1"/>
    <col min="6" max="6" width="24.83203125" customWidth="1"/>
    <col min="7" max="7" width="18.1640625" customWidth="1"/>
    <col min="8" max="8" width="21.1640625" customWidth="1"/>
    <col min="9" max="9" width="23.6640625" customWidth="1"/>
    <col min="10" max="10" width="23" customWidth="1"/>
    <col min="11" max="11" width="19.6640625" customWidth="1"/>
    <col min="13" max="13" width="16.6640625" bestFit="1" customWidth="1"/>
    <col min="14" max="14" width="17.6640625" bestFit="1" customWidth="1"/>
    <col min="15" max="15" width="24.83203125" customWidth="1"/>
    <col min="16" max="16" width="15.1640625" customWidth="1"/>
    <col min="17" max="17" width="19.5" customWidth="1"/>
    <col min="18" max="18" width="13.1640625" customWidth="1"/>
  </cols>
  <sheetData>
    <row r="1" spans="1:18" x14ac:dyDescent="0.2">
      <c r="A1" t="s">
        <v>142</v>
      </c>
      <c r="B1" t="s">
        <v>143</v>
      </c>
    </row>
    <row r="2" spans="1:18" x14ac:dyDescent="0.2">
      <c r="F2" t="s">
        <v>0</v>
      </c>
      <c r="G2" t="s">
        <v>1</v>
      </c>
      <c r="H2" t="s">
        <v>10</v>
      </c>
      <c r="I2" t="s">
        <v>6</v>
      </c>
      <c r="J2" t="s">
        <v>8</v>
      </c>
      <c r="K2" t="s">
        <v>9</v>
      </c>
      <c r="M2" t="s">
        <v>19</v>
      </c>
      <c r="N2" t="s">
        <v>21</v>
      </c>
      <c r="O2" t="s">
        <v>27</v>
      </c>
      <c r="P2" t="s">
        <v>29</v>
      </c>
      <c r="Q2" t="s">
        <v>63</v>
      </c>
      <c r="R2" t="s">
        <v>64</v>
      </c>
    </row>
    <row r="3" spans="1:18" s="16" customFormat="1" x14ac:dyDescent="0.2">
      <c r="A3" s="16" t="s">
        <v>113</v>
      </c>
      <c r="F3" s="16" t="s">
        <v>15</v>
      </c>
      <c r="G3" s="16" t="s">
        <v>16</v>
      </c>
      <c r="H3" s="16" t="s">
        <v>17</v>
      </c>
      <c r="I3" s="16" t="s">
        <v>18</v>
      </c>
      <c r="J3" s="16" t="s">
        <v>26</v>
      </c>
      <c r="K3" s="16" t="s">
        <v>133</v>
      </c>
      <c r="M3" s="16" t="s">
        <v>23</v>
      </c>
      <c r="N3" s="16" t="s">
        <v>24</v>
      </c>
      <c r="O3" s="16" t="s">
        <v>49</v>
      </c>
      <c r="P3" s="16" t="s">
        <v>50</v>
      </c>
    </row>
    <row r="4" spans="1:18" x14ac:dyDescent="0.2">
      <c r="C4">
        <v>2019</v>
      </c>
      <c r="D4" t="s">
        <v>2</v>
      </c>
      <c r="E4" t="s">
        <v>3</v>
      </c>
      <c r="F4">
        <v>10.41</v>
      </c>
      <c r="G4">
        <f>5.25-G5</f>
        <v>2.73</v>
      </c>
      <c r="H4" s="1">
        <f>(G4*1000000000)/(F4/100)</f>
        <v>26224783861.671471</v>
      </c>
    </row>
    <row r="5" spans="1:18" x14ac:dyDescent="0.2">
      <c r="C5">
        <v>2019</v>
      </c>
      <c r="D5" t="s">
        <v>2</v>
      </c>
      <c r="E5" t="s">
        <v>4</v>
      </c>
      <c r="F5">
        <v>12.31</v>
      </c>
      <c r="G5">
        <v>2.52</v>
      </c>
      <c r="H5" s="1">
        <f>(G5*1000000000)/(F5/100)</f>
        <v>20471161657.189278</v>
      </c>
      <c r="I5" s="2">
        <f>(F5-F4)/100*H5</f>
        <v>388952071.48659635</v>
      </c>
      <c r="J5" s="2">
        <f>I5*0.4</f>
        <v>155580828.59463856</v>
      </c>
      <c r="K5" s="5">
        <f>J5/28014177400</f>
        <v>5.5536461547016028E-3</v>
      </c>
      <c r="M5" s="2">
        <f>RPS!I18*RPS!H8</f>
        <v>5977364613.3502293</v>
      </c>
      <c r="N5" s="2">
        <f>0.71*E8</f>
        <v>19890065954</v>
      </c>
      <c r="O5" s="6">
        <f>J5/(N5+(M5*(1-I20+(I20*H19))))</f>
        <v>6.1706339992871609E-3</v>
      </c>
      <c r="P5" s="5">
        <f>H19*O5</f>
        <v>3.9916513141889645E-3</v>
      </c>
      <c r="Q5">
        <f>O5*H23</f>
        <v>34.061899676065131</v>
      </c>
      <c r="R5">
        <f>P5*H24</f>
        <v>23.614609174741915</v>
      </c>
    </row>
    <row r="6" spans="1:18" x14ac:dyDescent="0.2">
      <c r="E6" t="s">
        <v>128</v>
      </c>
      <c r="F6">
        <f>F5-F4</f>
        <v>1.9000000000000004</v>
      </c>
      <c r="L6" s="3"/>
    </row>
    <row r="7" spans="1:18" x14ac:dyDescent="0.2">
      <c r="K7" s="8" t="s">
        <v>79</v>
      </c>
    </row>
    <row r="8" spans="1:18" x14ac:dyDescent="0.2">
      <c r="C8" t="s">
        <v>41</v>
      </c>
      <c r="E8" s="1">
        <v>28014177400</v>
      </c>
      <c r="H8" s="1">
        <f>2520000000/0.1231</f>
        <v>20471161657.189278</v>
      </c>
      <c r="K8" s="7" t="s">
        <v>78</v>
      </c>
      <c r="N8" s="2"/>
    </row>
    <row r="9" spans="1:18" x14ac:dyDescent="0.2">
      <c r="C9" t="s">
        <v>0</v>
      </c>
      <c r="D9" t="s">
        <v>144</v>
      </c>
      <c r="K9" t="s">
        <v>80</v>
      </c>
      <c r="N9" s="2"/>
    </row>
    <row r="10" spans="1:18" x14ac:dyDescent="0.2">
      <c r="C10" t="s">
        <v>1</v>
      </c>
      <c r="D10" t="s">
        <v>60</v>
      </c>
      <c r="K10" t="s">
        <v>81</v>
      </c>
      <c r="N10" s="2"/>
    </row>
    <row r="11" spans="1:18" x14ac:dyDescent="0.2">
      <c r="C11" t="s">
        <v>5</v>
      </c>
      <c r="D11" t="s">
        <v>14</v>
      </c>
      <c r="P11" s="2"/>
    </row>
    <row r="12" spans="1:18" x14ac:dyDescent="0.2">
      <c r="C12" t="s">
        <v>6</v>
      </c>
      <c r="D12" t="s">
        <v>7</v>
      </c>
    </row>
    <row r="13" spans="1:18" x14ac:dyDescent="0.2">
      <c r="C13" t="s">
        <v>8</v>
      </c>
      <c r="D13" t="s">
        <v>62</v>
      </c>
      <c r="I13">
        <v>0.4</v>
      </c>
      <c r="K13" t="s">
        <v>61</v>
      </c>
    </row>
    <row r="14" spans="1:18" x14ac:dyDescent="0.2">
      <c r="C14" t="s">
        <v>9</v>
      </c>
      <c r="D14" t="s">
        <v>85</v>
      </c>
    </row>
    <row r="15" spans="1:18" x14ac:dyDescent="0.2">
      <c r="C15" t="s">
        <v>25</v>
      </c>
      <c r="D15" t="s">
        <v>129</v>
      </c>
      <c r="K15" t="s">
        <v>82</v>
      </c>
    </row>
    <row r="16" spans="1:18" x14ac:dyDescent="0.2">
      <c r="C16">
        <v>2020</v>
      </c>
      <c r="D16" t="s">
        <v>55</v>
      </c>
      <c r="G16">
        <v>1382665</v>
      </c>
    </row>
    <row r="17" spans="1:18" x14ac:dyDescent="0.2">
      <c r="C17">
        <v>2020</v>
      </c>
      <c r="D17" t="s">
        <v>58</v>
      </c>
      <c r="G17">
        <f>12*493</f>
        <v>5916</v>
      </c>
    </row>
    <row r="18" spans="1:18" x14ac:dyDescent="0.2">
      <c r="D18" t="s">
        <v>56</v>
      </c>
      <c r="G18">
        <f>G16*G17</f>
        <v>8179846140</v>
      </c>
      <c r="H18" t="s">
        <v>57</v>
      </c>
      <c r="I18" s="2">
        <f>G18/E8</f>
        <v>0.29198951742198936</v>
      </c>
      <c r="J18" s="2"/>
    </row>
    <row r="19" spans="1:18" x14ac:dyDescent="0.2">
      <c r="D19" t="s">
        <v>130</v>
      </c>
      <c r="H19">
        <f>NEM!C12</f>
        <v>0.64687863753547603</v>
      </c>
      <c r="I19">
        <f>1-H19</f>
        <v>0.35312136246452397</v>
      </c>
      <c r="K19" s="24" t="s">
        <v>151</v>
      </c>
    </row>
    <row r="20" spans="1:18" x14ac:dyDescent="0.2">
      <c r="D20" t="s">
        <v>131</v>
      </c>
      <c r="I20">
        <v>0.31</v>
      </c>
    </row>
    <row r="21" spans="1:18" x14ac:dyDescent="0.2">
      <c r="C21" t="s">
        <v>27</v>
      </c>
      <c r="D21" t="s">
        <v>145</v>
      </c>
    </row>
    <row r="22" spans="1:18" x14ac:dyDescent="0.2">
      <c r="C22" t="s">
        <v>29</v>
      </c>
      <c r="D22" t="s">
        <v>132</v>
      </c>
    </row>
    <row r="23" spans="1:18" x14ac:dyDescent="0.2">
      <c r="C23" t="s">
        <v>65</v>
      </c>
      <c r="D23" t="s">
        <v>66</v>
      </c>
      <c r="H23">
        <f>460*12</f>
        <v>5520</v>
      </c>
      <c r="I23">
        <f>H23/12</f>
        <v>460</v>
      </c>
      <c r="K23" t="s">
        <v>83</v>
      </c>
    </row>
    <row r="24" spans="1:18" x14ac:dyDescent="0.2">
      <c r="C24" t="s">
        <v>67</v>
      </c>
      <c r="D24" t="s">
        <v>66</v>
      </c>
      <c r="H24">
        <f>493*12</f>
        <v>5916</v>
      </c>
      <c r="I24">
        <f>H24/12</f>
        <v>493</v>
      </c>
      <c r="K24" t="s">
        <v>83</v>
      </c>
    </row>
    <row r="25" spans="1:18" x14ac:dyDescent="0.2">
      <c r="C25" t="s">
        <v>11</v>
      </c>
    </row>
    <row r="26" spans="1:18" x14ac:dyDescent="0.2">
      <c r="C26" t="s">
        <v>12</v>
      </c>
      <c r="E26" t="s">
        <v>13</v>
      </c>
    </row>
    <row r="27" spans="1:18" x14ac:dyDescent="0.2">
      <c r="C27" t="s">
        <v>59</v>
      </c>
    </row>
    <row r="28" spans="1:18" s="16" customFormat="1" x14ac:dyDescent="0.2">
      <c r="A28" s="16" t="s">
        <v>53</v>
      </c>
      <c r="F28" s="16" t="s">
        <v>0</v>
      </c>
      <c r="G28" s="16" t="s">
        <v>1</v>
      </c>
      <c r="H28" s="16" t="s">
        <v>10</v>
      </c>
      <c r="I28" s="16" t="s">
        <v>6</v>
      </c>
      <c r="J28" s="16" t="s">
        <v>8</v>
      </c>
      <c r="K28" s="16" t="s">
        <v>9</v>
      </c>
      <c r="M28" s="16" t="s">
        <v>19</v>
      </c>
      <c r="N28" s="16" t="s">
        <v>21</v>
      </c>
      <c r="O28" s="16" t="s">
        <v>27</v>
      </c>
      <c r="Q28" s="16" t="s">
        <v>65</v>
      </c>
      <c r="R28" s="16" t="s">
        <v>72</v>
      </c>
    </row>
    <row r="29" spans="1:18" x14ac:dyDescent="0.2">
      <c r="F29" t="s">
        <v>15</v>
      </c>
      <c r="G29" t="s">
        <v>16</v>
      </c>
      <c r="H29" t="s">
        <v>17</v>
      </c>
      <c r="I29" t="s">
        <v>18</v>
      </c>
      <c r="J29" t="s">
        <v>26</v>
      </c>
      <c r="K29" t="s">
        <v>133</v>
      </c>
      <c r="M29" t="s">
        <v>23</v>
      </c>
      <c r="N29" t="s">
        <v>24</v>
      </c>
      <c r="O29" t="s">
        <v>49</v>
      </c>
      <c r="P29" t="s">
        <v>50</v>
      </c>
      <c r="Q29" t="s">
        <v>71</v>
      </c>
      <c r="R29" t="s">
        <v>73</v>
      </c>
    </row>
    <row r="30" spans="1:18" x14ac:dyDescent="0.2">
      <c r="C30">
        <v>2019</v>
      </c>
      <c r="D30" t="s">
        <v>53</v>
      </c>
      <c r="E30" t="s">
        <v>3</v>
      </c>
      <c r="F30">
        <v>9.0399999999999991</v>
      </c>
      <c r="G30">
        <v>0.99</v>
      </c>
      <c r="H30" s="1">
        <f>(G30*1000000000)/(F30/100)</f>
        <v>10951327433.628319</v>
      </c>
    </row>
    <row r="31" spans="1:18" x14ac:dyDescent="0.2">
      <c r="C31">
        <v>2019</v>
      </c>
      <c r="D31" t="s">
        <v>53</v>
      </c>
      <c r="E31" t="s">
        <v>4</v>
      </c>
      <c r="F31">
        <v>9.19</v>
      </c>
      <c r="G31">
        <v>0.69299999999999995</v>
      </c>
      <c r="H31" s="1">
        <f>(G31*1000000000)/(F31/100)</f>
        <v>7540805223.068553</v>
      </c>
      <c r="I31" s="2">
        <f>(F31-F30)/100*H31</f>
        <v>11311207.834602855</v>
      </c>
      <c r="J31" s="2">
        <f>I31*I38</f>
        <v>3845810.6637649708</v>
      </c>
      <c r="K31">
        <f>J31/F33</f>
        <v>1.4074677954851818E-4</v>
      </c>
      <c r="M31">
        <f>I43*F33</f>
        <v>6883327968</v>
      </c>
      <c r="N31">
        <f>(1-I43)*F33</f>
        <v>20440996440</v>
      </c>
      <c r="O31" s="6">
        <f>J31/(N31+(M31*(1-I45+(I45*H44))))</f>
        <v>1.4418243197932991E-4</v>
      </c>
      <c r="P31" s="15">
        <f>H44*O31</f>
        <v>1.0285425467505928E-4</v>
      </c>
      <c r="Q31" s="2">
        <f>O31*I48</f>
        <v>0.8910474296322588</v>
      </c>
      <c r="R31" s="2">
        <f>P31*I49</f>
        <v>0.59737751115274429</v>
      </c>
    </row>
    <row r="32" spans="1:18" x14ac:dyDescent="0.2">
      <c r="H32" s="1"/>
      <c r="I32" s="2"/>
      <c r="J32" s="2"/>
      <c r="O32" s="6"/>
      <c r="P32" s="2"/>
      <c r="Q32" s="2"/>
      <c r="R32" s="2"/>
    </row>
    <row r="33" spans="3:11" x14ac:dyDescent="0.2">
      <c r="C33" t="s">
        <v>41</v>
      </c>
      <c r="F33" s="1">
        <v>27324324408</v>
      </c>
      <c r="H33" s="1"/>
      <c r="I33" s="2"/>
      <c r="J33" s="2"/>
      <c r="K33" s="8" t="s">
        <v>79</v>
      </c>
    </row>
    <row r="34" spans="3:11" x14ac:dyDescent="0.2">
      <c r="C34" t="s">
        <v>0</v>
      </c>
      <c r="D34" t="s">
        <v>144</v>
      </c>
      <c r="K34" s="7" t="s">
        <v>78</v>
      </c>
    </row>
    <row r="35" spans="3:11" x14ac:dyDescent="0.2">
      <c r="C35" t="s">
        <v>1</v>
      </c>
      <c r="D35" t="s">
        <v>60</v>
      </c>
      <c r="K35" t="s">
        <v>80</v>
      </c>
    </row>
    <row r="36" spans="3:11" x14ac:dyDescent="0.2">
      <c r="C36" t="s">
        <v>5</v>
      </c>
      <c r="D36" t="s">
        <v>14</v>
      </c>
      <c r="K36" t="s">
        <v>81</v>
      </c>
    </row>
    <row r="37" spans="3:11" x14ac:dyDescent="0.2">
      <c r="C37" t="s">
        <v>6</v>
      </c>
      <c r="D37" t="s">
        <v>7</v>
      </c>
    </row>
    <row r="38" spans="3:11" x14ac:dyDescent="0.2">
      <c r="C38" t="s">
        <v>8</v>
      </c>
      <c r="D38" t="s">
        <v>69</v>
      </c>
      <c r="G38" t="s">
        <v>70</v>
      </c>
      <c r="I38">
        <v>0.34</v>
      </c>
      <c r="K38" s="7" t="s">
        <v>78</v>
      </c>
    </row>
    <row r="39" spans="3:11" x14ac:dyDescent="0.2">
      <c r="C39" t="s">
        <v>9</v>
      </c>
      <c r="D39" t="s">
        <v>85</v>
      </c>
    </row>
    <row r="40" spans="3:11" x14ac:dyDescent="0.2">
      <c r="C40" t="s">
        <v>25</v>
      </c>
      <c r="D40" t="s">
        <v>74</v>
      </c>
    </row>
    <row r="41" spans="3:11" x14ac:dyDescent="0.2">
      <c r="C41">
        <v>2020</v>
      </c>
      <c r="D41" t="s">
        <v>55</v>
      </c>
      <c r="G41">
        <v>1185146</v>
      </c>
      <c r="K41" t="s">
        <v>82</v>
      </c>
    </row>
    <row r="42" spans="3:11" x14ac:dyDescent="0.2">
      <c r="C42">
        <v>2020</v>
      </c>
      <c r="D42" t="s">
        <v>58</v>
      </c>
      <c r="G42">
        <f>484*12</f>
        <v>5808</v>
      </c>
    </row>
    <row r="43" spans="3:11" x14ac:dyDescent="0.2">
      <c r="D43" t="s">
        <v>56</v>
      </c>
      <c r="G43">
        <f>G41*G42</f>
        <v>6883327968</v>
      </c>
      <c r="H43" t="s">
        <v>57</v>
      </c>
      <c r="I43" s="5">
        <f>G43/F33</f>
        <v>0.25191210092589528</v>
      </c>
    </row>
    <row r="44" spans="3:11" x14ac:dyDescent="0.2">
      <c r="D44" t="s">
        <v>130</v>
      </c>
      <c r="H44">
        <f>NEM!C101</f>
        <v>0.71336190729397975</v>
      </c>
      <c r="I44" s="5">
        <f>1-H44</f>
        <v>0.28663809270602025</v>
      </c>
    </row>
    <row r="45" spans="3:11" x14ac:dyDescent="0.2">
      <c r="D45" t="s">
        <v>131</v>
      </c>
      <c r="I45" s="5">
        <v>0.33</v>
      </c>
      <c r="K45" t="s">
        <v>134</v>
      </c>
    </row>
    <row r="46" spans="3:11" x14ac:dyDescent="0.2">
      <c r="C46" t="s">
        <v>27</v>
      </c>
      <c r="D46" t="s">
        <v>86</v>
      </c>
      <c r="K46" t="s">
        <v>152</v>
      </c>
    </row>
    <row r="47" spans="3:11" x14ac:dyDescent="0.2">
      <c r="C47" t="s">
        <v>29</v>
      </c>
      <c r="D47" t="s">
        <v>51</v>
      </c>
      <c r="K47" t="s">
        <v>152</v>
      </c>
    </row>
    <row r="48" spans="3:11" x14ac:dyDescent="0.2">
      <c r="C48" t="s">
        <v>65</v>
      </c>
      <c r="D48" t="s">
        <v>66</v>
      </c>
      <c r="H48" t="s">
        <v>68</v>
      </c>
      <c r="I48">
        <f>515*12</f>
        <v>6180</v>
      </c>
    </row>
    <row r="49" spans="1:11" x14ac:dyDescent="0.2">
      <c r="C49" t="s">
        <v>67</v>
      </c>
      <c r="D49" t="s">
        <v>66</v>
      </c>
      <c r="H49" t="s">
        <v>20</v>
      </c>
      <c r="I49">
        <f>484*12</f>
        <v>5808</v>
      </c>
      <c r="K49" t="s">
        <v>83</v>
      </c>
    </row>
    <row r="50" spans="1:11" x14ac:dyDescent="0.2">
      <c r="K50" t="s">
        <v>83</v>
      </c>
    </row>
    <row r="52" spans="1:11" x14ac:dyDescent="0.2">
      <c r="C52" t="s">
        <v>11</v>
      </c>
    </row>
    <row r="53" spans="1:11" x14ac:dyDescent="0.2">
      <c r="C53" t="s">
        <v>12</v>
      </c>
      <c r="E53" t="s">
        <v>13</v>
      </c>
    </row>
    <row r="54" spans="1:11" x14ac:dyDescent="0.2">
      <c r="C54" t="s">
        <v>59</v>
      </c>
    </row>
    <row r="57" spans="1:11" x14ac:dyDescent="0.2">
      <c r="C57">
        <v>2019</v>
      </c>
      <c r="D57" t="s">
        <v>54</v>
      </c>
      <c r="E57" t="s">
        <v>3</v>
      </c>
      <c r="F57">
        <v>13.15</v>
      </c>
      <c r="G57">
        <v>3.67</v>
      </c>
      <c r="H57" s="1">
        <f>(G57*1000000000)/(F57/100)</f>
        <v>27908745247.148289</v>
      </c>
    </row>
    <row r="58" spans="1:11" x14ac:dyDescent="0.2">
      <c r="C58">
        <v>2019</v>
      </c>
      <c r="D58" t="s">
        <v>54</v>
      </c>
      <c r="E58" t="s">
        <v>4</v>
      </c>
      <c r="F58">
        <v>8.2200000000000006</v>
      </c>
      <c r="G58">
        <v>2.2400000000000002</v>
      </c>
      <c r="H58" s="1">
        <f>(G58*1000000000)/(F58/100)</f>
        <v>27250608272.506081</v>
      </c>
      <c r="I58" s="2">
        <f>(F58-F57)/100*H58</f>
        <v>-1343454987.8345497</v>
      </c>
    </row>
    <row r="62" spans="1:11" s="22" customFormat="1" x14ac:dyDescent="0.2">
      <c r="A62" s="22" t="s">
        <v>54</v>
      </c>
      <c r="E62" s="22" t="s">
        <v>144</v>
      </c>
      <c r="I62" s="22" t="s">
        <v>149</v>
      </c>
    </row>
    <row r="63" spans="1:11" x14ac:dyDescent="0.2">
      <c r="D63" t="s">
        <v>77</v>
      </c>
      <c r="E63">
        <v>5859611494</v>
      </c>
    </row>
    <row r="64" spans="1:11" x14ac:dyDescent="0.2">
      <c r="D64" t="s">
        <v>74</v>
      </c>
    </row>
    <row r="65" spans="4:9" x14ac:dyDescent="0.2">
      <c r="D65" t="s">
        <v>55</v>
      </c>
      <c r="G65">
        <v>302000</v>
      </c>
    </row>
    <row r="66" spans="4:9" x14ac:dyDescent="0.2">
      <c r="D66" t="s">
        <v>58</v>
      </c>
      <c r="G66">
        <f>343*12</f>
        <v>4116</v>
      </c>
    </row>
    <row r="67" spans="4:9" x14ac:dyDescent="0.2">
      <c r="D67" t="s">
        <v>56</v>
      </c>
      <c r="G67">
        <f>G65*G66</f>
        <v>1243032000</v>
      </c>
      <c r="H67" t="s">
        <v>57</v>
      </c>
      <c r="I67" s="5">
        <f>care_non_care_rates!H13</f>
        <v>0</v>
      </c>
    </row>
    <row r="68" spans="4:9" x14ac:dyDescent="0.2">
      <c r="D68" t="s">
        <v>75</v>
      </c>
      <c r="G68" t="s">
        <v>76</v>
      </c>
      <c r="I68">
        <v>0.38</v>
      </c>
    </row>
  </sheetData>
  <hyperlinks>
    <hyperlink ref="K8" r:id="rId1" display="http://www.ecdms.energy.ca.gov/elecbyutil.aspx" xr:uid="{7D35F724-184B-3545-8F30-E1755521EA80}"/>
    <hyperlink ref="K34" r:id="rId2" display="http://www.ecdms.energy.ca.gov/elecbyutil.aspx" xr:uid="{56679E5C-95AA-8B41-8474-896B4B433155}"/>
    <hyperlink ref="K38" r:id="rId3" display="http://www.ecdms.energy.ca.gov/elecbyutil.aspx" xr:uid="{3064F5B5-CAC0-EE4E-BF58-9F29769273E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D63CA-20A0-3840-A126-A3FDAED041F0}">
  <dimension ref="A2:L139"/>
  <sheetViews>
    <sheetView topLeftCell="A2" workbookViewId="0">
      <selection activeCell="E13" sqref="E13"/>
    </sheetView>
  </sheetViews>
  <sheetFormatPr baseColWidth="10" defaultRowHeight="16" x14ac:dyDescent="0.2"/>
  <cols>
    <col min="1" max="1" width="28.1640625" customWidth="1"/>
    <col min="2" max="2" width="34.5" customWidth="1"/>
    <col min="3" max="3" width="27.1640625" customWidth="1"/>
    <col min="4" max="4" width="16.83203125" customWidth="1"/>
    <col min="5" max="5" width="21.1640625" customWidth="1"/>
    <col min="6" max="6" width="20.5" style="25" customWidth="1"/>
    <col min="7" max="7" width="17.6640625" bestFit="1" customWidth="1"/>
    <col min="8" max="8" width="25.5" customWidth="1"/>
    <col min="9" max="9" width="15.5" customWidth="1"/>
    <col min="10" max="10" width="13.33203125" customWidth="1"/>
  </cols>
  <sheetData>
    <row r="2" spans="1:7" x14ac:dyDescent="0.2">
      <c r="A2" t="s">
        <v>84</v>
      </c>
      <c r="B2" t="s">
        <v>153</v>
      </c>
    </row>
    <row r="5" spans="1:7" s="16" customFormat="1" x14ac:dyDescent="0.2">
      <c r="A5" s="16" t="s">
        <v>113</v>
      </c>
      <c r="F5" s="26"/>
    </row>
    <row r="6" spans="1:7" x14ac:dyDescent="0.2">
      <c r="B6">
        <v>2019</v>
      </c>
      <c r="F6" s="25" t="s">
        <v>160</v>
      </c>
    </row>
    <row r="7" spans="1:7" x14ac:dyDescent="0.2">
      <c r="A7">
        <v>1</v>
      </c>
      <c r="B7" t="s">
        <v>41</v>
      </c>
      <c r="C7" s="1">
        <v>28014177400</v>
      </c>
      <c r="D7" s="2"/>
      <c r="F7" s="27" t="s">
        <v>78</v>
      </c>
    </row>
    <row r="8" spans="1:7" x14ac:dyDescent="0.2">
      <c r="A8">
        <v>2</v>
      </c>
      <c r="B8" t="s">
        <v>108</v>
      </c>
      <c r="C8" s="1">
        <v>78071650000</v>
      </c>
      <c r="D8" s="2" t="s">
        <v>110</v>
      </c>
      <c r="E8">
        <f>C7/C8</f>
        <v>0.35882650616452966</v>
      </c>
      <c r="F8" s="34" t="s">
        <v>192</v>
      </c>
    </row>
    <row r="9" spans="1:7" x14ac:dyDescent="0.2">
      <c r="A9">
        <v>3</v>
      </c>
      <c r="B9" t="s">
        <v>118</v>
      </c>
      <c r="C9" s="1">
        <v>0.27400000000000002</v>
      </c>
      <c r="D9" s="2">
        <f>1-C9</f>
        <v>0.72599999999999998</v>
      </c>
      <c r="F9" s="34" t="s">
        <v>192</v>
      </c>
    </row>
    <row r="10" spans="1:7" x14ac:dyDescent="0.2">
      <c r="A10">
        <v>4</v>
      </c>
      <c r="B10" t="s">
        <v>37</v>
      </c>
      <c r="C10">
        <f>care_non_care_rates!E2</f>
        <v>0.25811706994562472</v>
      </c>
      <c r="D10" s="2"/>
      <c r="F10" s="28" t="s">
        <v>154</v>
      </c>
    </row>
    <row r="11" spans="1:7" x14ac:dyDescent="0.2">
      <c r="A11">
        <v>5</v>
      </c>
      <c r="B11" t="s">
        <v>38</v>
      </c>
      <c r="C11">
        <f>care_non_care_rates!F2</f>
        <v>0.16697041853107489</v>
      </c>
      <c r="F11" s="28" t="s">
        <v>154</v>
      </c>
    </row>
    <row r="12" spans="1:7" x14ac:dyDescent="0.2">
      <c r="A12">
        <v>6</v>
      </c>
      <c r="B12" t="s">
        <v>111</v>
      </c>
      <c r="C12">
        <f>C11/C10</f>
        <v>0.64687863753547603</v>
      </c>
      <c r="D12">
        <f>1-C12</f>
        <v>0.35312136246452397</v>
      </c>
      <c r="F12" s="25" t="s">
        <v>157</v>
      </c>
    </row>
    <row r="13" spans="1:7" x14ac:dyDescent="0.2">
      <c r="A13">
        <v>7</v>
      </c>
      <c r="B13" t="s">
        <v>39</v>
      </c>
      <c r="C13" s="1">
        <f>4510.22*1000000</f>
        <v>4510220000</v>
      </c>
      <c r="D13" s="2"/>
      <c r="F13" s="25" t="s">
        <v>156</v>
      </c>
    </row>
    <row r="14" spans="1:7" x14ac:dyDescent="0.2">
      <c r="B14" t="s">
        <v>184</v>
      </c>
      <c r="C14" s="35">
        <v>0.42</v>
      </c>
      <c r="D14" s="2"/>
      <c r="F14" s="25" t="s">
        <v>185</v>
      </c>
      <c r="G14" t="s">
        <v>186</v>
      </c>
    </row>
    <row r="15" spans="1:7" x14ac:dyDescent="0.2">
      <c r="B15" t="s">
        <v>187</v>
      </c>
      <c r="C15" s="35">
        <v>0.6</v>
      </c>
      <c r="D15" s="2"/>
      <c r="F15" s="25" t="s">
        <v>188</v>
      </c>
    </row>
    <row r="16" spans="1:7" x14ac:dyDescent="0.2">
      <c r="A16">
        <v>8</v>
      </c>
      <c r="B16" t="s">
        <v>40</v>
      </c>
      <c r="C16" s="2">
        <f>0.29*C7</f>
        <v>8124111445.999999</v>
      </c>
      <c r="E16">
        <v>0.28999999999999998</v>
      </c>
      <c r="F16" s="25" t="s">
        <v>158</v>
      </c>
    </row>
    <row r="17" spans="1:6" x14ac:dyDescent="0.2">
      <c r="A17">
        <v>9</v>
      </c>
      <c r="B17" t="s">
        <v>28</v>
      </c>
      <c r="C17" s="2">
        <f>(1-0.29)*C7</f>
        <v>19890065954</v>
      </c>
      <c r="D17" s="2"/>
      <c r="F17" s="25" t="s">
        <v>159</v>
      </c>
    </row>
    <row r="18" spans="1:6" x14ac:dyDescent="0.2">
      <c r="C18" s="2"/>
      <c r="D18" s="2"/>
    </row>
    <row r="19" spans="1:6" x14ac:dyDescent="0.2">
      <c r="C19" s="2"/>
    </row>
    <row r="20" spans="1:6" x14ac:dyDescent="0.2">
      <c r="A20">
        <v>10</v>
      </c>
      <c r="B20" t="s">
        <v>126</v>
      </c>
      <c r="C20" s="2">
        <f>C10*C17</f>
        <v>5133965545.0717068</v>
      </c>
      <c r="F20" s="25" t="s">
        <v>161</v>
      </c>
    </row>
    <row r="21" spans="1:6" x14ac:dyDescent="0.2">
      <c r="A21">
        <v>11</v>
      </c>
      <c r="B21" t="s">
        <v>116</v>
      </c>
      <c r="C21" s="2">
        <f>C11*C16</f>
        <v>1356486288.3317158</v>
      </c>
      <c r="F21" s="25" t="s">
        <v>162</v>
      </c>
    </row>
    <row r="22" spans="1:6" x14ac:dyDescent="0.2">
      <c r="B22" t="s">
        <v>183</v>
      </c>
      <c r="C22" s="2">
        <f>0.023*C13*C14*C15</f>
        <v>26141235.119999997</v>
      </c>
      <c r="F22" s="25" t="s">
        <v>189</v>
      </c>
    </row>
    <row r="23" spans="1:6" x14ac:dyDescent="0.2">
      <c r="A23">
        <v>12</v>
      </c>
      <c r="B23" t="s">
        <v>138</v>
      </c>
      <c r="C23" s="2">
        <f>(C20+C22+C21-(D9*C21))/(1-((D9*C16)/(C7)))</f>
        <v>7007047884.8764925</v>
      </c>
      <c r="F23" s="25" t="s">
        <v>163</v>
      </c>
    </row>
    <row r="24" spans="1:6" x14ac:dyDescent="0.2">
      <c r="A24">
        <v>13</v>
      </c>
      <c r="B24" t="s">
        <v>147</v>
      </c>
      <c r="C24" s="2">
        <f>C23/C7</f>
        <v>0.25012506292176517</v>
      </c>
      <c r="F24" s="25" t="s">
        <v>164</v>
      </c>
    </row>
    <row r="25" spans="1:6" x14ac:dyDescent="0.2">
      <c r="A25">
        <v>14</v>
      </c>
      <c r="B25" t="s">
        <v>117</v>
      </c>
      <c r="C25" s="2">
        <f>(C24-C11)*C16*D9</f>
        <v>490454816.35307068</v>
      </c>
      <c r="F25" s="25" t="s">
        <v>148</v>
      </c>
    </row>
    <row r="26" spans="1:6" x14ac:dyDescent="0.2">
      <c r="C26" s="2"/>
      <c r="D26" s="2"/>
    </row>
    <row r="27" spans="1:6" x14ac:dyDescent="0.2">
      <c r="C27" s="2"/>
    </row>
    <row r="29" spans="1:6" x14ac:dyDescent="0.2">
      <c r="A29">
        <v>15</v>
      </c>
      <c r="B29" t="s">
        <v>89</v>
      </c>
      <c r="C29" s="1">
        <f>(C13)/(C13+C7)</f>
        <v>0.13867190049768607</v>
      </c>
      <c r="F29" s="25" t="s">
        <v>165</v>
      </c>
    </row>
    <row r="30" spans="1:6" x14ac:dyDescent="0.2">
      <c r="A30">
        <v>16</v>
      </c>
      <c r="B30" t="s">
        <v>42</v>
      </c>
      <c r="C30" s="16">
        <v>6.7000000000000004E-2</v>
      </c>
      <c r="D30" s="20" t="s">
        <v>141</v>
      </c>
      <c r="E30">
        <v>7.3200000000000001E-2</v>
      </c>
      <c r="F30" s="25" t="s">
        <v>166</v>
      </c>
    </row>
    <row r="31" spans="1:6" x14ac:dyDescent="0.2">
      <c r="A31">
        <v>17</v>
      </c>
      <c r="B31" t="s">
        <v>43</v>
      </c>
      <c r="C31" s="1">
        <f>C30*C13</f>
        <v>302184740</v>
      </c>
      <c r="F31" s="25" t="s">
        <v>167</v>
      </c>
    </row>
    <row r="33" spans="1:12" x14ac:dyDescent="0.2">
      <c r="A33">
        <v>18</v>
      </c>
      <c r="B33" t="s">
        <v>44</v>
      </c>
      <c r="C33" s="33">
        <f>C31+C23</f>
        <v>7309232624.8764925</v>
      </c>
      <c r="F33" s="25" t="s">
        <v>168</v>
      </c>
      <c r="G33" s="2"/>
      <c r="H33" t="s">
        <v>120</v>
      </c>
      <c r="I33" s="25">
        <f>C35*C34</f>
        <v>8124111445.999999</v>
      </c>
    </row>
    <row r="34" spans="1:12" x14ac:dyDescent="0.2">
      <c r="A34">
        <v>19</v>
      </c>
      <c r="B34" t="s">
        <v>45</v>
      </c>
      <c r="C34" s="2">
        <f>C13+C7</f>
        <v>32524397400</v>
      </c>
      <c r="F34" s="25" t="s">
        <v>169</v>
      </c>
      <c r="G34" s="2"/>
      <c r="H34" t="s">
        <v>121</v>
      </c>
      <c r="I34" s="25">
        <f>(1-C35)*C34</f>
        <v>24400285954</v>
      </c>
    </row>
    <row r="35" spans="1:12" x14ac:dyDescent="0.2">
      <c r="A35">
        <v>20</v>
      </c>
      <c r="B35" t="s">
        <v>109</v>
      </c>
      <c r="C35" s="2">
        <f>C16/(C17+C13+C16)</f>
        <v>0.24978514885567102</v>
      </c>
      <c r="F35" s="25" t="s">
        <v>170</v>
      </c>
      <c r="G35" s="2"/>
    </row>
    <row r="36" spans="1:12" x14ac:dyDescent="0.2">
      <c r="A36">
        <v>21</v>
      </c>
      <c r="B36" t="s">
        <v>124</v>
      </c>
      <c r="C36">
        <f>C33/C34</f>
        <v>0.22473076241764567</v>
      </c>
      <c r="F36" s="32" t="s">
        <v>171</v>
      </c>
      <c r="G36" s="14"/>
    </row>
    <row r="37" spans="1:12" x14ac:dyDescent="0.2">
      <c r="C37" s="2"/>
      <c r="F37" s="32"/>
      <c r="G37" s="14"/>
    </row>
    <row r="38" spans="1:12" x14ac:dyDescent="0.2">
      <c r="A38" s="8" t="s">
        <v>135</v>
      </c>
      <c r="D38" s="33" t="s">
        <v>125</v>
      </c>
      <c r="J38" t="s">
        <v>52</v>
      </c>
      <c r="K38" t="s">
        <v>140</v>
      </c>
    </row>
    <row r="39" spans="1:12" x14ac:dyDescent="0.2">
      <c r="B39" t="s">
        <v>46</v>
      </c>
      <c r="C39" s="15">
        <f>(C33-(D9*C36*I33))/(I34+(C12*I33)-(D9*C12*I33))</f>
        <v>0.23156698783615906</v>
      </c>
      <c r="D39" s="2">
        <f>C39*I34</f>
        <v>5650300720.7087212</v>
      </c>
      <c r="F39" s="3" t="s">
        <v>47</v>
      </c>
      <c r="G39" s="8" t="s">
        <v>22</v>
      </c>
      <c r="H39" s="21">
        <f>C10-C39</f>
        <v>2.6550082109465661E-2</v>
      </c>
      <c r="J39">
        <v>460</v>
      </c>
      <c r="K39">
        <f>J39*H39*12</f>
        <v>146.55645324425043</v>
      </c>
    </row>
    <row r="40" spans="1:12" x14ac:dyDescent="0.2">
      <c r="B40" t="s">
        <v>48</v>
      </c>
      <c r="C40" s="2">
        <f>C12*C39</f>
        <v>0.14979573758964873</v>
      </c>
      <c r="D40" s="2">
        <f>C40*I33</f>
        <v>1216957266.3140776</v>
      </c>
      <c r="F40" s="3"/>
      <c r="G40" s="8" t="s">
        <v>20</v>
      </c>
      <c r="H40" s="21">
        <f>C11-C40</f>
        <v>1.7174680941426157E-2</v>
      </c>
      <c r="J40">
        <v>493</v>
      </c>
      <c r="K40">
        <f>J40*H40*12</f>
        <v>101.60541244947714</v>
      </c>
    </row>
    <row r="41" spans="1:12" x14ac:dyDescent="0.2">
      <c r="B41" t="s">
        <v>123</v>
      </c>
      <c r="C41" s="2">
        <f>(1-C9)*I33*(C36-C40)</f>
        <v>441974637.85369384</v>
      </c>
      <c r="D41" s="2"/>
      <c r="E41" s="2"/>
      <c r="F41" s="3"/>
      <c r="G41" s="8" t="s">
        <v>114</v>
      </c>
      <c r="H41" s="21">
        <f>C24-C36</f>
        <v>2.5394300504119505E-2</v>
      </c>
    </row>
    <row r="42" spans="1:12" x14ac:dyDescent="0.2">
      <c r="C42" s="13"/>
      <c r="D42" s="33">
        <f>D39+D40+C41</f>
        <v>7309232624.8764925</v>
      </c>
      <c r="E42" s="33" t="s">
        <v>112</v>
      </c>
      <c r="H42" s="2"/>
    </row>
    <row r="43" spans="1:12" x14ac:dyDescent="0.2">
      <c r="D43" s="2"/>
      <c r="H43" s="2"/>
    </row>
    <row r="44" spans="1:12" x14ac:dyDescent="0.2">
      <c r="B44" t="s">
        <v>92</v>
      </c>
      <c r="C44">
        <v>493</v>
      </c>
      <c r="F44" s="25" t="s">
        <v>172</v>
      </c>
    </row>
    <row r="45" spans="1:12" x14ac:dyDescent="0.2">
      <c r="B45" t="s">
        <v>94</v>
      </c>
      <c r="C45">
        <v>460</v>
      </c>
      <c r="F45" s="25" t="s">
        <v>172</v>
      </c>
    </row>
    <row r="46" spans="1:12" s="16" customFormat="1" x14ac:dyDescent="0.2">
      <c r="A46" s="17" t="s">
        <v>54</v>
      </c>
      <c r="B46" s="16">
        <v>2019</v>
      </c>
      <c r="C46" s="16">
        <v>0.18369679999999999</v>
      </c>
      <c r="D46" s="18">
        <v>7530000000</v>
      </c>
      <c r="E46" s="18">
        <v>0.22201319999999999</v>
      </c>
      <c r="F46" s="29">
        <v>142000000</v>
      </c>
      <c r="G46" s="18">
        <v>1720000000</v>
      </c>
      <c r="H46" s="18">
        <v>0.2473591</v>
      </c>
      <c r="I46" s="16">
        <v>0.15580160000000001</v>
      </c>
      <c r="J46" s="16">
        <v>0.15339120000000001</v>
      </c>
      <c r="K46" s="19"/>
    </row>
    <row r="48" spans="1:12" x14ac:dyDescent="0.2">
      <c r="D48" s="1"/>
      <c r="E48" s="1"/>
      <c r="F48" s="30"/>
      <c r="G48" s="1"/>
      <c r="H48" s="1"/>
      <c r="I48" s="1"/>
      <c r="J48" s="1"/>
      <c r="K48" s="1"/>
      <c r="L48" s="1"/>
    </row>
    <row r="49" spans="1:12" x14ac:dyDescent="0.2">
      <c r="B49">
        <v>2019</v>
      </c>
      <c r="F49" s="25" t="s">
        <v>160</v>
      </c>
      <c r="L49" s="1"/>
    </row>
    <row r="50" spans="1:12" x14ac:dyDescent="0.2">
      <c r="A50">
        <v>1</v>
      </c>
      <c r="B50" t="s">
        <v>41</v>
      </c>
      <c r="C50" s="1">
        <v>5859611494</v>
      </c>
      <c r="D50" s="2"/>
      <c r="F50" s="27" t="s">
        <v>78</v>
      </c>
      <c r="L50" s="1"/>
    </row>
    <row r="51" spans="1:12" x14ac:dyDescent="0.2">
      <c r="A51">
        <v>2</v>
      </c>
      <c r="B51" t="s">
        <v>108</v>
      </c>
      <c r="C51" s="1"/>
      <c r="D51" s="2"/>
      <c r="F51" s="34" t="s">
        <v>192</v>
      </c>
      <c r="L51" s="1"/>
    </row>
    <row r="52" spans="1:12" x14ac:dyDescent="0.2">
      <c r="A52">
        <v>3</v>
      </c>
      <c r="B52" t="s">
        <v>118</v>
      </c>
      <c r="C52" s="1">
        <v>0.28599999999999998</v>
      </c>
      <c r="D52" s="2">
        <f>1-C52</f>
        <v>0.71399999999999997</v>
      </c>
      <c r="F52" s="34" t="s">
        <v>192</v>
      </c>
      <c r="L52" s="1"/>
    </row>
    <row r="53" spans="1:12" x14ac:dyDescent="0.2">
      <c r="A53">
        <v>4</v>
      </c>
      <c r="B53" t="s">
        <v>37</v>
      </c>
      <c r="C53">
        <f>care_non_care_rates!E10</f>
        <v>0.29164741349773121</v>
      </c>
      <c r="F53" s="28" t="s">
        <v>173</v>
      </c>
    </row>
    <row r="54" spans="1:12" x14ac:dyDescent="0.2">
      <c r="A54">
        <v>5</v>
      </c>
      <c r="B54" t="s">
        <v>38</v>
      </c>
      <c r="C54">
        <f>care_non_care_rates!F10</f>
        <v>0.18343514463854799</v>
      </c>
      <c r="F54" s="28" t="s">
        <v>173</v>
      </c>
    </row>
    <row r="55" spans="1:12" x14ac:dyDescent="0.2">
      <c r="A55">
        <v>6</v>
      </c>
      <c r="B55" t="s">
        <v>111</v>
      </c>
      <c r="C55">
        <f>C54/C53</f>
        <v>0.62896201423015519</v>
      </c>
      <c r="D55">
        <f>1-C55</f>
        <v>0.37103798576984481</v>
      </c>
      <c r="F55" s="25" t="s">
        <v>157</v>
      </c>
    </row>
    <row r="56" spans="1:12" x14ac:dyDescent="0.2">
      <c r="A56">
        <v>7</v>
      </c>
      <c r="B56" t="s">
        <v>39</v>
      </c>
      <c r="C56" s="1">
        <v>1670000000</v>
      </c>
      <c r="F56" s="25" t="s">
        <v>156</v>
      </c>
    </row>
    <row r="57" spans="1:12" x14ac:dyDescent="0.2">
      <c r="B57" t="s">
        <v>184</v>
      </c>
      <c r="C57" s="36">
        <v>0.45</v>
      </c>
      <c r="D57" s="2"/>
      <c r="F57" s="25" t="s">
        <v>185</v>
      </c>
      <c r="G57" t="s">
        <v>186</v>
      </c>
    </row>
    <row r="58" spans="1:12" x14ac:dyDescent="0.2">
      <c r="B58" t="s">
        <v>187</v>
      </c>
      <c r="C58" s="36">
        <v>0.6</v>
      </c>
      <c r="D58" s="2"/>
      <c r="F58" s="25" t="s">
        <v>188</v>
      </c>
    </row>
    <row r="59" spans="1:12" x14ac:dyDescent="0.2">
      <c r="A59">
        <v>8</v>
      </c>
      <c r="B59" t="s">
        <v>40</v>
      </c>
      <c r="C59" s="2">
        <f>C50*E59</f>
        <v>1242823597.8774002</v>
      </c>
      <c r="E59" s="2">
        <v>0.21210000000000001</v>
      </c>
      <c r="F59" s="25" t="s">
        <v>174</v>
      </c>
    </row>
    <row r="60" spans="1:12" x14ac:dyDescent="0.2">
      <c r="A60">
        <v>9</v>
      </c>
      <c r="B60" t="s">
        <v>28</v>
      </c>
      <c r="C60" s="2">
        <f>(1-E59)*C50</f>
        <v>4616787896.1226006</v>
      </c>
      <c r="F60" s="25" t="s">
        <v>175</v>
      </c>
    </row>
    <row r="61" spans="1:12" x14ac:dyDescent="0.2">
      <c r="C61" s="2"/>
    </row>
    <row r="62" spans="1:12" x14ac:dyDescent="0.2">
      <c r="B62" t="s">
        <v>106</v>
      </c>
      <c r="C62" s="2">
        <f>(C67-C54)*C59</f>
        <v>2.0827657724737175E+18</v>
      </c>
      <c r="E62" s="12">
        <v>104986999</v>
      </c>
      <c r="F62" s="25" t="s">
        <v>155</v>
      </c>
    </row>
    <row r="63" spans="1:12" x14ac:dyDescent="0.2">
      <c r="C63" s="2"/>
    </row>
    <row r="64" spans="1:12" x14ac:dyDescent="0.2">
      <c r="A64">
        <v>10</v>
      </c>
      <c r="B64" t="s">
        <v>115</v>
      </c>
      <c r="C64" s="2">
        <f>C53*C60</f>
        <v>1346474248.5717885</v>
      </c>
      <c r="D64" s="4">
        <v>1020000000</v>
      </c>
      <c r="F64" s="25" t="s">
        <v>161</v>
      </c>
    </row>
    <row r="65" spans="1:9" x14ac:dyDescent="0.2">
      <c r="A65">
        <v>11</v>
      </c>
      <c r="B65" t="s">
        <v>116</v>
      </c>
      <c r="C65" s="2">
        <f>C54*C59</f>
        <v>227977526.43684149</v>
      </c>
      <c r="D65" s="4"/>
      <c r="F65" s="25" t="s">
        <v>162</v>
      </c>
    </row>
    <row r="66" spans="1:9" x14ac:dyDescent="0.2">
      <c r="B66" t="s">
        <v>183</v>
      </c>
      <c r="C66" s="2">
        <f>0.023*C56*C57*C58</f>
        <v>10370700</v>
      </c>
      <c r="D66" s="4"/>
    </row>
    <row r="67" spans="1:9" x14ac:dyDescent="0.2">
      <c r="A67">
        <v>12</v>
      </c>
      <c r="B67" t="s">
        <v>138</v>
      </c>
      <c r="C67" s="2">
        <f>(C64+C66+C65-(D52*C65))/(1-((D52*C59)/(C50)))</f>
        <v>1675833783.8602514</v>
      </c>
      <c r="D67" s="4"/>
      <c r="F67" s="25" t="s">
        <v>176</v>
      </c>
    </row>
    <row r="68" spans="1:9" x14ac:dyDescent="0.2">
      <c r="A68">
        <v>13</v>
      </c>
      <c r="B68" t="s">
        <v>139</v>
      </c>
      <c r="C68" s="2">
        <f>C67/C50</f>
        <v>0.2859974224530476</v>
      </c>
      <c r="D68" s="4"/>
      <c r="F68" s="25" t="s">
        <v>164</v>
      </c>
    </row>
    <row r="69" spans="1:9" x14ac:dyDescent="0.2">
      <c r="A69">
        <v>14</v>
      </c>
      <c r="B69" t="s">
        <v>117</v>
      </c>
      <c r="C69" s="2">
        <f>(C68-C54)*C59*D52</f>
        <v>91011308.85162136</v>
      </c>
      <c r="D69" s="4"/>
      <c r="F69" s="25" t="s">
        <v>148</v>
      </c>
    </row>
    <row r="70" spans="1:9" x14ac:dyDescent="0.2">
      <c r="B70" t="s">
        <v>136</v>
      </c>
      <c r="C70" s="2">
        <f>C64+C65+C69</f>
        <v>1665463083.8602514</v>
      </c>
      <c r="D70" s="4"/>
    </row>
    <row r="71" spans="1:9" x14ac:dyDescent="0.2">
      <c r="C71" s="2"/>
    </row>
    <row r="72" spans="1:9" x14ac:dyDescent="0.2">
      <c r="C72" s="2"/>
    </row>
    <row r="73" spans="1:9" x14ac:dyDescent="0.2">
      <c r="A73">
        <v>15</v>
      </c>
      <c r="B73" t="s">
        <v>89</v>
      </c>
      <c r="C73" s="1">
        <f>C56/(C56+C50)</f>
        <v>0.22179099165086352</v>
      </c>
      <c r="F73" s="25" t="s">
        <v>165</v>
      </c>
    </row>
    <row r="74" spans="1:9" x14ac:dyDescent="0.2">
      <c r="A74">
        <v>16</v>
      </c>
      <c r="B74" t="s">
        <v>42</v>
      </c>
      <c r="C74" s="16">
        <v>7.3499999999999996E-2</v>
      </c>
      <c r="D74" t="s">
        <v>137</v>
      </c>
      <c r="F74" s="25" t="s">
        <v>166</v>
      </c>
    </row>
    <row r="75" spans="1:9" x14ac:dyDescent="0.2">
      <c r="A75">
        <v>17</v>
      </c>
      <c r="B75" t="s">
        <v>43</v>
      </c>
      <c r="C75" s="1">
        <f>C74*C56</f>
        <v>122745000</v>
      </c>
      <c r="F75" s="25" t="s">
        <v>167</v>
      </c>
    </row>
    <row r="76" spans="1:9" x14ac:dyDescent="0.2">
      <c r="C76" s="1"/>
    </row>
    <row r="77" spans="1:9" x14ac:dyDescent="0.2">
      <c r="A77">
        <v>18</v>
      </c>
      <c r="B77" t="s">
        <v>44</v>
      </c>
      <c r="C77" s="33">
        <f>C75+C67</f>
        <v>1798578783.8602514</v>
      </c>
      <c r="F77" s="25" t="s">
        <v>168</v>
      </c>
      <c r="H77" t="s">
        <v>120</v>
      </c>
      <c r="I77" s="25">
        <f>C79*C78</f>
        <v>1242823597.8773999</v>
      </c>
    </row>
    <row r="78" spans="1:9" x14ac:dyDescent="0.2">
      <c r="A78">
        <v>19</v>
      </c>
      <c r="B78" t="s">
        <v>45</v>
      </c>
      <c r="C78" s="2">
        <f>C56+C50</f>
        <v>7529611494</v>
      </c>
      <c r="F78" s="25" t="s">
        <v>169</v>
      </c>
      <c r="H78" t="s">
        <v>121</v>
      </c>
      <c r="I78" s="25">
        <f>(1-C79)*C78</f>
        <v>6286787896.1225996</v>
      </c>
    </row>
    <row r="79" spans="1:9" x14ac:dyDescent="0.2">
      <c r="A79">
        <v>20</v>
      </c>
      <c r="B79" t="s">
        <v>109</v>
      </c>
      <c r="C79" s="2">
        <f>C59/(C60+C56+C59)</f>
        <v>0.16505813067085184</v>
      </c>
      <c r="F79" s="25" t="s">
        <v>170</v>
      </c>
      <c r="G79" s="2"/>
    </row>
    <row r="80" spans="1:9" x14ac:dyDescent="0.2">
      <c r="A80">
        <v>21</v>
      </c>
      <c r="B80" t="s">
        <v>124</v>
      </c>
      <c r="C80">
        <f>C77/C78</f>
        <v>0.2388674084039337</v>
      </c>
      <c r="F80" s="32" t="s">
        <v>171</v>
      </c>
      <c r="G80" s="2"/>
    </row>
    <row r="81" spans="1:11" x14ac:dyDescent="0.2">
      <c r="C81" s="2"/>
      <c r="F81" s="32"/>
      <c r="G81" s="2"/>
    </row>
    <row r="82" spans="1:11" x14ac:dyDescent="0.2">
      <c r="A82" s="8" t="s">
        <v>135</v>
      </c>
      <c r="D82" s="2" t="s">
        <v>125</v>
      </c>
      <c r="G82" s="14"/>
    </row>
    <row r="83" spans="1:11" x14ac:dyDescent="0.2">
      <c r="B83" t="s">
        <v>46</v>
      </c>
      <c r="C83" s="15">
        <f>(C77-(D52*C80*I77))/(I78+(C55*I77)-(D52*C55*I77))</f>
        <v>0.24370630562733242</v>
      </c>
      <c r="D83" s="2">
        <f>C83*I78</f>
        <v>1532129852.4266684</v>
      </c>
      <c r="F83" s="25" t="s">
        <v>47</v>
      </c>
      <c r="J83" t="s">
        <v>52</v>
      </c>
    </row>
    <row r="84" spans="1:11" x14ac:dyDescent="0.2">
      <c r="B84" t="s">
        <v>48</v>
      </c>
      <c r="C84" s="2">
        <f>C55*C83</f>
        <v>0.15328200886795681</v>
      </c>
      <c r="D84" s="2">
        <f>C84*I77</f>
        <v>190502497.75114959</v>
      </c>
      <c r="G84" t="s">
        <v>22</v>
      </c>
      <c r="H84" s="2">
        <f>C53-C83</f>
        <v>4.7941107870398791E-2</v>
      </c>
      <c r="J84">
        <f>C89</f>
        <v>400</v>
      </c>
      <c r="K84">
        <f>J84*H84*12</f>
        <v>230.1173177779142</v>
      </c>
    </row>
    <row r="85" spans="1:11" x14ac:dyDescent="0.2">
      <c r="B85" t="s">
        <v>123</v>
      </c>
      <c r="C85" s="2">
        <f>(1-C52)*I77*(C80-C84)</f>
        <v>75946433.682433367</v>
      </c>
      <c r="D85" s="2"/>
      <c r="E85" s="2"/>
      <c r="G85" t="s">
        <v>20</v>
      </c>
      <c r="H85" s="2">
        <f>C54-C84</f>
        <v>3.0153135770591172E-2</v>
      </c>
      <c r="J85">
        <f>C88</f>
        <v>343</v>
      </c>
      <c r="K85">
        <f>J85*H85*12</f>
        <v>124.11030683175326</v>
      </c>
    </row>
    <row r="86" spans="1:11" x14ac:dyDescent="0.2">
      <c r="C86" s="2"/>
      <c r="D86" s="33">
        <f>D83+D84+C85</f>
        <v>1798578783.8602514</v>
      </c>
      <c r="E86" s="2" t="s">
        <v>112</v>
      </c>
      <c r="G86" t="s">
        <v>114</v>
      </c>
      <c r="H86" s="5">
        <f>C68-C80</f>
        <v>4.7130014049113905E-2</v>
      </c>
    </row>
    <row r="87" spans="1:11" x14ac:dyDescent="0.2">
      <c r="D87" s="2"/>
      <c r="H87" s="5"/>
    </row>
    <row r="88" spans="1:11" x14ac:dyDescent="0.2">
      <c r="B88" t="s">
        <v>92</v>
      </c>
      <c r="C88">
        <v>343</v>
      </c>
      <c r="F88" s="25" t="s">
        <v>93</v>
      </c>
      <c r="H88" s="5"/>
    </row>
    <row r="89" spans="1:11" x14ac:dyDescent="0.2">
      <c r="B89" t="s">
        <v>94</v>
      </c>
      <c r="C89">
        <v>400</v>
      </c>
    </row>
    <row r="92" spans="1:11" s="16" customFormat="1" x14ac:dyDescent="0.2">
      <c r="A92" s="16" t="s">
        <v>53</v>
      </c>
      <c r="B92" s="16" t="s">
        <v>87</v>
      </c>
      <c r="C92" s="16" t="s">
        <v>30</v>
      </c>
      <c r="D92" s="16" t="s">
        <v>31</v>
      </c>
      <c r="E92" s="16" t="s">
        <v>32</v>
      </c>
      <c r="F92" s="26" t="s">
        <v>33</v>
      </c>
    </row>
    <row r="93" spans="1:11" x14ac:dyDescent="0.2">
      <c r="B93">
        <v>2019</v>
      </c>
      <c r="C93">
        <v>0.15092059999999999</v>
      </c>
      <c r="D93" s="4">
        <v>30700000000</v>
      </c>
      <c r="E93" s="4">
        <v>0.1095831</v>
      </c>
      <c r="F93" s="31">
        <v>343000000</v>
      </c>
      <c r="G93" t="s">
        <v>34</v>
      </c>
      <c r="H93" t="s">
        <v>35</v>
      </c>
      <c r="I93" t="s">
        <v>36</v>
      </c>
      <c r="J93" t="s">
        <v>88</v>
      </c>
    </row>
    <row r="94" spans="1:11" s="9" customFormat="1" x14ac:dyDescent="0.2">
      <c r="A94"/>
      <c r="B94"/>
      <c r="C94"/>
      <c r="D94"/>
      <c r="E94"/>
      <c r="F94" s="25"/>
      <c r="G94" s="4">
        <v>5710000000</v>
      </c>
      <c r="H94" s="4">
        <v>0.2004196</v>
      </c>
      <c r="I94">
        <v>0.1429713</v>
      </c>
      <c r="J94">
        <v>0.1383421</v>
      </c>
    </row>
    <row r="95" spans="1:11" x14ac:dyDescent="0.2">
      <c r="B95">
        <v>2019</v>
      </c>
      <c r="E95" t="s">
        <v>91</v>
      </c>
    </row>
    <row r="96" spans="1:11" x14ac:dyDescent="0.2">
      <c r="A96">
        <v>1</v>
      </c>
      <c r="B96" t="s">
        <v>41</v>
      </c>
      <c r="C96" s="1">
        <v>27324324408</v>
      </c>
      <c r="D96" s="2"/>
      <c r="F96" s="27" t="s">
        <v>78</v>
      </c>
    </row>
    <row r="97" spans="1:7" x14ac:dyDescent="0.2">
      <c r="A97">
        <v>2</v>
      </c>
      <c r="B97" t="s">
        <v>177</v>
      </c>
      <c r="C97" s="1" t="s">
        <v>178</v>
      </c>
      <c r="D97" s="2"/>
      <c r="F97" s="34" t="s">
        <v>192</v>
      </c>
    </row>
    <row r="98" spans="1:7" x14ac:dyDescent="0.2">
      <c r="A98">
        <v>3</v>
      </c>
      <c r="B98" t="s">
        <v>119</v>
      </c>
      <c r="C98" s="1">
        <v>0.28599999999999998</v>
      </c>
      <c r="D98" s="2">
        <f>1-C98</f>
        <v>0.71399999999999997</v>
      </c>
      <c r="F98" s="34" t="s">
        <v>192</v>
      </c>
    </row>
    <row r="99" spans="1:7" x14ac:dyDescent="0.2">
      <c r="A99">
        <v>4</v>
      </c>
      <c r="B99" t="s">
        <v>37</v>
      </c>
      <c r="C99">
        <f>care_non_care_rates!E6</f>
        <v>0.21156251488495448</v>
      </c>
      <c r="F99" s="34" t="s">
        <v>179</v>
      </c>
    </row>
    <row r="100" spans="1:7" x14ac:dyDescent="0.2">
      <c r="A100">
        <v>5</v>
      </c>
      <c r="B100" t="s">
        <v>38</v>
      </c>
      <c r="C100">
        <f>care_non_care_rates!F6</f>
        <v>0.15092063913024212</v>
      </c>
      <c r="F100" s="34" t="s">
        <v>179</v>
      </c>
    </row>
    <row r="101" spans="1:7" x14ac:dyDescent="0.2">
      <c r="A101">
        <v>6</v>
      </c>
      <c r="B101" t="s">
        <v>90</v>
      </c>
      <c r="C101">
        <f>C100/C99</f>
        <v>0.71336190729397975</v>
      </c>
      <c r="D101">
        <f>1-C101</f>
        <v>0.28663809270602025</v>
      </c>
      <c r="F101" s="25" t="s">
        <v>157</v>
      </c>
    </row>
    <row r="102" spans="1:7" x14ac:dyDescent="0.2">
      <c r="A102">
        <v>7</v>
      </c>
      <c r="B102" t="s">
        <v>39</v>
      </c>
      <c r="C102" s="1">
        <v>3363000000</v>
      </c>
      <c r="F102" s="25" t="s">
        <v>156</v>
      </c>
    </row>
    <row r="103" spans="1:7" x14ac:dyDescent="0.2">
      <c r="B103" t="s">
        <v>184</v>
      </c>
      <c r="C103" s="35">
        <v>0.42</v>
      </c>
      <c r="D103" s="2"/>
      <c r="F103" s="25" t="s">
        <v>185</v>
      </c>
      <c r="G103" t="s">
        <v>186</v>
      </c>
    </row>
    <row r="104" spans="1:7" x14ac:dyDescent="0.2">
      <c r="B104" t="s">
        <v>187</v>
      </c>
      <c r="C104" s="35">
        <v>0.6</v>
      </c>
      <c r="D104" s="2"/>
      <c r="F104" s="25" t="s">
        <v>188</v>
      </c>
    </row>
    <row r="105" spans="1:7" x14ac:dyDescent="0.2">
      <c r="A105">
        <v>8</v>
      </c>
      <c r="B105" t="s">
        <v>40</v>
      </c>
      <c r="C105" s="2">
        <f>C96*E105</f>
        <v>6882997318.3752003</v>
      </c>
      <c r="E105" s="2">
        <v>0.25190000000000001</v>
      </c>
      <c r="F105" s="25" t="s">
        <v>180</v>
      </c>
    </row>
    <row r="106" spans="1:7" x14ac:dyDescent="0.2">
      <c r="A106">
        <v>9</v>
      </c>
      <c r="B106" t="s">
        <v>28</v>
      </c>
      <c r="C106" s="2">
        <f>(1-E105)*C96</f>
        <v>20441327089.624798</v>
      </c>
      <c r="F106" s="25" t="s">
        <v>181</v>
      </c>
    </row>
    <row r="107" spans="1:7" x14ac:dyDescent="0.2">
      <c r="B107" t="s">
        <v>106</v>
      </c>
      <c r="C107" s="2">
        <f>(C113-C100)*C105</f>
        <v>386719404.07288969</v>
      </c>
      <c r="E107" s="12">
        <v>365302843</v>
      </c>
      <c r="F107" s="25" t="s">
        <v>107</v>
      </c>
    </row>
    <row r="108" spans="1:7" x14ac:dyDescent="0.2">
      <c r="C108" s="2"/>
    </row>
    <row r="109" spans="1:7" x14ac:dyDescent="0.2">
      <c r="A109">
        <v>10</v>
      </c>
      <c r="B109" t="s">
        <v>182</v>
      </c>
      <c r="C109" s="2">
        <f>C99*C106</f>
        <v>4324618566.6669693</v>
      </c>
      <c r="D109" s="4">
        <v>1020000000</v>
      </c>
      <c r="F109" s="25" t="s">
        <v>161</v>
      </c>
    </row>
    <row r="110" spans="1:7" x14ac:dyDescent="0.2">
      <c r="A110">
        <v>11</v>
      </c>
      <c r="B110" t="s">
        <v>116</v>
      </c>
      <c r="C110" s="2">
        <f>C100*C105</f>
        <v>1038786354.4209278</v>
      </c>
      <c r="D110" s="4"/>
      <c r="F110" s="25" t="s">
        <v>162</v>
      </c>
    </row>
    <row r="111" spans="1:7" x14ac:dyDescent="0.2">
      <c r="B111" t="s">
        <v>183</v>
      </c>
      <c r="C111" s="2">
        <f>C102*C103*C104*0.023</f>
        <v>19491948</v>
      </c>
      <c r="D111" s="4"/>
    </row>
    <row r="112" spans="1:7" x14ac:dyDescent="0.2">
      <c r="A112">
        <v>12</v>
      </c>
      <c r="B112" t="s">
        <v>138</v>
      </c>
      <c r="C112" s="2">
        <f>(C109+C111+C110-(D98*C110))/(1-((D98*C105)/(C96)))</f>
        <v>5659014523.5959406</v>
      </c>
      <c r="D112" s="4"/>
      <c r="F112" s="25" t="s">
        <v>176</v>
      </c>
    </row>
    <row r="113" spans="1:10" x14ac:dyDescent="0.2">
      <c r="A113">
        <v>13</v>
      </c>
      <c r="B113" t="s">
        <v>139</v>
      </c>
      <c r="C113" s="2">
        <f>C112/C96</f>
        <v>0.20710537757848818</v>
      </c>
      <c r="D113" s="4"/>
      <c r="F113" s="25" t="s">
        <v>164</v>
      </c>
    </row>
    <row r="114" spans="1:10" x14ac:dyDescent="0.2">
      <c r="A114">
        <v>14</v>
      </c>
      <c r="B114" t="s">
        <v>117</v>
      </c>
      <c r="C114" s="2">
        <f>(C113-C100)*C105*D98</f>
        <v>276117654.50804323</v>
      </c>
      <c r="F114" s="25" t="s">
        <v>148</v>
      </c>
    </row>
    <row r="115" spans="1:10" x14ac:dyDescent="0.2">
      <c r="C115" s="2"/>
    </row>
    <row r="116" spans="1:10" x14ac:dyDescent="0.2">
      <c r="C116" s="2"/>
    </row>
    <row r="117" spans="1:10" x14ac:dyDescent="0.2">
      <c r="C117" s="2"/>
    </row>
    <row r="118" spans="1:10" x14ac:dyDescent="0.2">
      <c r="A118">
        <v>15</v>
      </c>
      <c r="B118" t="s">
        <v>89</v>
      </c>
      <c r="C118" s="10">
        <f>C102/(C102+C96)</f>
        <v>0.1095892217675154</v>
      </c>
      <c r="F118" s="25" t="s">
        <v>165</v>
      </c>
    </row>
    <row r="119" spans="1:10" x14ac:dyDescent="0.2">
      <c r="A119">
        <v>16</v>
      </c>
      <c r="B119" t="s">
        <v>42</v>
      </c>
      <c r="C119" s="16">
        <v>6.7750000000000005E-2</v>
      </c>
      <c r="F119" s="25" t="s">
        <v>166</v>
      </c>
    </row>
    <row r="120" spans="1:10" x14ac:dyDescent="0.2">
      <c r="A120">
        <v>17</v>
      </c>
      <c r="B120" t="s">
        <v>43</v>
      </c>
      <c r="C120" s="1">
        <f>C119*C102</f>
        <v>227843250.00000003</v>
      </c>
      <c r="F120" s="25" t="s">
        <v>167</v>
      </c>
    </row>
    <row r="121" spans="1:10" x14ac:dyDescent="0.2">
      <c r="I121" s="25"/>
    </row>
    <row r="122" spans="1:10" x14ac:dyDescent="0.2">
      <c r="A122">
        <v>18</v>
      </c>
      <c r="B122" t="s">
        <v>44</v>
      </c>
      <c r="C122" s="33">
        <f>C120+C112</f>
        <v>5886857773.5959406</v>
      </c>
      <c r="F122" s="25" t="s">
        <v>168</v>
      </c>
      <c r="H122" t="s">
        <v>120</v>
      </c>
      <c r="I122" s="25">
        <f>C124*C123</f>
        <v>6882997318.3752003</v>
      </c>
    </row>
    <row r="123" spans="1:10" x14ac:dyDescent="0.2">
      <c r="A123">
        <v>19</v>
      </c>
      <c r="B123" t="s">
        <v>45</v>
      </c>
      <c r="C123" s="2">
        <f>C102+C96</f>
        <v>30687324408</v>
      </c>
      <c r="F123" s="25" t="s">
        <v>169</v>
      </c>
      <c r="G123">
        <f>D124*D123</f>
        <v>0</v>
      </c>
      <c r="H123" t="s">
        <v>121</v>
      </c>
      <c r="I123" s="25">
        <f>(1-C124)*C123</f>
        <v>23804327089.624798</v>
      </c>
    </row>
    <row r="124" spans="1:10" x14ac:dyDescent="0.2">
      <c r="A124">
        <v>20</v>
      </c>
      <c r="B124" t="s">
        <v>109</v>
      </c>
      <c r="C124" s="2">
        <f>C105/(C106+C102+C105)</f>
        <v>0.22429447503676289</v>
      </c>
      <c r="F124" s="25" t="s">
        <v>170</v>
      </c>
      <c r="G124">
        <f>(1-D124)*D123</f>
        <v>0</v>
      </c>
    </row>
    <row r="125" spans="1:10" x14ac:dyDescent="0.2">
      <c r="A125">
        <v>21</v>
      </c>
      <c r="B125" t="s">
        <v>124</v>
      </c>
      <c r="C125">
        <f>C122/C123</f>
        <v>0.19183353020054339</v>
      </c>
      <c r="F125" s="32" t="s">
        <v>171</v>
      </c>
    </row>
    <row r="126" spans="1:10" x14ac:dyDescent="0.2">
      <c r="C126" s="2"/>
      <c r="D126" s="2" t="s">
        <v>125</v>
      </c>
      <c r="F126" s="25" t="s">
        <v>47</v>
      </c>
    </row>
    <row r="127" spans="1:10" x14ac:dyDescent="0.2">
      <c r="A127" s="8" t="s">
        <v>135</v>
      </c>
      <c r="D127" s="2">
        <f>C127*I123</f>
        <v>0</v>
      </c>
      <c r="G127" t="s">
        <v>22</v>
      </c>
      <c r="H127" s="5">
        <f>C99-C128</f>
        <v>1.5435071914437964E-2</v>
      </c>
      <c r="I127">
        <v>515</v>
      </c>
      <c r="J127" s="2">
        <f>I127*12*H127</f>
        <v>95.388744431226627</v>
      </c>
    </row>
    <row r="128" spans="1:10" x14ac:dyDescent="0.2">
      <c r="B128" t="s">
        <v>46</v>
      </c>
      <c r="C128" s="15">
        <f>(C122-(D98*C125*I122))/(I123+(C101*I122)-(D98*C101*I122))</f>
        <v>0.19612744297051651</v>
      </c>
      <c r="D128" s="2">
        <f>C128*I123</f>
        <v>4668681803.7219086</v>
      </c>
      <c r="G128" t="s">
        <v>20</v>
      </c>
      <c r="H128" s="5">
        <f>C100-C129</f>
        <v>1.1010792340103215E-2</v>
      </c>
      <c r="I128">
        <v>484</v>
      </c>
      <c r="J128" s="2">
        <f>I128*12*H128</f>
        <v>63.950681911319471</v>
      </c>
    </row>
    <row r="129" spans="2:9" x14ac:dyDescent="0.2">
      <c r="B129" t="s">
        <v>48</v>
      </c>
      <c r="C129" s="2">
        <f>C101*C128</f>
        <v>0.1399098467901389</v>
      </c>
      <c r="D129" s="2">
        <f>C129*I122</f>
        <v>962999100.2708112</v>
      </c>
      <c r="F129" s="25" t="s">
        <v>93</v>
      </c>
      <c r="G129" t="s">
        <v>114</v>
      </c>
      <c r="H129" s="13">
        <f>C113-C125</f>
        <v>1.5271847377944792E-2</v>
      </c>
    </row>
    <row r="130" spans="2:9" x14ac:dyDescent="0.2">
      <c r="B130" t="s">
        <v>123</v>
      </c>
      <c r="C130" s="2">
        <f>(1-C98)*I122*(C125-C129)</f>
        <v>255176869.60321954</v>
      </c>
      <c r="D130" s="2"/>
    </row>
    <row r="131" spans="2:9" x14ac:dyDescent="0.2">
      <c r="D131" s="33">
        <f>D128+D129+C130</f>
        <v>5886857773.5959396</v>
      </c>
      <c r="E131" t="s">
        <v>112</v>
      </c>
    </row>
    <row r="132" spans="2:9" x14ac:dyDescent="0.2">
      <c r="B132" t="s">
        <v>94</v>
      </c>
      <c r="C132">
        <v>515</v>
      </c>
    </row>
    <row r="133" spans="2:9" x14ac:dyDescent="0.2">
      <c r="B133" t="s">
        <v>127</v>
      </c>
      <c r="C133">
        <v>484</v>
      </c>
    </row>
    <row r="135" spans="2:9" x14ac:dyDescent="0.2">
      <c r="E135" s="4"/>
      <c r="F135" s="31"/>
    </row>
    <row r="136" spans="2:9" x14ac:dyDescent="0.2">
      <c r="E136" s="4"/>
      <c r="F136" s="31"/>
      <c r="G136" s="4"/>
      <c r="H136" s="4"/>
    </row>
    <row r="137" spans="2:9" x14ac:dyDescent="0.2">
      <c r="E137" s="4"/>
      <c r="F137" s="31"/>
      <c r="G137" s="4"/>
      <c r="H137" s="4"/>
      <c r="I137" s="4"/>
    </row>
    <row r="138" spans="2:9" x14ac:dyDescent="0.2">
      <c r="G138" s="4"/>
      <c r="H138" s="4"/>
      <c r="I138" s="4"/>
    </row>
    <row r="139" spans="2:9" x14ac:dyDescent="0.2">
      <c r="I139" s="4"/>
    </row>
  </sheetData>
  <hyperlinks>
    <hyperlink ref="F7" r:id="rId1" display="http://www.ecdms.energy.ca.gov/elecbyutil.aspx" xr:uid="{D966A026-646D-A14C-9D88-81D106AD2063}"/>
    <hyperlink ref="F50" r:id="rId2" display="http://www.ecdms.energy.ca.gov/elecbyutil.aspx" xr:uid="{E8B7B2BD-9DF9-DB46-9739-3245F63D91C2}"/>
    <hyperlink ref="F96" r:id="rId3" display="http://www.ecdms.energy.ca.gov/elecbyutil.aspx" xr:uid="{9A559E91-DC37-7542-BCF6-C2D939B7EB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5F89-EDD5-9047-877E-8101D148381C}">
  <dimension ref="A2:F8"/>
  <sheetViews>
    <sheetView tabSelected="1" workbookViewId="0">
      <selection activeCell="F8" sqref="F8"/>
    </sheetView>
  </sheetViews>
  <sheetFormatPr baseColWidth="10" defaultRowHeight="16" x14ac:dyDescent="0.2"/>
  <sheetData>
    <row r="2" spans="1:6" x14ac:dyDescent="0.2">
      <c r="A2" t="s">
        <v>190</v>
      </c>
    </row>
    <row r="5" spans="1:6" x14ac:dyDescent="0.2">
      <c r="B5" t="s">
        <v>191</v>
      </c>
      <c r="D5" s="37"/>
      <c r="E5" s="37"/>
      <c r="F5" s="37"/>
    </row>
    <row r="6" spans="1:6" x14ac:dyDescent="0.2">
      <c r="D6" s="37" t="s">
        <v>2</v>
      </c>
      <c r="E6" s="37" t="s">
        <v>53</v>
      </c>
      <c r="F6" s="37" t="s">
        <v>54</v>
      </c>
    </row>
    <row r="7" spans="1:6" x14ac:dyDescent="0.2">
      <c r="C7" t="s">
        <v>22</v>
      </c>
      <c r="D7">
        <f>NEM!K39</f>
        <v>146.55645324425043</v>
      </c>
      <c r="E7" s="2">
        <f>NEM!J127</f>
        <v>95.388744431226627</v>
      </c>
      <c r="F7">
        <f>NEM!K84</f>
        <v>230.1173177779142</v>
      </c>
    </row>
    <row r="8" spans="1:6" x14ac:dyDescent="0.2">
      <c r="C8" t="s">
        <v>20</v>
      </c>
      <c r="D8">
        <f>NEM!K40</f>
        <v>101.60541244947714</v>
      </c>
      <c r="E8" s="2">
        <f>NEM!J128</f>
        <v>63.950681911319471</v>
      </c>
      <c r="F8">
        <f>NEM!K85</f>
        <v>124.11030683175326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C655-E31C-0F46-9AE5-CDEC590EAB9E}">
  <dimension ref="A1:I16"/>
  <sheetViews>
    <sheetView workbookViewId="0">
      <selection activeCell="F32" sqref="F32"/>
    </sheetView>
  </sheetViews>
  <sheetFormatPr baseColWidth="10" defaultRowHeight="16" x14ac:dyDescent="0.2"/>
  <sheetData>
    <row r="1" spans="1:9" x14ac:dyDescent="0.2">
      <c r="A1" s="11" t="s">
        <v>95</v>
      </c>
      <c r="B1" s="11" t="s">
        <v>96</v>
      </c>
      <c r="C1" s="11" t="s">
        <v>97</v>
      </c>
      <c r="D1" s="11" t="s">
        <v>98</v>
      </c>
      <c r="E1" s="11" t="s">
        <v>122</v>
      </c>
      <c r="F1" s="11" t="s">
        <v>20</v>
      </c>
      <c r="G1" s="11"/>
      <c r="H1" s="11"/>
      <c r="I1" s="11"/>
    </row>
    <row r="2" spans="1:9" x14ac:dyDescent="0.2">
      <c r="A2" t="s">
        <v>99</v>
      </c>
      <c r="B2" t="s">
        <v>100</v>
      </c>
      <c r="C2">
        <v>9.1376817069703575E-2</v>
      </c>
      <c r="D2">
        <v>1.220721626791605E-2</v>
      </c>
      <c r="E2">
        <f>SUM(C2:C5)</f>
        <v>0.25811706994562472</v>
      </c>
      <c r="F2">
        <f>SUM(D2:D5)</f>
        <v>0.16697041853107489</v>
      </c>
    </row>
    <row r="3" spans="1:9" x14ac:dyDescent="0.2">
      <c r="A3" t="s">
        <v>99</v>
      </c>
      <c r="B3" t="s">
        <v>101</v>
      </c>
      <c r="C3">
        <v>0.1231229274017193</v>
      </c>
      <c r="D3">
        <v>0.1180929274017193</v>
      </c>
    </row>
    <row r="4" spans="1:9" x14ac:dyDescent="0.2">
      <c r="A4" t="s">
        <v>99</v>
      </c>
      <c r="B4" t="s">
        <v>102</v>
      </c>
      <c r="C4">
        <v>1.292151368086537E-2</v>
      </c>
      <c r="D4">
        <v>5.9744630681030269E-3</v>
      </c>
    </row>
    <row r="5" spans="1:9" x14ac:dyDescent="0.2">
      <c r="A5" t="s">
        <v>99</v>
      </c>
      <c r="B5" t="s">
        <v>103</v>
      </c>
      <c r="C5">
        <v>3.069581179333649E-2</v>
      </c>
      <c r="D5">
        <v>3.069581179333649E-2</v>
      </c>
    </row>
    <row r="6" spans="1:9" x14ac:dyDescent="0.2">
      <c r="A6" t="s">
        <v>104</v>
      </c>
      <c r="B6" t="s">
        <v>100</v>
      </c>
      <c r="C6">
        <v>7.83016096894463E-2</v>
      </c>
      <c r="D6">
        <v>2.8072682803602159E-2</v>
      </c>
      <c r="E6">
        <f>SUM(C6:C9)</f>
        <v>0.21156251488495448</v>
      </c>
      <c r="F6">
        <f>SUM(D6:D9)</f>
        <v>0.15092063913024212</v>
      </c>
    </row>
    <row r="7" spans="1:9" x14ac:dyDescent="0.2">
      <c r="A7" t="s">
        <v>104</v>
      </c>
      <c r="B7" t="s">
        <v>101</v>
      </c>
      <c r="C7">
        <v>0.10525625268458449</v>
      </c>
      <c r="D7">
        <v>0.1002262526845845</v>
      </c>
    </row>
    <row r="8" spans="1:9" x14ac:dyDescent="0.2">
      <c r="A8" t="s">
        <v>104</v>
      </c>
      <c r="B8" t="s">
        <v>102</v>
      </c>
      <c r="C8">
        <v>1.256178942288195E-2</v>
      </c>
      <c r="D8">
        <v>7.1788405540137191E-3</v>
      </c>
    </row>
    <row r="9" spans="1:9" x14ac:dyDescent="0.2">
      <c r="A9" t="s">
        <v>104</v>
      </c>
      <c r="B9" t="s">
        <v>103</v>
      </c>
      <c r="C9">
        <v>1.544286308804173E-2</v>
      </c>
      <c r="D9">
        <v>1.544286308804173E-2</v>
      </c>
    </row>
    <row r="10" spans="1:9" x14ac:dyDescent="0.2">
      <c r="A10" t="s">
        <v>105</v>
      </c>
      <c r="B10" t="s">
        <v>100</v>
      </c>
      <c r="C10">
        <v>0.1024893719859517</v>
      </c>
      <c r="D10">
        <v>6.5593198071009065E-2</v>
      </c>
      <c r="E10">
        <f>SUM(C10:C13)</f>
        <v>0.29164741349773121</v>
      </c>
      <c r="F10">
        <f>SUM(D10:D13)</f>
        <v>0.18343514463854799</v>
      </c>
    </row>
    <row r="11" spans="1:9" x14ac:dyDescent="0.2">
      <c r="A11" t="s">
        <v>105</v>
      </c>
      <c r="B11" t="s">
        <v>101</v>
      </c>
      <c r="C11">
        <v>0.12616605533154951</v>
      </c>
      <c r="D11">
        <v>7.7527075412191698E-2</v>
      </c>
    </row>
    <row r="12" spans="1:9" x14ac:dyDescent="0.2">
      <c r="A12" t="s">
        <v>105</v>
      </c>
      <c r="B12" t="s">
        <v>102</v>
      </c>
      <c r="C12">
        <v>1.7690000000000001E-2</v>
      </c>
      <c r="D12">
        <v>1.1321599999999999E-2</v>
      </c>
    </row>
    <row r="13" spans="1:9" x14ac:dyDescent="0.2">
      <c r="A13" t="s">
        <v>105</v>
      </c>
      <c r="B13" t="s">
        <v>103</v>
      </c>
      <c r="C13">
        <v>4.5301986180230007E-2</v>
      </c>
      <c r="D13">
        <v>2.8993271155347208E-2</v>
      </c>
    </row>
    <row r="16" spans="1:9" x14ac:dyDescent="0.2">
      <c r="A16" t="s">
        <v>146</v>
      </c>
      <c r="B16" s="23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RPS</vt:lpstr>
      <vt:lpstr>NEM</vt:lpstr>
      <vt:lpstr>Figure 5</vt:lpstr>
      <vt:lpstr>care_non_care_rates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2020-12-24T00:01:58Z</dcterms:created>
  <dcterms:modified xsi:type="dcterms:W3CDTF">2021-02-21T05:36:39Z</dcterms:modified>
</cp:coreProperties>
</file>