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minimized="1" xWindow="0" yWindow="0" windowWidth="28800" windowHeight="14010" tabRatio="711" firstSheet="10" activeTab="10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9" l="1"/>
  <c r="H43" i="9"/>
  <c r="H44" i="9"/>
  <c r="H45" i="9"/>
  <c r="H41" i="9"/>
  <c r="G42" i="9"/>
  <c r="G43" i="9"/>
  <c r="G44" i="9"/>
  <c r="G45" i="9"/>
  <c r="G41" i="9"/>
  <c r="E42" i="9"/>
  <c r="E46" i="9" s="1"/>
  <c r="E43" i="9"/>
  <c r="E44" i="9"/>
  <c r="E45" i="9"/>
  <c r="E41" i="9"/>
  <c r="F43" i="9"/>
  <c r="F44" i="9"/>
  <c r="F45" i="9"/>
  <c r="F41" i="9"/>
  <c r="D42" i="9"/>
  <c r="D43" i="9"/>
  <c r="D44" i="9"/>
  <c r="D45" i="9"/>
  <c r="D41" i="9"/>
  <c r="C42" i="9"/>
  <c r="C43" i="9"/>
  <c r="C44" i="9"/>
  <c r="C45" i="9"/>
  <c r="C41" i="9"/>
  <c r="S39" i="9"/>
  <c r="N47" i="9"/>
  <c r="H46" i="9" l="1"/>
  <c r="F42" i="9"/>
  <c r="F46" i="9" s="1"/>
  <c r="N40" i="9"/>
  <c r="N41" i="9"/>
  <c r="N42" i="9"/>
  <c r="N43" i="9"/>
  <c r="N44" i="9"/>
  <c r="N45" i="9"/>
  <c r="N46" i="9"/>
  <c r="N39" i="9"/>
  <c r="O41" i="9" l="1"/>
  <c r="P42" i="9" s="1"/>
  <c r="Q42" i="9" s="1"/>
  <c r="S42" i="9" s="1"/>
  <c r="O39" i="9"/>
  <c r="P40" i="9" s="1"/>
  <c r="Q40" i="9" s="1"/>
  <c r="S40" i="9" s="1"/>
  <c r="O47" i="9"/>
  <c r="P48" i="9" s="1"/>
  <c r="Q48" i="9" s="1"/>
  <c r="S48" i="9" s="1"/>
  <c r="O40" i="9"/>
  <c r="P41" i="9" s="1"/>
  <c r="Q41" i="9" s="1"/>
  <c r="S41" i="9" s="1"/>
  <c r="O46" i="9"/>
  <c r="P47" i="9" s="1"/>
  <c r="Q47" i="9" s="1"/>
  <c r="S47" i="9" s="1"/>
  <c r="O45" i="9"/>
  <c r="P46" i="9" s="1"/>
  <c r="Q46" i="9" s="1"/>
  <c r="S46" i="9" s="1"/>
  <c r="O44" i="9"/>
  <c r="P45" i="9" s="1"/>
  <c r="Q45" i="9" s="1"/>
  <c r="S45" i="9" s="1"/>
  <c r="O43" i="9"/>
  <c r="P44" i="9" s="1"/>
  <c r="Q44" i="9" s="1"/>
  <c r="S44" i="9" s="1"/>
  <c r="O42" i="9"/>
  <c r="P43" i="9" s="1"/>
  <c r="Q43" i="9" s="1"/>
  <c r="S43" i="9" s="1"/>
  <c r="N6" i="29"/>
  <c r="N7" i="29"/>
  <c r="N8" i="29"/>
  <c r="N9" i="29"/>
  <c r="N10" i="29"/>
  <c r="N11" i="29"/>
  <c r="N12" i="29"/>
  <c r="N13" i="29"/>
  <c r="N5" i="29"/>
  <c r="Q13" i="29"/>
  <c r="Q5" i="29"/>
  <c r="Q6" i="29"/>
  <c r="Q7" i="29"/>
  <c r="Q8" i="29"/>
  <c r="Q9" i="29"/>
  <c r="Q10" i="29"/>
  <c r="Q11" i="29"/>
  <c r="Q12" i="29"/>
  <c r="Q4" i="29"/>
  <c r="M10" i="30" l="1"/>
  <c r="M11" i="30"/>
  <c r="M12" i="30"/>
  <c r="M13" i="30"/>
  <c r="M9" i="30"/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 s="1"/>
  <c r="G6" i="29"/>
  <c r="H6" i="29"/>
  <c r="G7" i="29"/>
  <c r="H7" i="29" s="1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2" i="29"/>
  <c r="G10" i="29"/>
  <c r="G11" i="29"/>
  <c r="H11" i="29" s="1"/>
  <c r="G12" i="29"/>
  <c r="G9" i="29"/>
  <c r="H9" i="29" s="1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<sst xmlns="http://schemas.openxmlformats.org/spreadsheetml/2006/main" count="766" uniqueCount="316">
  <si>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</si>
  <si>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</si>
  <si>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</si>
  <si>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</si>
  <si>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</si>
  <si>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</si>
  <si>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</si>
  <si>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</si>
  <si>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</si>
  <si>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</si>
  <si>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</si>
  <si>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</si>
  <si>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</si>
  <si>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</si>
  <si>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</si>
  <si>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</si>
  <si>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</si>
  <si>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</si>
  <si>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</si>
  <si>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</si>
  <si>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</si>
  <si>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</si>
  <si>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</si>
  <si>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</si>
  <si>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</si>
  <si>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</si>
  <si>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</si>
  <si>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</si>
  <si>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</si>
  <si>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</si>
  <si>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</si>
  <si>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</si>
  <si>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</si>
  <si>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</si>
  <si>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</si>
  <si>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</si>
  <si>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</si>
  <si>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</si>
  <si>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</si>
  <si>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</si>
  <si>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</si>
  <si>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</si>
  <si>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</si>
  <si>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</si>
  <si>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</si>
  <si>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</si>
  <si>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</si>
  <si>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</si>
  <si>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</si>
  <si>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</si>
  <si>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</si>
  <si>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</si>
  <si>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</si>
  <si>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</si>
  <si>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</si>
  <si>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</si>
  <si>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</si>
  <si>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</si>
  <si>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</si>
  <si>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</si>
  <si>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</si>
  <si>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</si>
  <si>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</si>
  <si>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</si>
  <si>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</si>
  <si>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</si>
  <si>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</si>
  <si>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</si>
  <si>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</si>
  <si>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</si>
  <si>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</si>
  <si>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</si>
  <si>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</si>
  <si>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</si>
  <si>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</si>
  <si>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</si>
  <si>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</si>
  <si>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</si>
  <si>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</si>
  <si>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</si>
  <si>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</si>
  <si>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</si>
  <si>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</si>
  <si>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</si>
  <si>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</si>
  <si>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</si>
  <si>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</si>
  <si>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</si>
  <si>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</si>
  <si>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</si>
  <si>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</si>
  <si>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</si>
  <si>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</si>
  <si>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</si>
  <si>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</si>
  <si>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</si>
  <si>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</si>
  <si>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</si>
  <si>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</si>
  <si>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</si>
  <si>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</si>
  <si>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</si>
  <si>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</si>
  <si>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</si>
  <si>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</si>
  <si>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</si>
  <si>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</si>
  <si>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</si>
  <si>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</si>
  <si>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</si>
  <si>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</si>
  <si>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</si>
  <si>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</si>
  <si>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</si>
  <si>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</si>
  <si>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</si>
  <si>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</si>
  <si>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</si>
  <si>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</si>
  <si>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</si>
  <si>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</si>
  <si>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</si>
  <si>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</si>
  <si>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</si>
  <si>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</si>
  <si>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</si>
  <si>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</si>
  <si>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</si>
  <si>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</si>
  <si>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</si>
  <si>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</si>
  <si>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</si>
  <si>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</si>
  <si>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</si>
  <si>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</si>
  <si>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</si>
  <si>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</si>
  <si>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</si>
  <si>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</si>
  <si>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</si>
  <si>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</si>
  <si>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</si>
  <si>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</si>
  <si>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</si>
  <si>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</si>
  <si>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</si>
  <si>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</si>
  <si>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</si>
  <si>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</si>
  <si>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</si>
  <si>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</si>
  <si>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</si>
  <si>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</si>
  <si>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</si>
  <si>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</si>
  <si>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</si>
  <si>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</si>
  <si>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</si>
  <si>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</si>
  <si>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</si>
  <si>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</si>
  <si>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</si>
  <si>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</si>
  <si>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</si>
  <si>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</si>
  <si>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</si>
  <si>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</si>
  <si>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</si>
  <si>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</si>
  <si>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</si>
  <si>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</si>
  <si>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</si>
  <si>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</si>
  <si>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</si>
  <si>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</si>
  <si>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</si>
  <si>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</si>
  <si>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</si>
  <si>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</si>
  <si>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</si>
  <si>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</si>
  <si>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</si>
  <si>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</si>
  <si>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</si>
  <si>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</si>
  <si>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</si>
  <si>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</si>
  <si>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</si>
  <si>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</si>
  <si>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</si>
  <si>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</si>
  <si>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</si>
  <si>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</si>
  <si>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</si>
  <si>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</si>
  <si>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</si>
  <si>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</si>
  <si>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</si>
  <si>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</si>
  <si>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</si>
  <si>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</si>
  <si>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</si>
  <si>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</si>
  <si>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</si>
  <si>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</si>
  <si>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</si>
  <si>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</si>
  <si>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</si>
  <si>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</si>
  <si>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</si>
  <si>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</si>
  <si>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</si>
  <si>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</si>
  <si>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</si>
  <si>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</si>
  <si>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</si>
  <si>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</si>
  <si>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</si>
  <si>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</si>
  <si>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</si>
  <si>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</si>
  <si>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</si>
  <si>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</si>
  <si>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</si>
  <si>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</si>
  <si>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</si>
  <si>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</si>
  <si>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</si>
  <si>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</si>
  <si>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</si>
  <si>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</si>
  <si>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</si>
  <si>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</si>
  <si>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</si>
  <si>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</si>
  <si>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</si>
  <si>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</si>
  <si>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</si>
  <si>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</si>
  <si>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</si>
  <si>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</si>
  <si>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</si>
  <si>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</si>
  <si>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</si>
  <si>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</si>
  <si>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</si>
  <si>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</si>
  <si>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</si>
  <si>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</si>
  <si>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</si>
  <si>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</si>
  <si>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</si>
  <si>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</si>
  <si>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</si>
  <si>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</si>
  <si>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</si>
  <si>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</si>
  <si>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</si>
  <si>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</si>
  <si>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</si>
  <si>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</si>
  <si>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</si>
  <si>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</si>
  <si>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</si>
  <si>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</si>
  <si>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</si>
  <si>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</si>
  <si>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</si>
  <si>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</si>
  <si>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</si>
  <si>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</si>
  <si>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</si>
  <si>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</si>
  <si>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</si>
  <si>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</si>
  <si>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</si>
  <si>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</si>
  <si>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</si>
  <si>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</si>
  <si>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</si>
  <si>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</si>
  <si>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</si>
  <si>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</si>
  <si>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</si>
  <si>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</si>
  <si>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</si>
  <si>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</si>
  <si>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</si>
  <si>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</si>
  <si>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</si>
  <si>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</si>
  <si>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</si>
  <si>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</si>
  <si>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</si>
  <si>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</si>
  <si>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</si>
  <si>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</si>
  <si>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</si>
  <si>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</si>
  <si>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</si>
  <si>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AV2006</t>
  </si>
  <si>
    <t>FY starting in</t>
  </si>
  <si>
    <t>AV2007</t>
  </si>
  <si>
    <t>AV2008</t>
  </si>
  <si>
    <t>AV2009</t>
  </si>
  <si>
    <t>AV2010</t>
  </si>
  <si>
    <t>AV2011</t>
  </si>
  <si>
    <t>AV2012</t>
  </si>
  <si>
    <t>AV2013</t>
  </si>
  <si>
    <t>AV2014</t>
  </si>
  <si>
    <t>AV2015</t>
  </si>
  <si>
    <t>Source of Recommended ERC</t>
  </si>
  <si>
    <t>ADC/recom.ERC</t>
  </si>
  <si>
    <t xml:space="preserve">Note: AV2006 means the actuarial valuation report for FY2005-2006. The same for other AVs. </t>
  </si>
  <si>
    <t>Recommended ERC (1-year lag)
(eg. AV2016 page 59)</t>
  </si>
  <si>
    <t xml:space="preserve">Pension ADC
(AV2016 p.60)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</si>
</sst>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  <numFmt numFmtId="167" formatCode="0.00_);\(0.00\)"/>
    <numFmt numFmtId="168" formatCode="0_);\(0\)"/>
    <numFmt numFmtId="169" formatCode="0.000%"/>
    <numFmt numFmtId="170" formatCode="0.0"/>
    <numFmt numFmtId="172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1" fontId="16" fillId="0" borderId="2" xfId="0" applyNumberFormat="1" applyFont="1" applyBorder="1" applyAlignment="1">
      <alignment horizontal="right" vertical="center" wrapText="1" indent="1"/>
    </xf>
    <xf numFmtId="0" fontId="16" fillId="0" borderId="0" xfId="0" applyFont="1" applyAlignment="1">
      <alignment horizontal="left" vertical="center" wrapText="1" indent="2"/>
    </xf>
    <xf numFmtId="1" fontId="16" fillId="0" borderId="0" xfId="0" applyNumberFormat="1" applyFont="1" applyAlignment="1">
      <alignment horizontal="right" vertical="center" wrapText="1" indent="1"/>
    </xf>
    <xf numFmtId="0" fontId="16" fillId="0" borderId="0" xfId="0" applyFont="1" applyAlignment="1">
      <alignment horizontal="left" vertical="top" wrapText="1" indent="1"/>
    </xf>
    <xf numFmtId="1" fontId="16" fillId="0" borderId="1" xfId="0" applyNumberFormat="1" applyFont="1" applyBorder="1" applyAlignment="1">
      <alignment horizontal="right" vertical="center" wrapText="1" indent="1"/>
    </xf>
    <xf numFmtId="1" fontId="0" fillId="0" borderId="0" xfId="0" applyNumberFormat="1" applyAlignment="1">
      <alignment horizontal="center" vertical="center"/>
    </xf>
    <xf numFmtId="1" fontId="16" fillId="0" borderId="2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1" fontId="0" fillId="0" borderId="0" xfId="0" applyNumberFormat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1" fontId="16" fillId="0" borderId="2" xfId="3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0" fillId="6" borderId="0" xfId="0" applyFill="1" applyBorder="1"/>
    <xf numFmtId="167" fontId="26" fillId="6" borderId="0" xfId="3" applyNumberFormat="1" applyFont="1" applyFill="1" applyBorder="1"/>
    <xf numFmtId="3" fontId="15" fillId="6" borderId="0" xfId="0" applyNumberFormat="1" applyFont="1" applyFill="1" applyBorder="1" applyAlignment="1">
      <alignment horizontal="center" vertical="center" wrapText="1"/>
    </xf>
    <xf numFmtId="0" fontId="26" fillId="6" borderId="0" xfId="0" applyFont="1" applyFill="1"/>
    <xf numFmtId="3" fontId="16" fillId="6" borderId="0" xfId="0" applyNumberFormat="1" applyFont="1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 vertical="center" wrapText="1"/>
    </xf>
    <xf numFmtId="3" fontId="26" fillId="6" borderId="0" xfId="0" applyNumberFormat="1" applyFont="1" applyFill="1"/>
    <xf numFmtId="4" fontId="26" fillId="6" borderId="0" xfId="0" applyNumberFormat="1" applyFont="1" applyFill="1"/>
    <xf numFmtId="0" fontId="26" fillId="6" borderId="4" xfId="0" applyFont="1" applyFill="1" applyBorder="1" applyAlignment="1">
      <alignment horizontal="center" vertical="center" wrapText="1"/>
    </xf>
    <xf numFmtId="3" fontId="26" fillId="6" borderId="0" xfId="0" applyNumberFormat="1" applyFont="1" applyFill="1" applyAlignment="1">
      <alignment horizontal="center"/>
    </xf>
    <xf numFmtId="4" fontId="26" fillId="6" borderId="0" xfId="0" applyNumberFormat="1" applyFont="1" applyFill="1" applyAlignment="1">
      <alignment horizontal="center"/>
    </xf>
    <xf numFmtId="3" fontId="26" fillId="6" borderId="4" xfId="0" applyNumberFormat="1" applyFont="1" applyFill="1" applyBorder="1" applyAlignment="1">
      <alignment horizontal="center"/>
    </xf>
    <xf numFmtId="3" fontId="15" fillId="6" borderId="0" xfId="0" applyNumberFormat="1" applyFont="1" applyFill="1" applyBorder="1" applyAlignment="1">
      <alignment horizontal="center" wrapText="1"/>
    </xf>
    <xf numFmtId="0" fontId="26" fillId="6" borderId="0" xfId="0" applyFont="1" applyFill="1" applyAlignment="1"/>
    <xf numFmtId="3" fontId="26" fillId="6" borderId="0" xfId="0" applyNumberFormat="1" applyFont="1" applyFill="1" applyAlignment="1"/>
    <xf numFmtId="0" fontId="26" fillId="6" borderId="4" xfId="0" applyFont="1" applyFill="1" applyBorder="1" applyAlignment="1"/>
    <xf numFmtId="3" fontId="26" fillId="6" borderId="4" xfId="0" applyNumberFormat="1" applyFont="1" applyFill="1" applyBorder="1" applyAlignment="1"/>
    <xf numFmtId="168" fontId="15" fillId="6" borderId="4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172" fontId="0" fillId="0" borderId="0" xfId="3" applyNumberFormat="1" applyFont="1"/>
    <xf numFmtId="172" fontId="0" fillId="0" borderId="0" xfId="3" applyNumberFormat="1" applyFont="1" applyAlignment="1">
      <alignment horizontal="right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Fiscal2!$K$5:$K$13</c:f>
              <c:numCache>
                <c:formatCode>#,##0</c:formatCode>
                <c:ptCount val="9"/>
                <c:pt idx="0">
                  <c:v>261635491</c:v>
                </c:pt>
                <c:pt idx="1">
                  <c:v>238697929</c:v>
                </c:pt>
                <c:pt idx="2">
                  <c:v>250516858</c:v>
                </c:pt>
                <c:pt idx="3">
                  <c:v>277092251</c:v>
                </c:pt>
                <c:pt idx="4">
                  <c:v>321593433</c:v>
                </c:pt>
                <c:pt idx="5">
                  <c:v>375448092</c:v>
                </c:pt>
                <c:pt idx="6">
                  <c:v>440698260</c:v>
                </c:pt>
                <c:pt idx="7">
                  <c:v>480332251</c:v>
                </c:pt>
                <c:pt idx="8">
                  <c:v>478385438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333-82E0-A7923F0A2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Fiscal2!$L$5:$L$13</c:f>
              <c:numCache>
                <c:formatCode>#,##0</c:formatCode>
                <c:ptCount val="9"/>
                <c:pt idx="0">
                  <c:v>232876538</c:v>
                </c:pt>
                <c:pt idx="1">
                  <c:v>217935879</c:v>
                </c:pt>
                <c:pt idx="2">
                  <c:v>238683312</c:v>
                </c:pt>
                <c:pt idx="3">
                  <c:v>290310941</c:v>
                </c:pt>
                <c:pt idx="4">
                  <c:v>368197823</c:v>
                </c:pt>
                <c:pt idx="5">
                  <c:v>436274233</c:v>
                </c:pt>
                <c:pt idx="6">
                  <c:v>464480855</c:v>
                </c:pt>
                <c:pt idx="7">
                  <c:v>498094638</c:v>
                </c:pt>
                <c:pt idx="8">
                  <c:v>493428859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4-4333-82E0-A7923F0A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08416"/>
        <c:axId val="532210056"/>
      </c:lineChart>
      <c:catAx>
        <c:axId val="5322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0056"/>
        <c:crosses val="autoZero"/>
        <c:auto val="1"/>
        <c:lblAlgn val="ctr"/>
        <c:lblOffset val="100"/>
        <c:noMultiLvlLbl val="0"/>
      </c:catAx>
      <c:valAx>
        <c:axId val="5322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  <xdr:twoCellAnchor>
    <xdr:from>
      <xdr:col>1</xdr:col>
      <xdr:colOff>314325</xdr:colOff>
      <xdr:row>25</xdr:row>
      <xdr:rowOff>180975</xdr:rowOff>
    </xdr:from>
    <xdr:to>
      <xdr:col>8</xdr:col>
      <xdr:colOff>66675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FA9C-A508-4635-95DA-F8BCDE7D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18</xdr:col>
      <xdr:colOff>570595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284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285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286</v>
      </c>
    </row>
    <row r="15" spans="1:2" x14ac:dyDescent="0.25">
      <c r="A15" s="33" t="s">
        <v>38</v>
      </c>
      <c r="B15" s="32" t="s">
        <v>287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288</v>
      </c>
      <c r="B19" s="32" t="s">
        <v>45</v>
      </c>
    </row>
    <row r="20" spans="1:2" x14ac:dyDescent="0.25">
      <c r="A20" s="33" t="s">
        <v>289</v>
      </c>
      <c r="B20" s="32" t="s">
        <v>290</v>
      </c>
    </row>
    <row r="21" spans="1:2" x14ac:dyDescent="0.25">
      <c r="A21" s="33" t="s">
        <v>291</v>
      </c>
      <c r="B21" s="32" t="s">
        <v>292</v>
      </c>
    </row>
    <row r="22" spans="1:2" x14ac:dyDescent="0.25">
      <c r="A22" s="33" t="s">
        <v>293</v>
      </c>
      <c r="B22" s="32" t="s">
        <v>294</v>
      </c>
    </row>
    <row r="23" spans="1:2" x14ac:dyDescent="0.25">
      <c r="A23" s="33" t="s">
        <v>295</v>
      </c>
      <c r="B23" s="32" t="s">
        <v>296</v>
      </c>
    </row>
    <row r="24" spans="1:2" x14ac:dyDescent="0.25">
      <c r="A24" s="33" t="s">
        <v>297</v>
      </c>
      <c r="B24" s="32" t="s">
        <v>298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94" t="s">
        <v>55</v>
      </c>
      <c r="C5" s="195"/>
      <c r="D5" s="192" t="s">
        <v>54</v>
      </c>
      <c r="E5" s="192"/>
      <c r="F5" s="192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96" t="s">
        <v>117</v>
      </c>
      <c r="G6" s="196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93" t="s">
        <v>60</v>
      </c>
      <c r="E9" s="193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97" t="s">
        <v>148</v>
      </c>
      <c r="C10" s="197"/>
      <c r="D10" s="197" t="s">
        <v>147</v>
      </c>
      <c r="E10" s="197"/>
      <c r="F10" s="197"/>
      <c r="G10" s="197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93" t="s">
        <v>104</v>
      </c>
      <c r="C12" s="195"/>
      <c r="D12" s="193" t="s">
        <v>105</v>
      </c>
      <c r="E12" s="193"/>
      <c r="F12" s="193" t="s">
        <v>106</v>
      </c>
      <c r="G12" s="193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48"/>
  <sheetViews>
    <sheetView tabSelected="1" topLeftCell="E19" workbookViewId="0">
      <selection activeCell="I55" sqref="I55"/>
    </sheetView>
  </sheetViews>
  <sheetFormatPr defaultRowHeight="15" x14ac:dyDescent="0.25"/>
  <cols>
    <col min="2" max="7" width="21.7109375" customWidth="1"/>
    <col min="8" max="8" width="15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98" t="s">
        <v>87</v>
      </c>
      <c r="B5" s="199" t="s">
        <v>88</v>
      </c>
      <c r="C5" s="199"/>
      <c r="D5" s="199"/>
      <c r="E5" s="199" t="s">
        <v>89</v>
      </c>
      <c r="F5" s="199"/>
      <c r="G5" s="199"/>
    </row>
    <row r="6" spans="1:14" x14ac:dyDescent="0.25">
      <c r="A6" s="198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  <row r="39" spans="1:19" x14ac:dyDescent="0.25">
      <c r="E39" s="211"/>
      <c r="L39">
        <v>57</v>
      </c>
      <c r="M39" s="66">
        <v>0.2</v>
      </c>
      <c r="N39" s="209">
        <f>1-M39</f>
        <v>0.8</v>
      </c>
      <c r="O39" s="210">
        <f>PRODUCT($N$39:N39)</f>
        <v>0.8</v>
      </c>
      <c r="Q39">
        <v>0.2</v>
      </c>
      <c r="R39">
        <v>0</v>
      </c>
      <c r="S39">
        <f>R39*Q39</f>
        <v>0</v>
      </c>
    </row>
    <row r="40" spans="1:19" x14ac:dyDescent="0.25">
      <c r="B40">
        <v>1243</v>
      </c>
      <c r="D40">
        <v>6056</v>
      </c>
      <c r="E40" s="211"/>
      <c r="L40">
        <v>58</v>
      </c>
      <c r="M40" s="66">
        <v>0.22</v>
      </c>
      <c r="N40" s="209">
        <f t="shared" ref="N40:N47" si="0">1-M40</f>
        <v>0.78</v>
      </c>
      <c r="O40" s="210">
        <f>PRODUCT($N$39:N40)</f>
        <v>0.62400000000000011</v>
      </c>
      <c r="P40" s="210">
        <f>O39</f>
        <v>0.8</v>
      </c>
      <c r="Q40" s="210">
        <f>P40*M40</f>
        <v>0.17600000000000002</v>
      </c>
      <c r="R40">
        <v>1</v>
      </c>
      <c r="S40">
        <f t="shared" ref="S40:S48" si="1">R40*Q40</f>
        <v>0.17600000000000002</v>
      </c>
    </row>
    <row r="41" spans="1:19" x14ac:dyDescent="0.25">
      <c r="A41">
        <v>1</v>
      </c>
      <c r="B41">
        <v>1</v>
      </c>
      <c r="C41">
        <f>$B$40*B41</f>
        <v>1243</v>
      </c>
      <c r="D41">
        <f>$D$40*(1.03)^(A41-1)</f>
        <v>6056</v>
      </c>
      <c r="E41" s="211">
        <f>C41*D41*12</f>
        <v>90331296</v>
      </c>
      <c r="F41">
        <f>E41/(1.075)^(A41-1)</f>
        <v>90331296</v>
      </c>
      <c r="G41">
        <f>282080479.38686/5</f>
        <v>56416095.877372004</v>
      </c>
      <c r="H41">
        <f>G41/(1.075)^(A41-1)</f>
        <v>56416095.877372004</v>
      </c>
      <c r="L41">
        <v>59</v>
      </c>
      <c r="M41" s="66">
        <v>0.25</v>
      </c>
      <c r="N41" s="209">
        <f t="shared" si="0"/>
        <v>0.75</v>
      </c>
      <c r="O41" s="210">
        <f>PRODUCT($N$39:N41)</f>
        <v>0.46800000000000008</v>
      </c>
      <c r="P41" s="210">
        <f t="shared" ref="P41:P48" si="2">O40</f>
        <v>0.62400000000000011</v>
      </c>
      <c r="Q41" s="210">
        <f t="shared" ref="Q41:Q48" si="3">P41*M41</f>
        <v>0.15600000000000003</v>
      </c>
      <c r="R41">
        <v>2</v>
      </c>
      <c r="S41">
        <f t="shared" si="1"/>
        <v>0.31200000000000006</v>
      </c>
    </row>
    <row r="42" spans="1:19" x14ac:dyDescent="0.25">
      <c r="A42">
        <v>2</v>
      </c>
      <c r="B42">
        <v>0.8</v>
      </c>
      <c r="C42">
        <f t="shared" ref="C42:C45" si="4">$B$40*B42</f>
        <v>994.40000000000009</v>
      </c>
      <c r="D42">
        <f t="shared" ref="D42:D45" si="5">$D$40*(1.03)^(A42-1)</f>
        <v>6237.68</v>
      </c>
      <c r="E42" s="211">
        <f t="shared" ref="E42:E45" si="6">C42*D42*12</f>
        <v>74432987.904000014</v>
      </c>
      <c r="F42">
        <f t="shared" ref="F42:H45" si="7">E42/(1.075)^(A42-1)</f>
        <v>69239988.747906998</v>
      </c>
      <c r="G42">
        <f t="shared" ref="G42:G45" si="8">282080479.38686/5</f>
        <v>56416095.877372004</v>
      </c>
      <c r="H42">
        <f t="shared" ref="H42:H45" si="9">G42/(1.075)^(A42-1)</f>
        <v>52480089.18825303</v>
      </c>
      <c r="L42">
        <v>60</v>
      </c>
      <c r="M42" s="66">
        <v>0.25</v>
      </c>
      <c r="N42" s="209">
        <f t="shared" si="0"/>
        <v>0.75</v>
      </c>
      <c r="O42" s="210">
        <f>PRODUCT($N$39:N42)</f>
        <v>0.35100000000000009</v>
      </c>
      <c r="P42" s="210">
        <f t="shared" si="2"/>
        <v>0.46800000000000008</v>
      </c>
      <c r="Q42" s="210">
        <f t="shared" si="3"/>
        <v>0.11700000000000002</v>
      </c>
      <c r="R42">
        <v>3</v>
      </c>
      <c r="S42">
        <f t="shared" si="1"/>
        <v>0.35100000000000009</v>
      </c>
    </row>
    <row r="43" spans="1:19" x14ac:dyDescent="0.25">
      <c r="A43">
        <v>3</v>
      </c>
      <c r="B43">
        <v>0.6</v>
      </c>
      <c r="C43">
        <f t="shared" si="4"/>
        <v>745.8</v>
      </c>
      <c r="D43">
        <f t="shared" si="5"/>
        <v>6424.8103999999994</v>
      </c>
      <c r="E43" s="211">
        <f t="shared" si="6"/>
        <v>57499483.155839995</v>
      </c>
      <c r="F43">
        <f t="shared" si="7"/>
        <v>49756177.960705243</v>
      </c>
      <c r="G43">
        <f t="shared" si="8"/>
        <v>56416095.877372004</v>
      </c>
      <c r="H43">
        <f t="shared" si="9"/>
        <v>48818687.616979562</v>
      </c>
      <c r="L43">
        <v>61</v>
      </c>
      <c r="M43" s="66">
        <v>0.25</v>
      </c>
      <c r="N43" s="209">
        <f t="shared" si="0"/>
        <v>0.75</v>
      </c>
      <c r="O43" s="210">
        <f>PRODUCT($N$39:N43)</f>
        <v>0.2632500000000001</v>
      </c>
      <c r="P43" s="210">
        <f t="shared" si="2"/>
        <v>0.35100000000000009</v>
      </c>
      <c r="Q43" s="210">
        <f t="shared" si="3"/>
        <v>8.7750000000000022E-2</v>
      </c>
      <c r="R43">
        <v>4</v>
      </c>
      <c r="S43">
        <f t="shared" si="1"/>
        <v>0.35100000000000009</v>
      </c>
    </row>
    <row r="44" spans="1:19" x14ac:dyDescent="0.25">
      <c r="A44">
        <v>4</v>
      </c>
      <c r="B44">
        <v>0.4</v>
      </c>
      <c r="C44">
        <f t="shared" si="4"/>
        <v>497.20000000000005</v>
      </c>
      <c r="D44">
        <f t="shared" si="5"/>
        <v>6617.5547120000001</v>
      </c>
      <c r="E44" s="211">
        <f t="shared" si="6"/>
        <v>39482978.433676802</v>
      </c>
      <c r="F44">
        <f t="shared" si="7"/>
        <v>31782240.805907853</v>
      </c>
      <c r="G44">
        <f t="shared" si="8"/>
        <v>56416095.877372004</v>
      </c>
      <c r="H44">
        <f t="shared" si="9"/>
        <v>45412732.666957736</v>
      </c>
      <c r="L44">
        <v>62</v>
      </c>
      <c r="M44" s="66">
        <v>0.25</v>
      </c>
      <c r="N44" s="209">
        <f t="shared" si="0"/>
        <v>0.75</v>
      </c>
      <c r="O44" s="210">
        <f>PRODUCT($N$39:N44)</f>
        <v>0.19743750000000007</v>
      </c>
      <c r="P44" s="210">
        <f t="shared" si="2"/>
        <v>0.2632500000000001</v>
      </c>
      <c r="Q44" s="210">
        <f t="shared" si="3"/>
        <v>6.5812500000000024E-2</v>
      </c>
      <c r="R44">
        <v>5</v>
      </c>
      <c r="S44">
        <f t="shared" si="1"/>
        <v>0.32906250000000015</v>
      </c>
    </row>
    <row r="45" spans="1:19" x14ac:dyDescent="0.25">
      <c r="A45">
        <v>5</v>
      </c>
      <c r="B45">
        <v>0.2</v>
      </c>
      <c r="C45">
        <f t="shared" si="4"/>
        <v>248.60000000000002</v>
      </c>
      <c r="D45">
        <f t="shared" si="5"/>
        <v>6816.0813533599994</v>
      </c>
      <c r="E45" s="211">
        <f t="shared" si="6"/>
        <v>20333733.893343553</v>
      </c>
      <c r="F45">
        <f t="shared" si="7"/>
        <v>15225910.711667482</v>
      </c>
      <c r="G45">
        <f t="shared" si="8"/>
        <v>56416095.877372004</v>
      </c>
      <c r="H45">
        <f t="shared" si="9"/>
        <v>42244402.480890915</v>
      </c>
      <c r="L45">
        <v>63</v>
      </c>
      <c r="M45" s="66">
        <v>0.25</v>
      </c>
      <c r="N45" s="209">
        <f t="shared" si="0"/>
        <v>0.75</v>
      </c>
      <c r="O45" s="210">
        <f>PRODUCT($N$39:N45)</f>
        <v>0.14807812500000006</v>
      </c>
      <c r="P45" s="210">
        <f t="shared" si="2"/>
        <v>0.19743750000000007</v>
      </c>
      <c r="Q45" s="210">
        <f t="shared" si="3"/>
        <v>4.9359375000000018E-2</v>
      </c>
      <c r="R45">
        <v>6</v>
      </c>
      <c r="S45">
        <f t="shared" si="1"/>
        <v>0.29615625000000012</v>
      </c>
    </row>
    <row r="46" spans="1:19" x14ac:dyDescent="0.25">
      <c r="E46" s="212">
        <f>SUM(E41:E45)</f>
        <v>282080479.38686037</v>
      </c>
      <c r="F46" s="212">
        <f>SUM(F41:F45)</f>
        <v>256335614.22618756</v>
      </c>
      <c r="H46" s="213">
        <f>SUM(H41:H45)</f>
        <v>245372007.83045328</v>
      </c>
      <c r="L46">
        <v>64</v>
      </c>
      <c r="M46" s="66">
        <v>0.3</v>
      </c>
      <c r="N46" s="209">
        <f t="shared" si="0"/>
        <v>0.7</v>
      </c>
      <c r="O46" s="210">
        <f>PRODUCT($N$39:N46)</f>
        <v>0.10365468750000004</v>
      </c>
      <c r="P46" s="210">
        <f t="shared" si="2"/>
        <v>0.14807812500000006</v>
      </c>
      <c r="Q46" s="210">
        <f t="shared" si="3"/>
        <v>4.4423437500000017E-2</v>
      </c>
      <c r="R46">
        <v>7</v>
      </c>
      <c r="S46">
        <f t="shared" si="1"/>
        <v>0.31096406250000014</v>
      </c>
    </row>
    <row r="47" spans="1:19" x14ac:dyDescent="0.25">
      <c r="L47">
        <v>65</v>
      </c>
      <c r="M47" s="66">
        <v>1</v>
      </c>
      <c r="N47" s="209">
        <f t="shared" si="0"/>
        <v>0</v>
      </c>
      <c r="O47" s="210">
        <f>PRODUCT($N$39:N47)</f>
        <v>0</v>
      </c>
      <c r="P47" s="210">
        <f t="shared" si="2"/>
        <v>0.10365468750000004</v>
      </c>
      <c r="Q47" s="210">
        <f t="shared" si="3"/>
        <v>0.10365468750000004</v>
      </c>
      <c r="R47">
        <v>8</v>
      </c>
      <c r="S47">
        <f t="shared" si="1"/>
        <v>0.82923750000000029</v>
      </c>
    </row>
    <row r="48" spans="1:19" x14ac:dyDescent="0.25">
      <c r="L48">
        <v>66</v>
      </c>
      <c r="P48" s="210">
        <f t="shared" si="2"/>
        <v>0</v>
      </c>
      <c r="Q48" s="210">
        <f t="shared" si="3"/>
        <v>0</v>
      </c>
      <c r="R48">
        <v>9</v>
      </c>
      <c r="S48">
        <f t="shared" si="1"/>
        <v>0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9" workbookViewId="0">
      <selection activeCell="F41" sqref="F41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93" t="s">
        <v>120</v>
      </c>
      <c r="G4" s="195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93" t="s">
        <v>140</v>
      </c>
      <c r="G5" s="193"/>
    </row>
    <row r="6" spans="1:7" ht="78" customHeight="1" x14ac:dyDescent="0.25">
      <c r="A6" s="200" t="s">
        <v>163</v>
      </c>
      <c r="B6" s="200"/>
      <c r="C6" s="200"/>
      <c r="D6" s="200"/>
      <c r="E6" s="200"/>
      <c r="F6" s="200"/>
      <c r="G6" s="200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201" t="s">
        <v>131</v>
      </c>
      <c r="C4" s="201"/>
      <c r="D4" s="201"/>
      <c r="E4" s="201"/>
      <c r="F4" s="201"/>
      <c r="G4" s="201"/>
    </row>
    <row r="5" spans="1:7" ht="114" customHeight="1" x14ac:dyDescent="0.25">
      <c r="A5" s="67" t="s">
        <v>124</v>
      </c>
      <c r="B5" s="194" t="s">
        <v>126</v>
      </c>
      <c r="C5" s="194"/>
      <c r="D5" s="194"/>
      <c r="E5" s="194"/>
      <c r="F5" s="194"/>
      <c r="G5" s="194"/>
    </row>
    <row r="7" spans="1:7" ht="304.5" customHeight="1" x14ac:dyDescent="0.25">
      <c r="A7" s="202" t="s">
        <v>198</v>
      </c>
      <c r="B7" s="16" t="s">
        <v>73</v>
      </c>
      <c r="C7" s="8" t="s">
        <v>72</v>
      </c>
      <c r="D7" s="193" t="s">
        <v>70</v>
      </c>
      <c r="E7" s="195"/>
      <c r="F7" s="8" t="s">
        <v>61</v>
      </c>
      <c r="G7" s="8" t="s">
        <v>71</v>
      </c>
    </row>
    <row r="8" spans="1:7" ht="142.5" customHeight="1" x14ac:dyDescent="0.25">
      <c r="A8" s="202"/>
      <c r="B8" s="203" t="s">
        <v>199</v>
      </c>
      <c r="C8" s="204"/>
      <c r="D8" s="204"/>
      <c r="E8" s="204"/>
      <c r="F8" s="204"/>
      <c r="G8" s="20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5" t="s">
        <v>254</v>
      </c>
      <c r="C5" s="98" t="s">
        <v>252</v>
      </c>
      <c r="D5" s="98" t="s">
        <v>253</v>
      </c>
      <c r="E5" s="205" t="s">
        <v>192</v>
      </c>
      <c r="F5" s="205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205" t="s">
        <v>193</v>
      </c>
      <c r="F6" s="205"/>
      <c r="G6" s="98" t="s">
        <v>193</v>
      </c>
      <c r="H6" s="98" t="s">
        <v>193</v>
      </c>
    </row>
    <row r="7" spans="1:8" ht="63.75" customHeight="1" x14ac:dyDescent="0.25">
      <c r="A7" s="136" t="s">
        <v>255</v>
      </c>
      <c r="B7" s="95" t="s">
        <v>184</v>
      </c>
      <c r="C7" s="98" t="s">
        <v>188</v>
      </c>
      <c r="D7" s="98" t="s">
        <v>190</v>
      </c>
      <c r="E7" s="205" t="s">
        <v>194</v>
      </c>
      <c r="F7" s="205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4" sqref="F24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283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3.2500000000000001E-2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282</v>
      </c>
      <c r="B13" s="148">
        <v>20</v>
      </c>
      <c r="C13" s="148">
        <v>50</v>
      </c>
      <c r="D13" s="148">
        <v>2</v>
      </c>
      <c r="E13" s="148">
        <v>0.03</v>
      </c>
      <c r="F13" s="148">
        <v>0.7</v>
      </c>
      <c r="G13" s="148">
        <v>0.8</v>
      </c>
      <c r="H13" s="148">
        <v>50</v>
      </c>
      <c r="I13" s="148">
        <v>20</v>
      </c>
      <c r="J13" s="148">
        <v>0.09</v>
      </c>
      <c r="K13" s="14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206" t="s">
        <v>166</v>
      </c>
      <c r="K5" s="206"/>
      <c r="L5" s="206"/>
      <c r="M5" s="206"/>
      <c r="N5" s="206"/>
      <c r="O5" s="206"/>
      <c r="P5" s="206"/>
      <c r="Q5" s="206" t="s">
        <v>179</v>
      </c>
      <c r="R5" s="206"/>
      <c r="S5" s="206"/>
      <c r="T5" s="206"/>
      <c r="U5" s="206"/>
      <c r="V5" s="206"/>
      <c r="W5" s="206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20" t="s">
        <v>238</v>
      </c>
      <c r="C5" s="121" t="s">
        <v>239</v>
      </c>
      <c r="D5" s="121" t="s">
        <v>240</v>
      </c>
      <c r="E5" s="121" t="s">
        <v>241</v>
      </c>
      <c r="F5" s="121" t="s">
        <v>242</v>
      </c>
      <c r="G5" s="121" t="s">
        <v>243</v>
      </c>
    </row>
    <row r="6" spans="1:7" ht="19.5" x14ac:dyDescent="0.25">
      <c r="B6" s="122" t="s">
        <v>234</v>
      </c>
      <c r="C6" s="123" t="s">
        <v>244</v>
      </c>
      <c r="D6" s="123" t="s">
        <v>245</v>
      </c>
      <c r="E6" s="123" t="s">
        <v>246</v>
      </c>
      <c r="F6" s="123" t="s">
        <v>247</v>
      </c>
      <c r="G6" s="123" t="s">
        <v>248</v>
      </c>
    </row>
    <row r="7" spans="1:7" x14ac:dyDescent="0.25">
      <c r="B7" s="124">
        <v>2014</v>
      </c>
      <c r="C7" s="125">
        <v>16990</v>
      </c>
      <c r="D7" s="126">
        <v>607</v>
      </c>
      <c r="E7" s="125">
        <v>919</v>
      </c>
      <c r="F7" s="126">
        <v>18</v>
      </c>
      <c r="G7" s="125">
        <v>686</v>
      </c>
    </row>
    <row r="8" spans="1:7" x14ac:dyDescent="0.25">
      <c r="B8" s="127">
        <v>2015</v>
      </c>
      <c r="C8" s="128">
        <v>17347</v>
      </c>
      <c r="D8" s="129">
        <v>632</v>
      </c>
      <c r="E8" s="128">
        <v>970</v>
      </c>
      <c r="F8" s="129">
        <v>13</v>
      </c>
      <c r="G8" s="128">
        <v>1306</v>
      </c>
    </row>
    <row r="9" spans="1:7" x14ac:dyDescent="0.25">
      <c r="B9" s="127">
        <v>2016</v>
      </c>
      <c r="C9" s="128">
        <v>18302</v>
      </c>
      <c r="D9" s="129">
        <v>634</v>
      </c>
      <c r="E9" s="128">
        <v>1104</v>
      </c>
      <c r="F9" s="129">
        <v>13</v>
      </c>
      <c r="G9" s="128">
        <v>1372</v>
      </c>
    </row>
    <row r="10" spans="1:7" x14ac:dyDescent="0.25">
      <c r="B10" s="127">
        <v>2017</v>
      </c>
      <c r="C10" s="128">
        <v>19190</v>
      </c>
      <c r="D10" s="129">
        <v>609</v>
      </c>
      <c r="E10" s="128">
        <v>1050</v>
      </c>
      <c r="F10" s="129">
        <v>13</v>
      </c>
      <c r="G10" s="128">
        <v>1439</v>
      </c>
    </row>
    <row r="11" spans="1:7" x14ac:dyDescent="0.25">
      <c r="B11" s="127">
        <v>2018</v>
      </c>
      <c r="C11" s="128">
        <v>20176</v>
      </c>
      <c r="D11" s="129">
        <v>616</v>
      </c>
      <c r="E11" s="128">
        <v>1149</v>
      </c>
      <c r="F11" s="129">
        <v>13</v>
      </c>
      <c r="G11" s="128">
        <v>1509</v>
      </c>
    </row>
    <row r="12" spans="1:7" x14ac:dyDescent="0.25">
      <c r="B12" s="127">
        <v>2019</v>
      </c>
      <c r="C12" s="128">
        <v>21139</v>
      </c>
      <c r="D12" s="129">
        <v>586</v>
      </c>
      <c r="E12" s="128">
        <v>1267</v>
      </c>
      <c r="F12" s="129">
        <v>12</v>
      </c>
      <c r="G12" s="128">
        <v>1574</v>
      </c>
    </row>
    <row r="13" spans="1:7" x14ac:dyDescent="0.25">
      <c r="B13" s="127">
        <v>2020</v>
      </c>
      <c r="C13" s="128">
        <v>22019</v>
      </c>
      <c r="D13" s="129">
        <v>538</v>
      </c>
      <c r="E13" s="128">
        <v>1212</v>
      </c>
      <c r="F13" s="129">
        <v>12</v>
      </c>
      <c r="G13" s="128">
        <v>1639</v>
      </c>
    </row>
    <row r="14" spans="1:7" x14ac:dyDescent="0.25">
      <c r="B14" s="127">
        <v>2021</v>
      </c>
      <c r="C14" s="128">
        <v>22971</v>
      </c>
      <c r="D14" s="129">
        <v>537</v>
      </c>
      <c r="E14" s="128">
        <v>1283</v>
      </c>
      <c r="F14" s="129">
        <v>12</v>
      </c>
      <c r="G14" s="128">
        <v>1707</v>
      </c>
    </row>
    <row r="15" spans="1:7" x14ac:dyDescent="0.25">
      <c r="B15" s="127">
        <v>2022</v>
      </c>
      <c r="C15" s="128">
        <v>23920</v>
      </c>
      <c r="D15" s="129">
        <v>538</v>
      </c>
      <c r="E15" s="128">
        <v>1350</v>
      </c>
      <c r="F15" s="129">
        <v>12</v>
      </c>
      <c r="G15" s="128">
        <v>1775</v>
      </c>
    </row>
    <row r="16" spans="1:7" x14ac:dyDescent="0.25">
      <c r="B16" s="130">
        <v>2023</v>
      </c>
      <c r="C16" s="131">
        <v>24871</v>
      </c>
      <c r="D16" s="132">
        <v>539</v>
      </c>
      <c r="E16" s="131">
        <v>1416</v>
      </c>
      <c r="F16" s="132">
        <v>12</v>
      </c>
      <c r="G16" s="131">
        <v>1844</v>
      </c>
    </row>
    <row r="17" spans="2:7" x14ac:dyDescent="0.25">
      <c r="B17" s="127">
        <v>2038</v>
      </c>
      <c r="C17" s="128">
        <v>32905</v>
      </c>
      <c r="D17" s="129">
        <v>197</v>
      </c>
      <c r="E17" s="128">
        <v>2584</v>
      </c>
      <c r="F17" s="129">
        <v>5</v>
      </c>
      <c r="G17" s="128">
        <v>2370</v>
      </c>
    </row>
    <row r="18" spans="2:7" x14ac:dyDescent="0.25">
      <c r="B18" s="127">
        <v>2039</v>
      </c>
      <c r="C18" s="128">
        <v>32883</v>
      </c>
      <c r="D18" s="129">
        <v>214</v>
      </c>
      <c r="E18" s="128">
        <v>2667</v>
      </c>
      <c r="F18" s="129">
        <v>4</v>
      </c>
      <c r="G18" s="128">
        <v>2366</v>
      </c>
    </row>
    <row r="19" spans="2:7" x14ac:dyDescent="0.25">
      <c r="B19" s="127">
        <v>2040</v>
      </c>
      <c r="C19" s="128">
        <v>32791</v>
      </c>
      <c r="D19" s="129">
        <v>174</v>
      </c>
      <c r="E19" s="128">
        <v>2734</v>
      </c>
      <c r="F19" s="129">
        <v>4</v>
      </c>
      <c r="G19" s="128">
        <v>2353</v>
      </c>
    </row>
    <row r="20" spans="2:7" x14ac:dyDescent="0.25">
      <c r="B20" s="127">
        <v>2041</v>
      </c>
      <c r="C20" s="128">
        <v>32581</v>
      </c>
      <c r="D20" s="129">
        <v>91</v>
      </c>
      <c r="E20" s="128">
        <v>2785</v>
      </c>
      <c r="F20" s="129">
        <v>3</v>
      </c>
      <c r="G20" s="128">
        <v>2329</v>
      </c>
    </row>
    <row r="21" spans="2:7" x14ac:dyDescent="0.25">
      <c r="B21" s="130">
        <v>2042</v>
      </c>
      <c r="C21" s="131">
        <v>32213</v>
      </c>
      <c r="D21" s="132">
        <v>74</v>
      </c>
      <c r="E21" s="131">
        <v>2824</v>
      </c>
      <c r="F21" s="132">
        <v>2</v>
      </c>
      <c r="G21" s="131">
        <v>2298</v>
      </c>
    </row>
    <row r="22" spans="2:7" x14ac:dyDescent="0.25">
      <c r="B22" s="127">
        <v>2082</v>
      </c>
      <c r="C22" s="128">
        <v>1097</v>
      </c>
      <c r="D22" s="129">
        <v>0</v>
      </c>
      <c r="E22" s="128">
        <v>290</v>
      </c>
      <c r="F22" s="129">
        <v>0</v>
      </c>
      <c r="G22" s="128">
        <v>70</v>
      </c>
    </row>
    <row r="23" spans="2:7" x14ac:dyDescent="0.25">
      <c r="B23" s="127">
        <v>2083</v>
      </c>
      <c r="C23" s="128">
        <v>877</v>
      </c>
      <c r="D23" s="129">
        <v>0</v>
      </c>
      <c r="E23" s="128">
        <v>239</v>
      </c>
      <c r="F23" s="129">
        <v>0</v>
      </c>
      <c r="G23" s="128">
        <v>55</v>
      </c>
    </row>
    <row r="24" spans="2:7" x14ac:dyDescent="0.25">
      <c r="B24" s="127">
        <v>2084</v>
      </c>
      <c r="C24" s="128">
        <v>694</v>
      </c>
      <c r="D24" s="129">
        <v>0</v>
      </c>
      <c r="E24" s="128">
        <v>194</v>
      </c>
      <c r="F24" s="129">
        <v>0</v>
      </c>
      <c r="G24" s="128">
        <v>44</v>
      </c>
    </row>
    <row r="25" spans="2:7" x14ac:dyDescent="0.25">
      <c r="B25" s="127">
        <v>2085</v>
      </c>
      <c r="C25" s="128">
        <v>543</v>
      </c>
      <c r="D25" s="129">
        <v>0</v>
      </c>
      <c r="E25" s="128">
        <v>156</v>
      </c>
      <c r="F25" s="129">
        <v>0</v>
      </c>
      <c r="G25" s="128">
        <v>34</v>
      </c>
    </row>
    <row r="26" spans="2:7" x14ac:dyDescent="0.25">
      <c r="B26" s="130">
        <v>2086</v>
      </c>
      <c r="C26" s="131">
        <v>420</v>
      </c>
      <c r="D26" s="132">
        <v>0</v>
      </c>
      <c r="E26" s="131">
        <v>124</v>
      </c>
      <c r="F26" s="132">
        <v>0</v>
      </c>
      <c r="G26" s="131">
        <v>26</v>
      </c>
    </row>
    <row r="27" spans="2:7" x14ac:dyDescent="0.25">
      <c r="B27" s="127">
        <v>2101</v>
      </c>
      <c r="C27" s="128">
        <v>2</v>
      </c>
      <c r="D27" s="129">
        <v>0</v>
      </c>
      <c r="E27" s="128">
        <v>1</v>
      </c>
      <c r="F27" s="129">
        <v>0</v>
      </c>
      <c r="G27" s="128">
        <v>0</v>
      </c>
    </row>
    <row r="28" spans="2:7" x14ac:dyDescent="0.25">
      <c r="B28" s="127">
        <v>2102</v>
      </c>
      <c r="C28" s="128">
        <v>2</v>
      </c>
      <c r="D28" s="129">
        <v>0</v>
      </c>
      <c r="E28" s="128">
        <v>1</v>
      </c>
      <c r="F28" s="129">
        <v>0</v>
      </c>
      <c r="G28" s="128">
        <v>0</v>
      </c>
    </row>
    <row r="29" spans="2:7" x14ac:dyDescent="0.25">
      <c r="B29" s="130">
        <v>2103</v>
      </c>
      <c r="C29" s="131">
        <v>1</v>
      </c>
      <c r="D29" s="132">
        <v>0</v>
      </c>
      <c r="E29" s="131">
        <v>0</v>
      </c>
      <c r="F29" s="132">
        <v>0</v>
      </c>
      <c r="G29" s="131">
        <v>0</v>
      </c>
    </row>
    <row r="30" spans="2:7" x14ac:dyDescent="0.25">
      <c r="B30" s="127">
        <v>2115</v>
      </c>
      <c r="C30" s="128">
        <v>0</v>
      </c>
      <c r="D30" s="129">
        <v>0</v>
      </c>
      <c r="E30" s="128">
        <v>0</v>
      </c>
      <c r="F30" s="129">
        <v>0</v>
      </c>
      <c r="G30" s="128">
        <v>0</v>
      </c>
    </row>
    <row r="31" spans="2:7" x14ac:dyDescent="0.25">
      <c r="B31" s="133">
        <v>2116</v>
      </c>
      <c r="C31" s="134">
        <v>0</v>
      </c>
      <c r="D31" s="129">
        <v>0</v>
      </c>
      <c r="E31" s="128">
        <v>0</v>
      </c>
      <c r="F31" s="129">
        <v>0</v>
      </c>
      <c r="G31" s="128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299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8">
        <f>D7/(1+0.044)</f>
        <v>5324062.2605363978</v>
      </c>
      <c r="E6" s="138">
        <f t="shared" ref="E6:G6" si="0">E7/(1+0.044)</f>
        <v>5324062.2605363978</v>
      </c>
      <c r="F6" s="138">
        <f t="shared" si="0"/>
        <v>5324062.2605363978</v>
      </c>
      <c r="G6" s="138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9">
        <v>5558321</v>
      </c>
      <c r="E7" s="139">
        <v>5558321</v>
      </c>
      <c r="F7" s="139">
        <v>5558321</v>
      </c>
      <c r="G7" s="139">
        <v>5558321</v>
      </c>
      <c r="I7" t="s">
        <v>259</v>
      </c>
      <c r="J7" s="140">
        <v>0.02</v>
      </c>
    </row>
    <row r="8" spans="1:10" x14ac:dyDescent="0.25">
      <c r="C8">
        <v>2017</v>
      </c>
      <c r="D8" s="139">
        <v>5600426</v>
      </c>
      <c r="E8" s="139">
        <v>5600426</v>
      </c>
      <c r="F8" s="139">
        <v>5600426</v>
      </c>
      <c r="G8" s="139">
        <v>5600426</v>
      </c>
    </row>
    <row r="9" spans="1:10" x14ac:dyDescent="0.25">
      <c r="C9">
        <v>2018</v>
      </c>
      <c r="D9" s="139">
        <v>5783199</v>
      </c>
      <c r="E9" s="139">
        <v>5783199</v>
      </c>
      <c r="F9" s="139">
        <v>5783199</v>
      </c>
      <c r="G9" s="139">
        <v>5783199</v>
      </c>
    </row>
    <row r="10" spans="1:10" x14ac:dyDescent="0.25">
      <c r="C10">
        <v>2019</v>
      </c>
      <c r="D10" s="139">
        <v>5983030</v>
      </c>
      <c r="E10" s="139">
        <v>5983030</v>
      </c>
      <c r="F10" s="139">
        <v>5983030</v>
      </c>
      <c r="G10" s="139">
        <v>5983030</v>
      </c>
    </row>
    <row r="11" spans="1:10" x14ac:dyDescent="0.25">
      <c r="C11">
        <v>2020</v>
      </c>
      <c r="D11" s="139">
        <v>6156556</v>
      </c>
      <c r="E11" s="139">
        <v>6156556</v>
      </c>
      <c r="F11" s="139">
        <v>6156556</v>
      </c>
      <c r="G11" s="139">
        <v>6156556</v>
      </c>
    </row>
    <row r="12" spans="1:10" x14ac:dyDescent="0.25">
      <c r="C12">
        <v>2021</v>
      </c>
      <c r="D12" s="139"/>
      <c r="E12" s="141">
        <f>E11*(1 + $J$5)</f>
        <v>6372035.46</v>
      </c>
      <c r="F12" s="141">
        <f>F11*(1 + $J$6)</f>
        <v>6335096.1239999998</v>
      </c>
      <c r="G12" s="141">
        <f>G11*(1 + $J$7)</f>
        <v>6279687.1200000001</v>
      </c>
    </row>
    <row r="13" spans="1:10" x14ac:dyDescent="0.25">
      <c r="C13">
        <v>2022</v>
      </c>
      <c r="E13" s="141">
        <f t="shared" ref="E13:E35" si="1">E12*(1 + J$5)</f>
        <v>6595056.7010999992</v>
      </c>
      <c r="F13" s="141">
        <f t="shared" ref="F13:F36" si="2">F12*(1 + $J$6)</f>
        <v>6518813.9115959993</v>
      </c>
      <c r="G13" s="141">
        <f t="shared" ref="G13:G36" si="3">G12*(1 + $J$7)</f>
        <v>6405280.8624</v>
      </c>
    </row>
    <row r="14" spans="1:10" x14ac:dyDescent="0.25">
      <c r="C14">
        <v>2023</v>
      </c>
      <c r="E14" s="141">
        <f t="shared" si="1"/>
        <v>6825883.6856384985</v>
      </c>
      <c r="F14" s="141">
        <f t="shared" si="2"/>
        <v>6707859.515032283</v>
      </c>
      <c r="G14" s="141">
        <f t="shared" si="3"/>
        <v>6533386.4796480006</v>
      </c>
    </row>
    <row r="15" spans="1:10" x14ac:dyDescent="0.25">
      <c r="C15">
        <v>2024</v>
      </c>
      <c r="E15" s="141">
        <f t="shared" si="1"/>
        <v>7064789.6146358456</v>
      </c>
      <c r="F15" s="141">
        <f t="shared" si="2"/>
        <v>6902387.4409682183</v>
      </c>
      <c r="G15" s="141">
        <f t="shared" si="3"/>
        <v>6664054.2092409609</v>
      </c>
    </row>
    <row r="16" spans="1:10" x14ac:dyDescent="0.25">
      <c r="C16">
        <v>2025</v>
      </c>
      <c r="E16" s="141">
        <f t="shared" si="1"/>
        <v>7312057.2511481</v>
      </c>
      <c r="F16" s="141">
        <f t="shared" si="2"/>
        <v>7102556.6767562963</v>
      </c>
      <c r="G16" s="141">
        <f t="shared" si="3"/>
        <v>6797335.2934257798</v>
      </c>
    </row>
    <row r="17" spans="3:7" x14ac:dyDescent="0.25">
      <c r="C17">
        <v>2026</v>
      </c>
      <c r="E17" s="141">
        <f t="shared" si="1"/>
        <v>7567979.254938283</v>
      </c>
      <c r="F17" s="141">
        <f t="shared" si="2"/>
        <v>7308530.8203822281</v>
      </c>
      <c r="G17" s="141">
        <f t="shared" si="3"/>
        <v>6933281.9992942959</v>
      </c>
    </row>
    <row r="18" spans="3:7" x14ac:dyDescent="0.25">
      <c r="C18">
        <v>2027</v>
      </c>
      <c r="E18" s="141">
        <f t="shared" si="1"/>
        <v>7832858.5288611222</v>
      </c>
      <c r="F18" s="141">
        <f t="shared" si="2"/>
        <v>7520478.2141733123</v>
      </c>
      <c r="G18" s="141">
        <f t="shared" si="3"/>
        <v>7071947.6392801823</v>
      </c>
    </row>
    <row r="19" spans="3:7" x14ac:dyDescent="0.25">
      <c r="C19">
        <v>2028</v>
      </c>
      <c r="E19" s="141">
        <f t="shared" si="1"/>
        <v>8107008.5773712611</v>
      </c>
      <c r="F19" s="141">
        <f t="shared" si="2"/>
        <v>7738572.0823843377</v>
      </c>
      <c r="G19" s="141">
        <f t="shared" si="3"/>
        <v>7213386.592065786</v>
      </c>
    </row>
    <row r="20" spans="3:7" x14ac:dyDescent="0.25">
      <c r="C20">
        <v>2029</v>
      </c>
      <c r="E20" s="141">
        <f t="shared" si="1"/>
        <v>8390753.877579255</v>
      </c>
      <c r="F20" s="141">
        <f t="shared" si="2"/>
        <v>7962990.6727734832</v>
      </c>
      <c r="G20" s="141">
        <f t="shared" si="3"/>
        <v>7357654.3239071015</v>
      </c>
    </row>
    <row r="21" spans="3:7" x14ac:dyDescent="0.25">
      <c r="C21">
        <v>2030</v>
      </c>
      <c r="E21" s="141">
        <f t="shared" si="1"/>
        <v>8684430.2632945292</v>
      </c>
      <c r="F21" s="141">
        <f t="shared" si="2"/>
        <v>8193917.4022839135</v>
      </c>
      <c r="G21" s="141">
        <f t="shared" si="3"/>
        <v>7504807.4103852436</v>
      </c>
    </row>
    <row r="22" spans="3:7" x14ac:dyDescent="0.25">
      <c r="C22">
        <v>2031</v>
      </c>
      <c r="E22" s="141">
        <f t="shared" si="1"/>
        <v>8988385.3225098364</v>
      </c>
      <c r="F22" s="141">
        <f t="shared" si="2"/>
        <v>8431541.0069501456</v>
      </c>
      <c r="G22" s="141">
        <f t="shared" si="3"/>
        <v>7654903.5585929491</v>
      </c>
    </row>
    <row r="23" spans="3:7" x14ac:dyDescent="0.25">
      <c r="C23">
        <v>2032</v>
      </c>
      <c r="E23" s="141">
        <f t="shared" si="1"/>
        <v>9302978.8087976798</v>
      </c>
      <c r="F23" s="141">
        <f t="shared" si="2"/>
        <v>8676055.6961516999</v>
      </c>
      <c r="G23" s="141">
        <f t="shared" si="3"/>
        <v>7808001.6297648083</v>
      </c>
    </row>
    <row r="24" spans="3:7" x14ac:dyDescent="0.25">
      <c r="C24">
        <v>2033</v>
      </c>
      <c r="E24" s="141">
        <f t="shared" si="1"/>
        <v>9628583.0671055987</v>
      </c>
      <c r="F24" s="141">
        <f t="shared" si="2"/>
        <v>8927661.3113400992</v>
      </c>
      <c r="G24" s="141">
        <f t="shared" si="3"/>
        <v>7964161.6623601047</v>
      </c>
    </row>
    <row r="25" spans="3:7" x14ac:dyDescent="0.25">
      <c r="C25">
        <v>2034</v>
      </c>
      <c r="E25" s="141">
        <f t="shared" si="1"/>
        <v>9965583.474454293</v>
      </c>
      <c r="F25" s="141">
        <f t="shared" si="2"/>
        <v>9186563.4893689621</v>
      </c>
      <c r="G25" s="141">
        <f t="shared" si="3"/>
        <v>8123444.8956073066</v>
      </c>
    </row>
    <row r="26" spans="3:7" x14ac:dyDescent="0.25">
      <c r="C26">
        <v>2035</v>
      </c>
      <c r="E26" s="141">
        <f t="shared" si="1"/>
        <v>10314378.896060193</v>
      </c>
      <c r="F26" s="141">
        <f t="shared" si="2"/>
        <v>9452973.8305606619</v>
      </c>
      <c r="G26" s="141">
        <f t="shared" si="3"/>
        <v>8285913.7935194531</v>
      </c>
    </row>
    <row r="27" spans="3:7" x14ac:dyDescent="0.25">
      <c r="C27">
        <v>2036</v>
      </c>
      <c r="E27" s="141">
        <f t="shared" si="1"/>
        <v>10675382.157422299</v>
      </c>
      <c r="F27" s="141">
        <f t="shared" si="2"/>
        <v>9727110.0716469195</v>
      </c>
      <c r="G27" s="141">
        <f t="shared" si="3"/>
        <v>8451632.0693898425</v>
      </c>
    </row>
    <row r="28" spans="3:7" x14ac:dyDescent="0.25">
      <c r="C28">
        <v>2037</v>
      </c>
      <c r="E28" s="141">
        <f t="shared" si="1"/>
        <v>11049020.532932078</v>
      </c>
      <c r="F28" s="141">
        <f t="shared" si="2"/>
        <v>10009196.263724679</v>
      </c>
      <c r="G28" s="141">
        <f t="shared" si="3"/>
        <v>8620664.7107776403</v>
      </c>
    </row>
    <row r="29" spans="3:7" x14ac:dyDescent="0.25">
      <c r="C29">
        <v>2038</v>
      </c>
      <c r="E29" s="141">
        <f t="shared" si="1"/>
        <v>11435736.251584701</v>
      </c>
      <c r="F29" s="141">
        <f t="shared" si="2"/>
        <v>10299462.955372695</v>
      </c>
      <c r="G29" s="141">
        <f t="shared" si="3"/>
        <v>8793078.0049931929</v>
      </c>
    </row>
    <row r="30" spans="3:7" x14ac:dyDescent="0.25">
      <c r="C30">
        <v>2039</v>
      </c>
      <c r="E30" s="141">
        <f t="shared" si="1"/>
        <v>11835987.020390164</v>
      </c>
      <c r="F30" s="141">
        <f t="shared" si="2"/>
        <v>10598147.381078502</v>
      </c>
      <c r="G30" s="141">
        <f t="shared" si="3"/>
        <v>8968939.5650930572</v>
      </c>
    </row>
    <row r="31" spans="3:7" x14ac:dyDescent="0.25">
      <c r="C31">
        <v>2040</v>
      </c>
      <c r="E31" s="141">
        <f t="shared" si="1"/>
        <v>12250246.56610382</v>
      </c>
      <c r="F31" s="141">
        <f t="shared" si="2"/>
        <v>10905493.655129777</v>
      </c>
      <c r="G31" s="141">
        <f t="shared" si="3"/>
        <v>9148318.3563949186</v>
      </c>
    </row>
    <row r="32" spans="3:7" x14ac:dyDescent="0.25">
      <c r="C32">
        <v>2041</v>
      </c>
      <c r="E32" s="141">
        <f t="shared" si="1"/>
        <v>12679005.195917452</v>
      </c>
      <c r="F32" s="141">
        <f t="shared" si="2"/>
        <v>11221752.97112854</v>
      </c>
      <c r="G32" s="141">
        <f t="shared" si="3"/>
        <v>9331284.7235228177</v>
      </c>
    </row>
    <row r="33" spans="3:7" x14ac:dyDescent="0.25">
      <c r="C33">
        <v>2042</v>
      </c>
      <c r="E33" s="141">
        <f t="shared" si="1"/>
        <v>13122770.377774561</v>
      </c>
      <c r="F33" s="141">
        <f t="shared" si="2"/>
        <v>11547183.807291267</v>
      </c>
      <c r="G33" s="141">
        <f t="shared" si="3"/>
        <v>9517910.4179932736</v>
      </c>
    </row>
    <row r="34" spans="3:7" x14ac:dyDescent="0.25">
      <c r="C34">
        <v>2043</v>
      </c>
      <c r="E34" s="141">
        <f t="shared" si="1"/>
        <v>13582067.34099667</v>
      </c>
      <c r="F34" s="141">
        <f t="shared" si="2"/>
        <v>11882052.137702713</v>
      </c>
      <c r="G34" s="141">
        <f t="shared" si="3"/>
        <v>9708268.6263531391</v>
      </c>
    </row>
    <row r="35" spans="3:7" x14ac:dyDescent="0.25">
      <c r="C35">
        <v>2044</v>
      </c>
      <c r="E35" s="141">
        <f t="shared" si="1"/>
        <v>14057439.697931552</v>
      </c>
      <c r="F35" s="141">
        <f t="shared" si="2"/>
        <v>12226631.649696091</v>
      </c>
      <c r="G35" s="141">
        <f t="shared" si="3"/>
        <v>9902433.998880202</v>
      </c>
    </row>
    <row r="36" spans="3:7" x14ac:dyDescent="0.25">
      <c r="C36">
        <v>2045</v>
      </c>
      <c r="E36" s="141">
        <f t="shared" ref="E36" si="4">E35*(1 + J$5)</f>
        <v>14549450.087359155</v>
      </c>
      <c r="F36" s="141">
        <f t="shared" si="2"/>
        <v>12581203.967537276</v>
      </c>
      <c r="G36" s="14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opLeftCell="B1" workbookViewId="0">
      <selection activeCell="L26" sqref="L26"/>
    </sheetView>
  </sheetViews>
  <sheetFormatPr defaultRowHeight="15" x14ac:dyDescent="0.25"/>
  <cols>
    <col min="4" max="10" width="16.85546875" customWidth="1"/>
    <col min="11" max="11" width="19.42578125" customWidth="1"/>
    <col min="12" max="13" width="13.42578125" customWidth="1"/>
    <col min="14" max="15" width="16.85546875" customWidth="1"/>
    <col min="16" max="16" width="13.42578125" customWidth="1"/>
    <col min="17" max="17" width="12" customWidth="1"/>
  </cols>
  <sheetData>
    <row r="1" spans="2:18" x14ac:dyDescent="0.25">
      <c r="I1" s="171"/>
      <c r="J1" s="171"/>
      <c r="K1" s="171"/>
      <c r="L1" s="171"/>
      <c r="M1" s="171"/>
      <c r="N1" s="171"/>
      <c r="O1" s="171"/>
    </row>
    <row r="2" spans="2:18" ht="76.5" customHeight="1" thickBot="1" x14ac:dyDescent="0.3">
      <c r="B2" s="147" t="s">
        <v>266</v>
      </c>
      <c r="C2" s="147" t="s">
        <v>265</v>
      </c>
      <c r="D2" s="137" t="s">
        <v>264</v>
      </c>
      <c r="E2" s="137" t="s">
        <v>267</v>
      </c>
      <c r="F2" s="137" t="s">
        <v>268</v>
      </c>
      <c r="G2" s="137" t="s">
        <v>276</v>
      </c>
      <c r="H2" s="137" t="s">
        <v>269</v>
      </c>
      <c r="I2" s="172"/>
      <c r="J2" s="182" t="s">
        <v>301</v>
      </c>
      <c r="K2" s="182" t="s">
        <v>315</v>
      </c>
      <c r="L2" s="182" t="s">
        <v>314</v>
      </c>
      <c r="M2" s="182" t="s">
        <v>311</v>
      </c>
      <c r="N2" s="182" t="s">
        <v>312</v>
      </c>
      <c r="O2" s="173"/>
      <c r="P2" s="169" t="s">
        <v>268</v>
      </c>
      <c r="Q2" s="169"/>
    </row>
    <row r="3" spans="2:18" x14ac:dyDescent="0.25">
      <c r="B3">
        <v>2005</v>
      </c>
      <c r="C3" s="143">
        <v>2006</v>
      </c>
      <c r="D3" s="142"/>
      <c r="E3" s="144">
        <v>223219844</v>
      </c>
      <c r="F3" s="142"/>
      <c r="G3" s="142"/>
      <c r="H3" s="142"/>
      <c r="I3" s="174"/>
      <c r="J3" s="175"/>
      <c r="K3" s="176"/>
      <c r="L3" s="177"/>
      <c r="M3" s="177"/>
      <c r="N3" s="177"/>
      <c r="O3" s="177"/>
    </row>
    <row r="4" spans="2:18" ht="18" customHeight="1" x14ac:dyDescent="0.25">
      <c r="B4">
        <v>2006</v>
      </c>
      <c r="C4" s="143">
        <v>2007</v>
      </c>
      <c r="D4" s="144">
        <v>286167278</v>
      </c>
      <c r="E4" s="144">
        <v>314980319</v>
      </c>
      <c r="F4" s="144">
        <v>91545104</v>
      </c>
      <c r="G4" s="144">
        <f t="shared" ref="G4:G8" si="0">E4-F4</f>
        <v>223435215</v>
      </c>
      <c r="H4" s="145">
        <f t="shared" ref="H4:H8" si="1">G4/D4</f>
        <v>0.78078533842712794</v>
      </c>
      <c r="I4" s="178"/>
      <c r="J4" s="179">
        <v>2006</v>
      </c>
      <c r="K4" s="186">
        <v>224946082</v>
      </c>
      <c r="L4" s="187"/>
      <c r="M4" s="187"/>
      <c r="N4" s="187"/>
      <c r="O4" s="177"/>
      <c r="P4" s="170">
        <v>91545104</v>
      </c>
      <c r="Q4" s="170">
        <f t="shared" ref="Q4:Q13" si="2">P4+L5</f>
        <v>324421642</v>
      </c>
    </row>
    <row r="5" spans="2:18" ht="18" customHeight="1" x14ac:dyDescent="0.25">
      <c r="B5">
        <v>2007</v>
      </c>
      <c r="C5" s="143">
        <v>2008</v>
      </c>
      <c r="D5" s="144">
        <v>333672743</v>
      </c>
      <c r="E5" s="144">
        <v>354299709</v>
      </c>
      <c r="F5" s="144">
        <v>95700124</v>
      </c>
      <c r="G5" s="144">
        <f t="shared" si="0"/>
        <v>258599585</v>
      </c>
      <c r="H5" s="145">
        <f t="shared" si="1"/>
        <v>0.77500961773194643</v>
      </c>
      <c r="I5" s="178"/>
      <c r="J5" s="179">
        <v>2007</v>
      </c>
      <c r="K5" s="186">
        <v>261635491</v>
      </c>
      <c r="L5" s="188">
        <v>232876538</v>
      </c>
      <c r="M5" s="183" t="s">
        <v>300</v>
      </c>
      <c r="N5" s="184">
        <f>K5/L5</f>
        <v>1.1234944200347052</v>
      </c>
      <c r="O5" s="181"/>
      <c r="P5" s="170">
        <v>95700124</v>
      </c>
      <c r="Q5" s="170">
        <f t="shared" si="2"/>
        <v>313636003</v>
      </c>
      <c r="R5" t="s">
        <v>300</v>
      </c>
    </row>
    <row r="6" spans="2:18" ht="18" customHeight="1" x14ac:dyDescent="0.25">
      <c r="B6">
        <v>2008</v>
      </c>
      <c r="C6" s="143">
        <v>2009</v>
      </c>
      <c r="D6" s="144">
        <v>326876839</v>
      </c>
      <c r="E6" s="144">
        <v>342383376</v>
      </c>
      <c r="F6" s="144">
        <v>102485719</v>
      </c>
      <c r="G6" s="144">
        <f t="shared" si="0"/>
        <v>239897657</v>
      </c>
      <c r="H6" s="145">
        <f t="shared" si="1"/>
        <v>0.73390839722357937</v>
      </c>
      <c r="I6" s="178"/>
      <c r="J6" s="179">
        <v>2008</v>
      </c>
      <c r="K6" s="186">
        <v>238697929</v>
      </c>
      <c r="L6" s="188">
        <v>217935879</v>
      </c>
      <c r="M6" s="183" t="s">
        <v>302</v>
      </c>
      <c r="N6" s="184">
        <f t="shared" ref="N6:N13" si="3">K6/L6</f>
        <v>1.095266782575071</v>
      </c>
      <c r="O6" s="181"/>
      <c r="P6" s="170">
        <v>102485719</v>
      </c>
      <c r="Q6" s="170">
        <f t="shared" si="2"/>
        <v>341169031</v>
      </c>
    </row>
    <row r="7" spans="2:18" ht="18" customHeight="1" x14ac:dyDescent="0.25">
      <c r="B7">
        <v>2009</v>
      </c>
      <c r="C7" s="143">
        <v>2010</v>
      </c>
      <c r="D7" s="144">
        <v>357165140</v>
      </c>
      <c r="E7" s="144">
        <v>356928488</v>
      </c>
      <c r="F7" s="144">
        <v>112286300</v>
      </c>
      <c r="G7" s="144">
        <f t="shared" si="0"/>
        <v>244642188</v>
      </c>
      <c r="H7" s="145">
        <f t="shared" si="1"/>
        <v>0.68495539066326572</v>
      </c>
      <c r="I7" s="178"/>
      <c r="J7" s="179">
        <v>2009</v>
      </c>
      <c r="K7" s="186">
        <v>250516858</v>
      </c>
      <c r="L7" s="188">
        <v>238683312</v>
      </c>
      <c r="M7" s="183" t="s">
        <v>303</v>
      </c>
      <c r="N7" s="184">
        <f t="shared" si="3"/>
        <v>1.0495784388981497</v>
      </c>
      <c r="O7" s="181"/>
      <c r="P7" s="170">
        <v>112286300</v>
      </c>
      <c r="Q7" s="170">
        <f t="shared" si="2"/>
        <v>402597241</v>
      </c>
    </row>
    <row r="8" spans="2:18" ht="18" customHeight="1" x14ac:dyDescent="0.25">
      <c r="B8">
        <v>2010</v>
      </c>
      <c r="C8" s="143">
        <v>2011</v>
      </c>
      <c r="D8" s="144">
        <v>388773459</v>
      </c>
      <c r="E8" s="144">
        <v>382563515</v>
      </c>
      <c r="F8" s="144">
        <v>111732379</v>
      </c>
      <c r="G8" s="144">
        <f t="shared" si="0"/>
        <v>270831136</v>
      </c>
      <c r="H8" s="145">
        <f t="shared" si="1"/>
        <v>0.69662969456976231</v>
      </c>
      <c r="I8" s="178"/>
      <c r="J8" s="179">
        <v>2010</v>
      </c>
      <c r="K8" s="186">
        <v>277092251</v>
      </c>
      <c r="L8" s="188">
        <v>290310941</v>
      </c>
      <c r="M8" s="183" t="s">
        <v>304</v>
      </c>
      <c r="N8" s="184">
        <f t="shared" si="3"/>
        <v>0.95446713115782988</v>
      </c>
      <c r="O8" s="181"/>
      <c r="P8" s="170">
        <v>111732379</v>
      </c>
      <c r="Q8" s="170">
        <f t="shared" si="2"/>
        <v>479930202</v>
      </c>
    </row>
    <row r="9" spans="2:18" ht="18" customHeight="1" x14ac:dyDescent="0.25">
      <c r="B9">
        <v>2011</v>
      </c>
      <c r="C9" s="143">
        <v>2012</v>
      </c>
      <c r="D9" s="144">
        <v>444565284</v>
      </c>
      <c r="E9" s="144">
        <v>441692557</v>
      </c>
      <c r="F9" s="144">
        <v>110770763</v>
      </c>
      <c r="G9" s="144">
        <f>E9-F9</f>
        <v>330921794</v>
      </c>
      <c r="H9" s="145">
        <f>G9/D9</f>
        <v>0.74437165003644323</v>
      </c>
      <c r="I9" s="178"/>
      <c r="J9" s="179">
        <v>2011</v>
      </c>
      <c r="K9" s="186">
        <v>321593433</v>
      </c>
      <c r="L9" s="188">
        <v>368197823</v>
      </c>
      <c r="M9" s="183" t="s">
        <v>305</v>
      </c>
      <c r="N9" s="184">
        <f t="shared" si="3"/>
        <v>0.8734256774788155</v>
      </c>
      <c r="O9" s="181"/>
      <c r="P9" s="170">
        <v>110770763</v>
      </c>
      <c r="Q9" s="170">
        <f t="shared" si="2"/>
        <v>547044996</v>
      </c>
    </row>
    <row r="10" spans="2:18" ht="18" customHeight="1" x14ac:dyDescent="0.25">
      <c r="B10">
        <v>2012</v>
      </c>
      <c r="C10" s="143">
        <v>2013</v>
      </c>
      <c r="D10" s="144">
        <v>508387283</v>
      </c>
      <c r="E10" s="144">
        <v>497225747</v>
      </c>
      <c r="F10" s="144">
        <v>127343851</v>
      </c>
      <c r="G10" s="144">
        <f t="shared" ref="G10:G12" si="4">E10-F10</f>
        <v>369881896</v>
      </c>
      <c r="H10" s="145">
        <f t="shared" ref="H10:H12" si="5">G10/D10</f>
        <v>0.72755930049493389</v>
      </c>
      <c r="I10" s="178"/>
      <c r="J10" s="179">
        <v>2012</v>
      </c>
      <c r="K10" s="186">
        <v>375448092</v>
      </c>
      <c r="L10" s="188">
        <v>436274233</v>
      </c>
      <c r="M10" s="183" t="s">
        <v>306</v>
      </c>
      <c r="N10" s="184">
        <f t="shared" si="3"/>
        <v>0.86057819509134292</v>
      </c>
      <c r="O10" s="181"/>
      <c r="P10" s="170">
        <v>127343851</v>
      </c>
      <c r="Q10" s="170">
        <f t="shared" si="2"/>
        <v>591824706</v>
      </c>
    </row>
    <row r="11" spans="2:18" ht="18" customHeight="1" x14ac:dyDescent="0.25">
      <c r="B11">
        <v>2013</v>
      </c>
      <c r="C11" s="143">
        <v>2014</v>
      </c>
      <c r="D11" s="144">
        <v>578805107</v>
      </c>
      <c r="E11" s="144">
        <v>565093149</v>
      </c>
      <c r="F11" s="144">
        <v>129370345</v>
      </c>
      <c r="G11" s="144">
        <f t="shared" si="4"/>
        <v>435722804</v>
      </c>
      <c r="H11" s="145">
        <f t="shared" si="5"/>
        <v>0.75279709651905335</v>
      </c>
      <c r="I11" s="178"/>
      <c r="J11" s="179">
        <v>2013</v>
      </c>
      <c r="K11" s="186">
        <v>440698260</v>
      </c>
      <c r="L11" s="188">
        <v>464480855</v>
      </c>
      <c r="M11" s="183" t="s">
        <v>307</v>
      </c>
      <c r="N11" s="184">
        <f t="shared" si="3"/>
        <v>0.94879746981175361</v>
      </c>
      <c r="O11" s="181"/>
      <c r="P11" s="170">
        <v>129370345</v>
      </c>
      <c r="Q11" s="170">
        <f t="shared" si="2"/>
        <v>627464983</v>
      </c>
    </row>
    <row r="12" spans="2:18" ht="18" customHeight="1" x14ac:dyDescent="0.25">
      <c r="B12">
        <v>2014</v>
      </c>
      <c r="C12" s="143">
        <v>2015</v>
      </c>
      <c r="D12" s="144">
        <v>628808763</v>
      </c>
      <c r="E12" s="144">
        <v>626119974</v>
      </c>
      <c r="F12" s="144">
        <v>132691115</v>
      </c>
      <c r="G12" s="144">
        <f t="shared" si="4"/>
        <v>493428859</v>
      </c>
      <c r="H12" s="145">
        <f t="shared" si="5"/>
        <v>0.78470417086092681</v>
      </c>
      <c r="I12" s="178"/>
      <c r="J12" s="179">
        <v>2014</v>
      </c>
      <c r="K12" s="186">
        <v>480332251</v>
      </c>
      <c r="L12" s="188">
        <v>498094638</v>
      </c>
      <c r="M12" s="183" t="s">
        <v>308</v>
      </c>
      <c r="N12" s="184">
        <f t="shared" si="3"/>
        <v>0.96433933304056163</v>
      </c>
      <c r="O12" s="181"/>
      <c r="P12" s="170">
        <v>132691115</v>
      </c>
      <c r="Q12" s="170">
        <f t="shared" si="2"/>
        <v>626119974</v>
      </c>
    </row>
    <row r="13" spans="2:18" ht="18" customHeight="1" x14ac:dyDescent="0.25">
      <c r="B13">
        <v>2015</v>
      </c>
      <c r="C13" s="143">
        <v>2016</v>
      </c>
      <c r="F13" s="144">
        <v>134441085</v>
      </c>
      <c r="G13" s="144"/>
      <c r="H13" s="145"/>
      <c r="I13" s="178"/>
      <c r="J13" s="179">
        <v>2015</v>
      </c>
      <c r="K13" s="186">
        <v>478385438</v>
      </c>
      <c r="L13" s="188">
        <v>493428859</v>
      </c>
      <c r="M13" s="183" t="s">
        <v>309</v>
      </c>
      <c r="N13" s="184">
        <f t="shared" si="3"/>
        <v>0.96951248244683641</v>
      </c>
      <c r="O13" s="181"/>
      <c r="P13" s="170">
        <v>134441085</v>
      </c>
      <c r="Q13" s="170">
        <f t="shared" si="2"/>
        <v>591225013</v>
      </c>
    </row>
    <row r="14" spans="2:18" ht="18" customHeight="1" thickBot="1" x14ac:dyDescent="0.3">
      <c r="I14" s="171"/>
      <c r="J14" s="191">
        <v>2016</v>
      </c>
      <c r="K14" s="189"/>
      <c r="L14" s="190">
        <v>456783928</v>
      </c>
      <c r="M14" s="185" t="s">
        <v>310</v>
      </c>
      <c r="N14" s="190"/>
      <c r="O14" s="180"/>
    </row>
    <row r="15" spans="2:18" x14ac:dyDescent="0.25">
      <c r="I15" s="171"/>
      <c r="J15" s="177" t="s">
        <v>313</v>
      </c>
      <c r="K15" s="171"/>
      <c r="L15" s="171"/>
      <c r="M15" s="171"/>
      <c r="N15" s="171"/>
      <c r="O15" s="171"/>
    </row>
    <row r="16" spans="2:18" x14ac:dyDescent="0.25">
      <c r="I16" s="171"/>
      <c r="J16" s="171"/>
      <c r="K16" s="171"/>
      <c r="L16" s="171"/>
      <c r="M16" s="171"/>
      <c r="N16" s="171"/>
      <c r="O16" s="171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15"/>
  <sheetViews>
    <sheetView workbookViewId="0">
      <selection activeCell="G22" sqref="G22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3" x14ac:dyDescent="0.25">
      <c r="E2" s="207" t="s">
        <v>272</v>
      </c>
      <c r="F2" s="207"/>
      <c r="G2" s="207"/>
      <c r="H2" s="208" t="s">
        <v>273</v>
      </c>
      <c r="I2" s="208"/>
      <c r="L2" t="s">
        <v>276</v>
      </c>
    </row>
    <row r="3" spans="3:13" ht="45" x14ac:dyDescent="0.25">
      <c r="C3" s="147" t="s">
        <v>266</v>
      </c>
      <c r="D3" s="147" t="s">
        <v>265</v>
      </c>
      <c r="E3" s="147" t="s">
        <v>270</v>
      </c>
      <c r="F3" s="147" t="s">
        <v>271</v>
      </c>
      <c r="G3" s="147" t="s">
        <v>274</v>
      </c>
      <c r="H3" s="147" t="s">
        <v>271</v>
      </c>
      <c r="I3" s="147" t="s">
        <v>274</v>
      </c>
      <c r="J3" s="147" t="s">
        <v>275</v>
      </c>
    </row>
    <row r="4" spans="3:13" x14ac:dyDescent="0.25">
      <c r="C4">
        <v>2005</v>
      </c>
      <c r="D4" s="143">
        <v>2006</v>
      </c>
      <c r="E4" s="142"/>
      <c r="F4" s="144"/>
      <c r="G4" s="144"/>
      <c r="H4" s="144"/>
      <c r="J4" s="146"/>
    </row>
    <row r="5" spans="3:13" x14ac:dyDescent="0.25">
      <c r="C5">
        <v>2006</v>
      </c>
      <c r="D5" s="143">
        <v>2007</v>
      </c>
      <c r="E5" s="144">
        <v>286167278</v>
      </c>
      <c r="F5" s="144"/>
      <c r="G5" s="144"/>
      <c r="H5" s="144"/>
      <c r="J5" s="146"/>
      <c r="L5">
        <v>223435215</v>
      </c>
    </row>
    <row r="6" spans="3:13" x14ac:dyDescent="0.25">
      <c r="C6">
        <v>2007</v>
      </c>
      <c r="D6" s="143">
        <v>2008</v>
      </c>
      <c r="E6" s="144">
        <v>333672743</v>
      </c>
      <c r="F6" s="144"/>
      <c r="G6" s="144"/>
      <c r="H6" s="144"/>
      <c r="J6" s="146"/>
      <c r="L6">
        <v>258599585</v>
      </c>
    </row>
    <row r="7" spans="3:13" x14ac:dyDescent="0.25">
      <c r="C7">
        <v>2008</v>
      </c>
      <c r="D7" s="143">
        <v>2009</v>
      </c>
      <c r="E7" s="144">
        <v>326876839</v>
      </c>
      <c r="F7" s="144"/>
      <c r="G7" s="144"/>
      <c r="H7" s="144"/>
      <c r="J7" s="146"/>
      <c r="L7">
        <v>239897657</v>
      </c>
    </row>
    <row r="8" spans="3:13" x14ac:dyDescent="0.25">
      <c r="C8">
        <v>2009</v>
      </c>
      <c r="D8" s="143">
        <v>2010</v>
      </c>
      <c r="E8" s="144">
        <v>357165140</v>
      </c>
      <c r="F8" s="144"/>
      <c r="G8" s="144"/>
      <c r="H8" s="144"/>
      <c r="J8" s="146"/>
      <c r="L8">
        <v>244642188</v>
      </c>
    </row>
    <row r="9" spans="3:13" x14ac:dyDescent="0.25">
      <c r="C9">
        <v>2010</v>
      </c>
      <c r="D9" s="143">
        <v>2011</v>
      </c>
      <c r="E9" s="144">
        <v>388773459</v>
      </c>
      <c r="F9" s="144">
        <f>394.7*1000000</f>
        <v>394700000</v>
      </c>
      <c r="G9" s="144"/>
      <c r="H9" s="144">
        <f>335.4*1000000</f>
        <v>335400000</v>
      </c>
      <c r="J9" s="146">
        <f>H9/F9</f>
        <v>0.84975931086901446</v>
      </c>
      <c r="L9">
        <v>270831136</v>
      </c>
      <c r="M9">
        <f>H9/L9</f>
        <v>1.2384100475065023</v>
      </c>
    </row>
    <row r="10" spans="3:13" x14ac:dyDescent="0.25">
      <c r="C10">
        <v>2011</v>
      </c>
      <c r="D10" s="143">
        <v>2012</v>
      </c>
      <c r="E10" s="144">
        <v>444565284</v>
      </c>
      <c r="F10" s="144">
        <f>471384436+3644894+736292</f>
        <v>475765622</v>
      </c>
      <c r="G10" s="144"/>
      <c r="H10" s="144">
        <v>482498572</v>
      </c>
      <c r="J10" s="146">
        <f t="shared" ref="J10:J14" si="0">H10/F10</f>
        <v>1.0141518211671039</v>
      </c>
      <c r="L10">
        <v>330921794</v>
      </c>
      <c r="M10">
        <f t="shared" ref="M10:M13" si="1">H10/L10</f>
        <v>1.4580441081496132</v>
      </c>
    </row>
    <row r="11" spans="3:13" x14ac:dyDescent="0.25">
      <c r="C11">
        <v>2012</v>
      </c>
      <c r="D11" s="143">
        <v>2013</v>
      </c>
      <c r="E11" s="144">
        <v>508387283</v>
      </c>
      <c r="F11" s="144">
        <f>505082619+1003643+3498111</f>
        <v>509584373</v>
      </c>
      <c r="G11" s="146">
        <f>F11/F10-1</f>
        <v>7.108279673052964E-2</v>
      </c>
      <c r="H11" s="144">
        <v>419806102</v>
      </c>
      <c r="I11" s="146">
        <f>H11/H10-1</f>
        <v>-0.12993296485859862</v>
      </c>
      <c r="J11" s="146">
        <f t="shared" si="0"/>
        <v>0.82382059624108606</v>
      </c>
      <c r="L11">
        <v>369881896</v>
      </c>
      <c r="M11">
        <f t="shared" si="1"/>
        <v>1.1349733699861861</v>
      </c>
    </row>
    <row r="12" spans="3:13" x14ac:dyDescent="0.25">
      <c r="C12">
        <v>2013</v>
      </c>
      <c r="D12" s="143">
        <v>2014</v>
      </c>
      <c r="E12" s="144">
        <v>578805107</v>
      </c>
      <c r="F12" s="144">
        <f>574871226+1070154+3933881</f>
        <v>579875261</v>
      </c>
      <c r="G12" s="146">
        <f t="shared" ref="G12:G14" si="2">F12/F11-1</f>
        <v>0.13793768357963354</v>
      </c>
      <c r="H12" s="144">
        <v>450746001</v>
      </c>
      <c r="I12" s="146">
        <f t="shared" ref="I12:I14" si="3">H12/H11-1</f>
        <v>7.3700450881011736E-2</v>
      </c>
      <c r="J12" s="146">
        <f t="shared" si="0"/>
        <v>0.77731545267629554</v>
      </c>
      <c r="L12">
        <v>435722804</v>
      </c>
      <c r="M12">
        <f t="shared" si="1"/>
        <v>1.0344787944585063</v>
      </c>
    </row>
    <row r="13" spans="3:13" x14ac:dyDescent="0.25">
      <c r="C13">
        <v>2014</v>
      </c>
      <c r="D13" s="143">
        <v>2015</v>
      </c>
      <c r="E13" s="144">
        <v>628808763</v>
      </c>
      <c r="F13" s="144">
        <f>624423315+551000+4385448</f>
        <v>629359763</v>
      </c>
      <c r="G13" s="146">
        <f t="shared" si="2"/>
        <v>8.5336459973587298E-2</v>
      </c>
      <c r="H13" s="144">
        <v>500035962</v>
      </c>
      <c r="I13" s="146">
        <f t="shared" si="3"/>
        <v>0.1093519651658541</v>
      </c>
      <c r="J13" s="146">
        <f t="shared" si="0"/>
        <v>0.79451530173529694</v>
      </c>
      <c r="L13">
        <v>493428859</v>
      </c>
      <c r="M13">
        <f t="shared" si="1"/>
        <v>1.0133901835684889</v>
      </c>
    </row>
    <row r="14" spans="3:13" x14ac:dyDescent="0.25">
      <c r="C14">
        <v>2015</v>
      </c>
      <c r="D14" s="143">
        <v>2016</v>
      </c>
      <c r="F14" s="144">
        <f>623414600-563500 + 4237083</f>
        <v>627088183</v>
      </c>
      <c r="G14" s="146">
        <f t="shared" si="2"/>
        <v>-3.6093505393035574E-3</v>
      </c>
      <c r="H14" s="144">
        <v>554863405</v>
      </c>
      <c r="I14" s="146">
        <f t="shared" si="3"/>
        <v>0.10964699974919001</v>
      </c>
      <c r="J14" s="146">
        <f t="shared" si="0"/>
        <v>0.88482516501191988</v>
      </c>
    </row>
    <row r="15" spans="3:13" x14ac:dyDescent="0.25">
      <c r="F15" s="144"/>
      <c r="G15" s="144"/>
      <c r="H15" s="144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6" sqref="B16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H19" sqref="H19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topLeftCell="A88" workbookViewId="0">
      <selection activeCell="G68" sqref="G6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63" customWidth="1"/>
    <col min="5" max="5" width="32.28515625" style="155" customWidth="1"/>
    <col min="6" max="6" width="32.28515625" style="165" customWidth="1"/>
    <col min="7" max="7" width="32.28515625" style="155" customWidth="1"/>
    <col min="8" max="8" width="32.28515625" style="110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281</v>
      </c>
      <c r="F3" s="157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60" t="s">
        <v>206</v>
      </c>
      <c r="E6" s="109" t="s">
        <v>207</v>
      </c>
      <c r="F6" s="166" t="s">
        <v>208</v>
      </c>
      <c r="G6" s="109" t="s">
        <v>209</v>
      </c>
      <c r="H6" s="111" t="s">
        <v>219</v>
      </c>
    </row>
    <row r="7" spans="1:9" ht="30.75" customHeight="1" x14ac:dyDescent="0.25">
      <c r="A7" s="105" t="s">
        <v>149</v>
      </c>
      <c r="B7" s="114" t="s">
        <v>221</v>
      </c>
      <c r="C7" s="115" t="s">
        <v>222</v>
      </c>
      <c r="D7" s="161" t="s">
        <v>223</v>
      </c>
      <c r="E7" s="116" t="s">
        <v>224</v>
      </c>
      <c r="F7" s="167" t="s">
        <v>225</v>
      </c>
      <c r="G7" s="116" t="s">
        <v>226</v>
      </c>
      <c r="H7" s="117" t="s">
        <v>227</v>
      </c>
      <c r="I7" s="119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64" t="s">
        <v>277</v>
      </c>
      <c r="E8" s="112">
        <v>21</v>
      </c>
      <c r="F8" s="168">
        <v>165691579</v>
      </c>
      <c r="G8" s="112">
        <v>21</v>
      </c>
      <c r="H8" s="118">
        <v>14801171</v>
      </c>
      <c r="I8" t="s">
        <v>230</v>
      </c>
    </row>
    <row r="9" spans="1:9" ht="18" customHeight="1" x14ac:dyDescent="0.25">
      <c r="A9" s="50" t="s">
        <v>151</v>
      </c>
      <c r="B9" s="149" t="s">
        <v>210</v>
      </c>
      <c r="C9" s="107">
        <v>39629</v>
      </c>
      <c r="D9" s="162">
        <v>-632245519</v>
      </c>
      <c r="E9" s="112">
        <v>29</v>
      </c>
      <c r="F9" s="156">
        <v>-713695924</v>
      </c>
      <c r="G9" s="112">
        <v>21</v>
      </c>
      <c r="H9" s="150">
        <v>-46382784</v>
      </c>
      <c r="I9" t="s">
        <v>231</v>
      </c>
    </row>
    <row r="10" spans="1:9" ht="18" customHeight="1" x14ac:dyDescent="0.25">
      <c r="A10" s="50" t="s">
        <v>151</v>
      </c>
      <c r="B10" s="151" t="s">
        <v>211</v>
      </c>
      <c r="C10" s="108">
        <v>39994</v>
      </c>
      <c r="D10" s="159">
        <v>53442825</v>
      </c>
      <c r="E10" s="113">
        <v>15</v>
      </c>
      <c r="F10" s="157">
        <v>42345974</v>
      </c>
      <c r="G10" s="113">
        <v>8</v>
      </c>
      <c r="H10" s="152">
        <v>5926343</v>
      </c>
      <c r="I10" t="s">
        <v>231</v>
      </c>
    </row>
    <row r="11" spans="1:9" ht="18" customHeight="1" x14ac:dyDescent="0.25">
      <c r="A11" s="50" t="s">
        <v>151</v>
      </c>
      <c r="B11" s="151" t="s">
        <v>211</v>
      </c>
      <c r="C11" s="108">
        <v>40359</v>
      </c>
      <c r="D11" s="159">
        <v>210742926</v>
      </c>
      <c r="E11" s="113">
        <v>15</v>
      </c>
      <c r="F11" s="157">
        <v>177212946</v>
      </c>
      <c r="G11" s="113">
        <v>9</v>
      </c>
      <c r="H11" s="152">
        <v>22395902</v>
      </c>
      <c r="I11" t="s">
        <v>231</v>
      </c>
    </row>
    <row r="12" spans="1:9" ht="18" customHeight="1" x14ac:dyDescent="0.25">
      <c r="A12" s="50" t="s">
        <v>151</v>
      </c>
      <c r="B12" s="151" t="s">
        <v>212</v>
      </c>
      <c r="C12" s="108">
        <v>40359</v>
      </c>
      <c r="D12" s="159">
        <v>1450331</v>
      </c>
      <c r="E12" s="113">
        <v>27</v>
      </c>
      <c r="F12" s="157">
        <v>1570796</v>
      </c>
      <c r="G12" s="113">
        <v>21</v>
      </c>
      <c r="H12" s="152">
        <v>102085</v>
      </c>
      <c r="I12" t="s">
        <v>231</v>
      </c>
    </row>
    <row r="13" spans="1:9" ht="18" customHeight="1" x14ac:dyDescent="0.25">
      <c r="A13" s="50" t="s">
        <v>151</v>
      </c>
      <c r="B13" s="151" t="s">
        <v>211</v>
      </c>
      <c r="C13" s="108">
        <v>40724</v>
      </c>
      <c r="D13" s="159">
        <v>203104597</v>
      </c>
      <c r="E13" s="113">
        <v>15</v>
      </c>
      <c r="F13" s="157">
        <v>179203687</v>
      </c>
      <c r="G13" s="113">
        <v>10</v>
      </c>
      <c r="H13" s="152">
        <v>20704944</v>
      </c>
      <c r="I13" t="s">
        <v>231</v>
      </c>
    </row>
    <row r="14" spans="1:9" ht="18" customHeight="1" x14ac:dyDescent="0.25">
      <c r="A14" s="50" t="s">
        <v>151</v>
      </c>
      <c r="B14" s="151" t="s">
        <v>212</v>
      </c>
      <c r="C14" s="108">
        <v>40724</v>
      </c>
      <c r="D14" s="159">
        <v>344553091</v>
      </c>
      <c r="E14" s="113">
        <v>26</v>
      </c>
      <c r="F14" s="157">
        <v>366509424</v>
      </c>
      <c r="G14" s="113">
        <v>21</v>
      </c>
      <c r="H14" s="152">
        <v>23819286</v>
      </c>
      <c r="I14" t="s">
        <v>231</v>
      </c>
    </row>
    <row r="15" spans="1:9" ht="18" customHeight="1" x14ac:dyDescent="0.25">
      <c r="A15" s="50" t="s">
        <v>151</v>
      </c>
      <c r="B15" s="151" t="s">
        <v>211</v>
      </c>
      <c r="C15" s="108">
        <v>41090</v>
      </c>
      <c r="D15" s="159">
        <v>238453071</v>
      </c>
      <c r="E15" s="113">
        <v>20</v>
      </c>
      <c r="F15" s="157">
        <v>238011048</v>
      </c>
      <c r="G15" s="113">
        <v>16</v>
      </c>
      <c r="H15" s="152">
        <v>18847200</v>
      </c>
      <c r="I15" t="s">
        <v>231</v>
      </c>
    </row>
    <row r="16" spans="1:9" ht="18" customHeight="1" x14ac:dyDescent="0.25">
      <c r="A16" s="50" t="s">
        <v>151</v>
      </c>
      <c r="B16" s="151" t="s">
        <v>211</v>
      </c>
      <c r="C16" s="108">
        <v>41455</v>
      </c>
      <c r="D16" s="159">
        <v>73947281</v>
      </c>
      <c r="E16" s="113">
        <v>20</v>
      </c>
      <c r="F16" s="157">
        <v>74104788</v>
      </c>
      <c r="G16" s="113">
        <v>17</v>
      </c>
      <c r="H16" s="152">
        <v>5606652</v>
      </c>
      <c r="I16" t="s">
        <v>231</v>
      </c>
    </row>
    <row r="17" spans="1:9" ht="18" customHeight="1" x14ac:dyDescent="0.25">
      <c r="A17" s="50" t="s">
        <v>151</v>
      </c>
      <c r="B17" s="151" t="s">
        <v>213</v>
      </c>
      <c r="C17" s="108">
        <v>41820</v>
      </c>
      <c r="D17" s="159">
        <v>-212930921</v>
      </c>
      <c r="E17" s="113">
        <v>20</v>
      </c>
      <c r="F17" s="157">
        <v>-213513903</v>
      </c>
      <c r="G17" s="113">
        <v>18</v>
      </c>
      <c r="H17" s="152">
        <v>-15486648</v>
      </c>
      <c r="I17" t="s">
        <v>231</v>
      </c>
    </row>
    <row r="18" spans="1:9" ht="18" customHeight="1" x14ac:dyDescent="0.25">
      <c r="A18" s="50" t="s">
        <v>151</v>
      </c>
      <c r="B18" s="151" t="s">
        <v>212</v>
      </c>
      <c r="C18" s="108">
        <v>41820</v>
      </c>
      <c r="D18" s="159">
        <v>-65152628</v>
      </c>
      <c r="E18" s="113">
        <v>25</v>
      </c>
      <c r="F18" s="157">
        <v>-66723384</v>
      </c>
      <c r="G18" s="113">
        <v>23</v>
      </c>
      <c r="H18" s="152">
        <v>-4076232</v>
      </c>
      <c r="I18" t="s">
        <v>231</v>
      </c>
    </row>
    <row r="19" spans="1:9" ht="18" customHeight="1" x14ac:dyDescent="0.25">
      <c r="A19" s="50" t="s">
        <v>151</v>
      </c>
      <c r="B19" s="151" t="s">
        <v>213</v>
      </c>
      <c r="C19" s="108">
        <v>42185</v>
      </c>
      <c r="D19" s="159">
        <v>-288914220</v>
      </c>
      <c r="E19" s="113">
        <v>20</v>
      </c>
      <c r="F19" s="157">
        <v>-289698031</v>
      </c>
      <c r="G19" s="113">
        <v>19</v>
      </c>
      <c r="H19" s="152">
        <v>-20204787</v>
      </c>
      <c r="I19" t="s">
        <v>231</v>
      </c>
    </row>
    <row r="20" spans="1:9" ht="18" customHeight="1" x14ac:dyDescent="0.25">
      <c r="A20" s="50" t="s">
        <v>151</v>
      </c>
      <c r="B20" s="151" t="s">
        <v>213</v>
      </c>
      <c r="C20" s="108">
        <v>42551</v>
      </c>
      <c r="D20" s="159">
        <v>-82781971</v>
      </c>
      <c r="E20" s="113">
        <v>20</v>
      </c>
      <c r="F20" s="158">
        <v>-82781971</v>
      </c>
      <c r="G20" s="113">
        <v>20</v>
      </c>
      <c r="H20" s="154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62">
        <v>-15977993</v>
      </c>
      <c r="E21" s="112">
        <v>14</v>
      </c>
      <c r="F21" s="156">
        <v>-6476269</v>
      </c>
      <c r="G21" s="112">
        <v>3</v>
      </c>
      <c r="H21" s="150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59">
        <v>279608</v>
      </c>
      <c r="E22" s="113">
        <v>15</v>
      </c>
      <c r="F22" s="157">
        <v>140887</v>
      </c>
      <c r="G22" s="113">
        <v>4</v>
      </c>
      <c r="H22" s="152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59">
        <v>-6281127</v>
      </c>
      <c r="E23" s="113">
        <v>15</v>
      </c>
      <c r="F23" s="157">
        <v>-3164910</v>
      </c>
      <c r="G23" s="113">
        <v>4</v>
      </c>
      <c r="H23" s="152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59">
        <v>2454735</v>
      </c>
      <c r="E24" s="113">
        <v>17</v>
      </c>
      <c r="F24" s="157">
        <v>1633633</v>
      </c>
      <c r="G24" s="113">
        <v>6</v>
      </c>
      <c r="H24" s="152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59">
        <v>-20329471</v>
      </c>
      <c r="E25" s="113">
        <v>20</v>
      </c>
      <c r="F25" s="157">
        <v>-17196117</v>
      </c>
      <c r="G25" s="113">
        <v>9</v>
      </c>
      <c r="H25" s="152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59">
        <v>2832341</v>
      </c>
      <c r="E26" s="113">
        <v>21</v>
      </c>
      <c r="F26" s="157">
        <v>2532605</v>
      </c>
      <c r="G26" s="113">
        <v>10</v>
      </c>
      <c r="H26" s="152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59">
        <v>-18309076</v>
      </c>
      <c r="E27" s="113">
        <v>21</v>
      </c>
      <c r="F27" s="157">
        <v>-16371495</v>
      </c>
      <c r="G27" s="113">
        <v>10</v>
      </c>
      <c r="H27" s="152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59">
        <v>5510715</v>
      </c>
      <c r="E28" s="113">
        <v>23</v>
      </c>
      <c r="F28" s="157">
        <v>5387707</v>
      </c>
      <c r="G28" s="113">
        <v>12</v>
      </c>
      <c r="H28" s="152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59">
        <v>9268417</v>
      </c>
      <c r="E29" s="113">
        <v>23</v>
      </c>
      <c r="F29" s="157">
        <v>9061528</v>
      </c>
      <c r="G29" s="113">
        <v>12</v>
      </c>
      <c r="H29" s="152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59">
        <v>949873</v>
      </c>
      <c r="E30" s="113">
        <v>25</v>
      </c>
      <c r="F30" s="157">
        <v>994721</v>
      </c>
      <c r="G30" s="113">
        <v>14</v>
      </c>
      <c r="H30" s="152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59">
        <v>-39924972</v>
      </c>
      <c r="E31" s="113">
        <v>11</v>
      </c>
      <c r="F31" s="157">
        <v>0</v>
      </c>
      <c r="G31" s="113">
        <v>10</v>
      </c>
      <c r="H31" s="152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59">
        <v>-29148684</v>
      </c>
      <c r="E32" s="113">
        <v>26</v>
      </c>
      <c r="F32" s="157">
        <v>-31415090</v>
      </c>
      <c r="G32" s="113">
        <v>15</v>
      </c>
      <c r="H32" s="152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59">
        <v>110014634</v>
      </c>
      <c r="E33" s="113">
        <v>12</v>
      </c>
      <c r="F33" s="157">
        <v>17377556</v>
      </c>
      <c r="G33" s="113">
        <v>1</v>
      </c>
      <c r="H33" s="152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59">
        <v>151681782</v>
      </c>
      <c r="E34" s="113">
        <v>13</v>
      </c>
      <c r="F34" s="157">
        <v>44185963</v>
      </c>
      <c r="G34" s="113">
        <v>2</v>
      </c>
      <c r="H34" s="152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59">
        <v>10104562</v>
      </c>
      <c r="E35" s="113">
        <v>14</v>
      </c>
      <c r="F35" s="157">
        <v>4095624</v>
      </c>
      <c r="G35" s="113">
        <v>3</v>
      </c>
      <c r="H35" s="152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59">
        <v>-8698728</v>
      </c>
      <c r="E36" s="113">
        <v>29</v>
      </c>
      <c r="F36" s="157">
        <v>-10055415</v>
      </c>
      <c r="G36" s="113">
        <v>18</v>
      </c>
      <c r="H36" s="152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59">
        <v>21605884</v>
      </c>
      <c r="E37" s="113">
        <v>15</v>
      </c>
      <c r="F37" s="157">
        <v>10886689</v>
      </c>
      <c r="G37" s="113">
        <v>4</v>
      </c>
      <c r="H37" s="152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59">
        <v>27253819</v>
      </c>
      <c r="E38" s="113">
        <v>30</v>
      </c>
      <c r="F38" s="157">
        <v>32113516</v>
      </c>
      <c r="G38" s="113">
        <v>19</v>
      </c>
      <c r="H38" s="152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59">
        <v>16400257</v>
      </c>
      <c r="E39" s="113">
        <v>15</v>
      </c>
      <c r="F39" s="157">
        <v>9681030</v>
      </c>
      <c r="G39" s="113">
        <v>5</v>
      </c>
      <c r="H39" s="152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59">
        <v>29340123</v>
      </c>
      <c r="E40" s="113">
        <v>30</v>
      </c>
      <c r="F40" s="157">
        <v>34152022</v>
      </c>
      <c r="G40" s="113">
        <v>20</v>
      </c>
      <c r="H40" s="152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59">
        <v>-20934587</v>
      </c>
      <c r="E41" s="113">
        <v>21</v>
      </c>
      <c r="F41" s="157">
        <v>-19876488</v>
      </c>
      <c r="G41" s="113">
        <v>12</v>
      </c>
      <c r="H41" s="152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59">
        <v>-5027630</v>
      </c>
      <c r="E42" s="113">
        <v>30</v>
      </c>
      <c r="F42" s="157">
        <v>-5803736</v>
      </c>
      <c r="G42" s="113">
        <v>21</v>
      </c>
      <c r="H42" s="152">
        <v>-377182</v>
      </c>
      <c r="I42" t="s">
        <v>231</v>
      </c>
    </row>
    <row r="43" spans="1:9" ht="18" customHeight="1" x14ac:dyDescent="0.25">
      <c r="A43" s="50" t="s">
        <v>152</v>
      </c>
      <c r="B43" s="149" t="s">
        <v>213</v>
      </c>
      <c r="C43" s="107">
        <v>39629</v>
      </c>
      <c r="D43" s="162">
        <v>-18292189</v>
      </c>
      <c r="E43" s="112">
        <v>17</v>
      </c>
      <c r="F43" s="156">
        <v>-15230411</v>
      </c>
      <c r="G43" s="112">
        <v>9</v>
      </c>
      <c r="H43" s="150">
        <v>-1924796</v>
      </c>
      <c r="I43" t="s">
        <v>231</v>
      </c>
    </row>
    <row r="44" spans="1:9" ht="18" customHeight="1" x14ac:dyDescent="0.25">
      <c r="A44" s="50" t="s">
        <v>152</v>
      </c>
      <c r="B44" s="151" t="s">
        <v>212</v>
      </c>
      <c r="C44" s="108">
        <v>39629</v>
      </c>
      <c r="D44" s="159">
        <v>8034472</v>
      </c>
      <c r="E44" s="113">
        <v>30</v>
      </c>
      <c r="F44" s="157">
        <v>9178030</v>
      </c>
      <c r="G44" s="113">
        <v>22</v>
      </c>
      <c r="H44" s="152">
        <v>577739</v>
      </c>
      <c r="I44" t="s">
        <v>231</v>
      </c>
    </row>
    <row r="45" spans="1:9" ht="18" customHeight="1" x14ac:dyDescent="0.25">
      <c r="A45" s="50" t="s">
        <v>152</v>
      </c>
      <c r="B45" s="151" t="s">
        <v>211</v>
      </c>
      <c r="C45" s="108">
        <v>39994</v>
      </c>
      <c r="D45" s="159">
        <v>10158177</v>
      </c>
      <c r="E45" s="113">
        <v>15</v>
      </c>
      <c r="F45" s="157">
        <v>8048938</v>
      </c>
      <c r="G45" s="113">
        <v>8</v>
      </c>
      <c r="H45" s="152">
        <v>1126453</v>
      </c>
      <c r="I45" t="s">
        <v>231</v>
      </c>
    </row>
    <row r="46" spans="1:9" ht="18" customHeight="1" x14ac:dyDescent="0.25">
      <c r="A46" s="50" t="s">
        <v>152</v>
      </c>
      <c r="B46" s="151" t="s">
        <v>211</v>
      </c>
      <c r="C46" s="108">
        <v>40359</v>
      </c>
      <c r="D46" s="159">
        <v>2144522</v>
      </c>
      <c r="E46" s="113">
        <v>15</v>
      </c>
      <c r="F46" s="157">
        <v>1803321</v>
      </c>
      <c r="G46" s="113">
        <v>9</v>
      </c>
      <c r="H46" s="152">
        <v>227901</v>
      </c>
      <c r="I46" t="s">
        <v>231</v>
      </c>
    </row>
    <row r="47" spans="1:9" ht="18" customHeight="1" x14ac:dyDescent="0.25">
      <c r="A47" s="50" t="s">
        <v>152</v>
      </c>
      <c r="B47" s="151" t="s">
        <v>212</v>
      </c>
      <c r="C47" s="108">
        <v>40359</v>
      </c>
      <c r="D47" s="159">
        <v>25997606</v>
      </c>
      <c r="E47" s="113">
        <v>30</v>
      </c>
      <c r="F47" s="157">
        <v>28915692</v>
      </c>
      <c r="G47" s="113">
        <v>24</v>
      </c>
      <c r="H47" s="152">
        <v>1717497</v>
      </c>
      <c r="I47" t="s">
        <v>231</v>
      </c>
    </row>
    <row r="48" spans="1:9" ht="18" customHeight="1" x14ac:dyDescent="0.25">
      <c r="A48" s="50" t="s">
        <v>152</v>
      </c>
      <c r="B48" s="151" t="s">
        <v>217</v>
      </c>
      <c r="C48" s="108">
        <v>40724</v>
      </c>
      <c r="D48" s="159">
        <v>-18044</v>
      </c>
      <c r="E48" s="113">
        <v>30</v>
      </c>
      <c r="F48" s="157">
        <v>-19769</v>
      </c>
      <c r="G48" s="113">
        <v>25</v>
      </c>
      <c r="H48" s="152">
        <v>-1144</v>
      </c>
      <c r="I48" t="s">
        <v>231</v>
      </c>
    </row>
    <row r="49" spans="1:9" ht="18" customHeight="1" x14ac:dyDescent="0.25">
      <c r="A49" s="50" t="s">
        <v>152</v>
      </c>
      <c r="B49" s="151" t="s">
        <v>211</v>
      </c>
      <c r="C49" s="108">
        <v>40724</v>
      </c>
      <c r="D49" s="159">
        <v>1095451</v>
      </c>
      <c r="E49" s="113">
        <v>15</v>
      </c>
      <c r="F49" s="157">
        <v>966540</v>
      </c>
      <c r="G49" s="113">
        <v>10</v>
      </c>
      <c r="H49" s="152">
        <v>111673</v>
      </c>
      <c r="I49" t="s">
        <v>231</v>
      </c>
    </row>
    <row r="50" spans="1:9" ht="18" customHeight="1" x14ac:dyDescent="0.25">
      <c r="A50" s="50" t="s">
        <v>152</v>
      </c>
      <c r="B50" s="151" t="s">
        <v>212</v>
      </c>
      <c r="C50" s="108">
        <v>40724</v>
      </c>
      <c r="D50" s="159">
        <v>25593931</v>
      </c>
      <c r="E50" s="113">
        <v>30</v>
      </c>
      <c r="F50" s="157">
        <v>28039833</v>
      </c>
      <c r="G50" s="113">
        <v>25</v>
      </c>
      <c r="H50" s="152">
        <v>1621943</v>
      </c>
      <c r="I50" t="s">
        <v>231</v>
      </c>
    </row>
    <row r="51" spans="1:9" ht="18" customHeight="1" x14ac:dyDescent="0.25">
      <c r="A51" s="50" t="s">
        <v>152</v>
      </c>
      <c r="B51" s="151" t="s">
        <v>211</v>
      </c>
      <c r="C51" s="108">
        <v>41090</v>
      </c>
      <c r="D51" s="159">
        <v>10983184</v>
      </c>
      <c r="E51" s="113">
        <v>20</v>
      </c>
      <c r="F51" s="157">
        <v>10962823</v>
      </c>
      <c r="G51" s="113">
        <v>16</v>
      </c>
      <c r="H51" s="152">
        <v>868105</v>
      </c>
      <c r="I51" t="s">
        <v>231</v>
      </c>
    </row>
    <row r="52" spans="1:9" ht="18" customHeight="1" x14ac:dyDescent="0.25">
      <c r="A52" s="50" t="s">
        <v>152</v>
      </c>
      <c r="B52" s="151" t="s">
        <v>211</v>
      </c>
      <c r="C52" s="108">
        <v>41455</v>
      </c>
      <c r="D52" s="159">
        <v>6011719</v>
      </c>
      <c r="E52" s="113">
        <v>20</v>
      </c>
      <c r="F52" s="157">
        <v>6024525</v>
      </c>
      <c r="G52" s="113">
        <v>17</v>
      </c>
      <c r="H52" s="152">
        <v>455806</v>
      </c>
      <c r="I52" t="s">
        <v>231</v>
      </c>
    </row>
    <row r="53" spans="1:9" ht="18" customHeight="1" x14ac:dyDescent="0.25">
      <c r="A53" s="50" t="s">
        <v>152</v>
      </c>
      <c r="B53" s="151" t="s">
        <v>213</v>
      </c>
      <c r="C53" s="108">
        <v>41820</v>
      </c>
      <c r="D53" s="159">
        <v>-15610972</v>
      </c>
      <c r="E53" s="113">
        <v>20</v>
      </c>
      <c r="F53" s="157">
        <v>-15653713</v>
      </c>
      <c r="G53" s="113">
        <v>18</v>
      </c>
      <c r="H53" s="152">
        <v>-1135399</v>
      </c>
      <c r="I53" t="s">
        <v>231</v>
      </c>
    </row>
    <row r="54" spans="1:9" ht="18" customHeight="1" x14ac:dyDescent="0.25">
      <c r="A54" s="50" t="s">
        <v>152</v>
      </c>
      <c r="B54" s="151" t="s">
        <v>212</v>
      </c>
      <c r="C54" s="108">
        <v>41820</v>
      </c>
      <c r="D54" s="159">
        <v>-3528915</v>
      </c>
      <c r="E54" s="113">
        <v>25</v>
      </c>
      <c r="F54" s="157">
        <v>-3613993</v>
      </c>
      <c r="G54" s="113">
        <v>23</v>
      </c>
      <c r="H54" s="152">
        <v>-220784</v>
      </c>
      <c r="I54" t="s">
        <v>231</v>
      </c>
    </row>
    <row r="55" spans="1:9" ht="18" customHeight="1" x14ac:dyDescent="0.25">
      <c r="A55" s="50" t="s">
        <v>152</v>
      </c>
      <c r="B55" s="151" t="s">
        <v>213</v>
      </c>
      <c r="C55" s="108">
        <v>42185</v>
      </c>
      <c r="D55" s="159">
        <v>-46361062</v>
      </c>
      <c r="E55" s="113">
        <v>20</v>
      </c>
      <c r="F55" s="157">
        <v>-46486838</v>
      </c>
      <c r="G55" s="113">
        <v>19</v>
      </c>
      <c r="H55" s="152">
        <v>-3242192</v>
      </c>
      <c r="I55" t="s">
        <v>231</v>
      </c>
    </row>
    <row r="56" spans="1:9" ht="18" customHeight="1" x14ac:dyDescent="0.25">
      <c r="A56" s="50" t="s">
        <v>152</v>
      </c>
      <c r="B56" s="151" t="s">
        <v>213</v>
      </c>
      <c r="C56" s="108">
        <v>42551</v>
      </c>
      <c r="D56" s="159">
        <v>-18410183</v>
      </c>
      <c r="E56" s="113">
        <v>20</v>
      </c>
      <c r="F56" s="158">
        <v>-18410183</v>
      </c>
      <c r="G56" s="113">
        <v>20</v>
      </c>
      <c r="H56" s="154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62">
        <v>-6262457</v>
      </c>
      <c r="E57" s="112">
        <v>14</v>
      </c>
      <c r="F57" s="156">
        <v>-2538327</v>
      </c>
      <c r="G57" s="112">
        <v>3</v>
      </c>
      <c r="H57" s="150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59">
        <v>109592</v>
      </c>
      <c r="E58" s="113">
        <v>15</v>
      </c>
      <c r="F58" s="157">
        <v>55221</v>
      </c>
      <c r="G58" s="113">
        <v>4</v>
      </c>
      <c r="H58" s="152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59">
        <v>-2461841</v>
      </c>
      <c r="E59" s="113">
        <v>15</v>
      </c>
      <c r="F59" s="157">
        <v>-1240463</v>
      </c>
      <c r="G59" s="113">
        <v>4</v>
      </c>
      <c r="H59" s="152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59">
        <v>962115</v>
      </c>
      <c r="E60" s="113">
        <v>17</v>
      </c>
      <c r="F60" s="157">
        <v>640290</v>
      </c>
      <c r="G60" s="113">
        <v>6</v>
      </c>
      <c r="H60" s="152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59">
        <v>-7967987</v>
      </c>
      <c r="E61" s="113">
        <v>20</v>
      </c>
      <c r="F61" s="157">
        <v>-6739891</v>
      </c>
      <c r="G61" s="113">
        <v>9</v>
      </c>
      <c r="H61" s="152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59">
        <v>1110115</v>
      </c>
      <c r="E62" s="113">
        <v>21</v>
      </c>
      <c r="F62" s="157">
        <v>992638</v>
      </c>
      <c r="G62" s="113">
        <v>10</v>
      </c>
      <c r="H62" s="152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59">
        <v>-7176108</v>
      </c>
      <c r="E63" s="113">
        <v>21</v>
      </c>
      <c r="F63" s="157">
        <v>-6416689</v>
      </c>
      <c r="G63" s="113">
        <v>10</v>
      </c>
      <c r="H63" s="152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59">
        <v>2159884</v>
      </c>
      <c r="E64" s="113">
        <v>23</v>
      </c>
      <c r="F64" s="157">
        <v>2111673</v>
      </c>
      <c r="G64" s="113">
        <v>12</v>
      </c>
      <c r="H64" s="152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59">
        <v>3632689</v>
      </c>
      <c r="E65" s="113">
        <v>23</v>
      </c>
      <c r="F65" s="157">
        <v>3551602</v>
      </c>
      <c r="G65" s="113">
        <v>12</v>
      </c>
      <c r="H65" s="152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59">
        <v>370129</v>
      </c>
      <c r="E66" s="113">
        <v>25</v>
      </c>
      <c r="F66" s="157">
        <v>387604</v>
      </c>
      <c r="G66" s="113">
        <v>14</v>
      </c>
      <c r="H66" s="152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59">
        <v>-9231354</v>
      </c>
      <c r="E67" s="113">
        <v>11</v>
      </c>
      <c r="F67" s="157">
        <v>0</v>
      </c>
      <c r="G67" s="113">
        <v>10</v>
      </c>
      <c r="H67" s="152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59">
        <v>-4878745</v>
      </c>
      <c r="E68" s="113">
        <v>26</v>
      </c>
      <c r="F68" s="157">
        <v>-5258083</v>
      </c>
      <c r="G68" s="113">
        <v>15</v>
      </c>
      <c r="H68" s="152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59">
        <v>18536288</v>
      </c>
      <c r="E69" s="113">
        <v>12</v>
      </c>
      <c r="F69" s="157">
        <v>2927932</v>
      </c>
      <c r="G69" s="113">
        <v>1</v>
      </c>
      <c r="H69" s="152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59">
        <v>59690449</v>
      </c>
      <c r="E70" s="113">
        <v>13</v>
      </c>
      <c r="F70" s="157">
        <v>17388245</v>
      </c>
      <c r="G70" s="113">
        <v>2</v>
      </c>
      <c r="H70" s="152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59">
        <v>10147466</v>
      </c>
      <c r="E71" s="113">
        <v>14</v>
      </c>
      <c r="F71" s="157">
        <v>4113015</v>
      </c>
      <c r="G71" s="113">
        <v>3</v>
      </c>
      <c r="H71" s="152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59">
        <v>-5220974</v>
      </c>
      <c r="E72" s="113">
        <v>29</v>
      </c>
      <c r="F72" s="157">
        <v>-6035260</v>
      </c>
      <c r="G72" s="113">
        <v>18</v>
      </c>
      <c r="H72" s="152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59">
        <v>13244413</v>
      </c>
      <c r="E73" s="113">
        <v>15</v>
      </c>
      <c r="F73" s="157">
        <v>6673545</v>
      </c>
      <c r="G73" s="113">
        <v>4</v>
      </c>
      <c r="H73" s="152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59">
        <v>14033320</v>
      </c>
      <c r="E74" s="113">
        <v>30</v>
      </c>
      <c r="F74" s="157">
        <v>16535635</v>
      </c>
      <c r="G74" s="113">
        <v>19</v>
      </c>
      <c r="H74" s="152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59">
        <v>6063600</v>
      </c>
      <c r="E75" s="113">
        <v>15</v>
      </c>
      <c r="F75" s="157">
        <v>3579328</v>
      </c>
      <c r="G75" s="113">
        <v>5</v>
      </c>
      <c r="H75" s="152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59">
        <v>14561746</v>
      </c>
      <c r="E76" s="113">
        <v>30</v>
      </c>
      <c r="F76" s="157">
        <v>16949930</v>
      </c>
      <c r="G76" s="113">
        <v>20</v>
      </c>
      <c r="H76" s="152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59">
        <v>-8926309</v>
      </c>
      <c r="E77" s="113">
        <v>21</v>
      </c>
      <c r="F77" s="157">
        <v>-8475147</v>
      </c>
      <c r="G77" s="113">
        <v>12</v>
      </c>
      <c r="H77" s="152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59">
        <v>-3015790</v>
      </c>
      <c r="E78" s="113">
        <v>30</v>
      </c>
      <c r="F78" s="157">
        <v>-3481331</v>
      </c>
      <c r="G78" s="113">
        <v>21</v>
      </c>
      <c r="H78" s="152">
        <v>-226250</v>
      </c>
      <c r="I78" t="s">
        <v>231</v>
      </c>
    </row>
    <row r="79" spans="1:9" ht="18" customHeight="1" x14ac:dyDescent="0.25">
      <c r="A79" s="50" t="s">
        <v>153</v>
      </c>
      <c r="B79" s="149" t="s">
        <v>213</v>
      </c>
      <c r="C79" s="107">
        <v>39629</v>
      </c>
      <c r="D79" s="162">
        <v>-4429445</v>
      </c>
      <c r="E79" s="112">
        <v>17</v>
      </c>
      <c r="F79" s="156">
        <v>-3688038</v>
      </c>
      <c r="G79" s="112">
        <v>9</v>
      </c>
      <c r="H79" s="150">
        <v>-466089</v>
      </c>
      <c r="I79" t="s">
        <v>231</v>
      </c>
    </row>
    <row r="80" spans="1:9" ht="18" customHeight="1" x14ac:dyDescent="0.25">
      <c r="A80" s="50" t="s">
        <v>153</v>
      </c>
      <c r="B80" s="151" t="s">
        <v>212</v>
      </c>
      <c r="C80" s="108">
        <v>39629</v>
      </c>
      <c r="D80" s="159">
        <v>10599393</v>
      </c>
      <c r="E80" s="113">
        <v>30</v>
      </c>
      <c r="F80" s="157">
        <v>12108018</v>
      </c>
      <c r="G80" s="113">
        <v>22</v>
      </c>
      <c r="H80" s="152">
        <v>762176</v>
      </c>
      <c r="I80" t="s">
        <v>231</v>
      </c>
    </row>
    <row r="81" spans="1:9" ht="18" customHeight="1" x14ac:dyDescent="0.25">
      <c r="A81" s="50" t="s">
        <v>153</v>
      </c>
      <c r="B81" s="151" t="s">
        <v>211</v>
      </c>
      <c r="C81" s="108">
        <v>39994</v>
      </c>
      <c r="D81" s="159">
        <v>11924683</v>
      </c>
      <c r="E81" s="113">
        <v>15</v>
      </c>
      <c r="F81" s="157">
        <v>9448646</v>
      </c>
      <c r="G81" s="113">
        <v>8</v>
      </c>
      <c r="H81" s="152">
        <v>1322343</v>
      </c>
      <c r="I81" t="s">
        <v>231</v>
      </c>
    </row>
    <row r="82" spans="1:9" ht="18" customHeight="1" x14ac:dyDescent="0.25">
      <c r="A82" s="50" t="s">
        <v>153</v>
      </c>
      <c r="B82" s="151" t="s">
        <v>211</v>
      </c>
      <c r="C82" s="108">
        <v>40359</v>
      </c>
      <c r="D82" s="159">
        <v>4794050</v>
      </c>
      <c r="E82" s="113">
        <v>15</v>
      </c>
      <c r="F82" s="157">
        <v>4031299</v>
      </c>
      <c r="G82" s="113">
        <v>9</v>
      </c>
      <c r="H82" s="152">
        <v>509469</v>
      </c>
      <c r="I82" t="s">
        <v>231</v>
      </c>
    </row>
    <row r="83" spans="1:9" ht="18" customHeight="1" x14ac:dyDescent="0.25">
      <c r="A83" s="50" t="s">
        <v>153</v>
      </c>
      <c r="B83" s="151" t="s">
        <v>212</v>
      </c>
      <c r="C83" s="108">
        <v>40359</v>
      </c>
      <c r="D83" s="159">
        <v>12948180</v>
      </c>
      <c r="E83" s="113">
        <v>30</v>
      </c>
      <c r="F83" s="157">
        <v>14401539</v>
      </c>
      <c r="G83" s="113">
        <v>24</v>
      </c>
      <c r="H83" s="152">
        <v>855404</v>
      </c>
      <c r="I83" t="s">
        <v>231</v>
      </c>
    </row>
    <row r="84" spans="1:9" ht="18" customHeight="1" x14ac:dyDescent="0.25">
      <c r="A84" s="50" t="s">
        <v>153</v>
      </c>
      <c r="B84" s="151" t="s">
        <v>217</v>
      </c>
      <c r="C84" s="108">
        <v>40724</v>
      </c>
      <c r="D84" s="159">
        <v>1483135</v>
      </c>
      <c r="E84" s="113">
        <v>30</v>
      </c>
      <c r="F84" s="157">
        <v>1624871</v>
      </c>
      <c r="G84" s="113">
        <v>25</v>
      </c>
      <c r="H84" s="152">
        <v>93989</v>
      </c>
      <c r="I84" t="s">
        <v>231</v>
      </c>
    </row>
    <row r="85" spans="1:9" ht="18" customHeight="1" x14ac:dyDescent="0.25">
      <c r="A85" s="50" t="s">
        <v>153</v>
      </c>
      <c r="B85" s="151" t="s">
        <v>211</v>
      </c>
      <c r="C85" s="108">
        <v>40724</v>
      </c>
      <c r="D85" s="159">
        <v>5867945</v>
      </c>
      <c r="E85" s="113">
        <v>15</v>
      </c>
      <c r="F85" s="157">
        <v>5177419</v>
      </c>
      <c r="G85" s="113">
        <v>10</v>
      </c>
      <c r="H85" s="152">
        <v>598192</v>
      </c>
      <c r="I85" t="s">
        <v>231</v>
      </c>
    </row>
    <row r="86" spans="1:9" ht="18" customHeight="1" x14ac:dyDescent="0.25">
      <c r="A86" s="50" t="s">
        <v>153</v>
      </c>
      <c r="B86" s="151" t="s">
        <v>212</v>
      </c>
      <c r="C86" s="108">
        <v>40724</v>
      </c>
      <c r="D86" s="159">
        <v>12753767</v>
      </c>
      <c r="E86" s="113">
        <v>30</v>
      </c>
      <c r="F86" s="157">
        <v>13972590</v>
      </c>
      <c r="G86" s="113">
        <v>25</v>
      </c>
      <c r="H86" s="152">
        <v>808234</v>
      </c>
      <c r="I86" t="s">
        <v>231</v>
      </c>
    </row>
    <row r="87" spans="1:9" ht="18" customHeight="1" x14ac:dyDescent="0.25">
      <c r="A87" s="50" t="s">
        <v>153</v>
      </c>
      <c r="B87" s="151" t="s">
        <v>211</v>
      </c>
      <c r="C87" s="108">
        <v>41090</v>
      </c>
      <c r="D87" s="159">
        <v>9377426</v>
      </c>
      <c r="E87" s="113">
        <v>20</v>
      </c>
      <c r="F87" s="157">
        <v>9360043</v>
      </c>
      <c r="G87" s="113">
        <v>16</v>
      </c>
      <c r="H87" s="152">
        <v>741187</v>
      </c>
      <c r="I87" t="s">
        <v>231</v>
      </c>
    </row>
    <row r="88" spans="1:9" ht="18" customHeight="1" x14ac:dyDescent="0.25">
      <c r="A88" s="50" t="s">
        <v>153</v>
      </c>
      <c r="B88" s="151" t="s">
        <v>211</v>
      </c>
      <c r="C88" s="108">
        <v>41455</v>
      </c>
      <c r="D88" s="159">
        <v>6625380</v>
      </c>
      <c r="E88" s="113">
        <v>20</v>
      </c>
      <c r="F88" s="157">
        <v>6639492</v>
      </c>
      <c r="G88" s="113">
        <v>17</v>
      </c>
      <c r="H88" s="152">
        <v>502334</v>
      </c>
      <c r="I88" t="s">
        <v>231</v>
      </c>
    </row>
    <row r="89" spans="1:9" ht="18" customHeight="1" x14ac:dyDescent="0.25">
      <c r="A89" s="50" t="s">
        <v>153</v>
      </c>
      <c r="B89" s="151" t="s">
        <v>213</v>
      </c>
      <c r="C89" s="108">
        <v>41820</v>
      </c>
      <c r="D89" s="159">
        <v>-11060872</v>
      </c>
      <c r="E89" s="113">
        <v>20</v>
      </c>
      <c r="F89" s="157">
        <v>-11091155</v>
      </c>
      <c r="G89" s="113">
        <v>18</v>
      </c>
      <c r="H89" s="152">
        <v>-804467</v>
      </c>
      <c r="I89" t="s">
        <v>231</v>
      </c>
    </row>
    <row r="90" spans="1:9" ht="18" customHeight="1" x14ac:dyDescent="0.25">
      <c r="A90" s="50" t="s">
        <v>153</v>
      </c>
      <c r="B90" s="151" t="s">
        <v>212</v>
      </c>
      <c r="C90" s="108">
        <v>41820</v>
      </c>
      <c r="D90" s="159">
        <v>9988189</v>
      </c>
      <c r="E90" s="113">
        <v>25</v>
      </c>
      <c r="F90" s="157">
        <v>10228993</v>
      </c>
      <c r="G90" s="113">
        <v>23</v>
      </c>
      <c r="H90" s="152">
        <v>624905</v>
      </c>
      <c r="I90" t="s">
        <v>231</v>
      </c>
    </row>
    <row r="91" spans="1:9" ht="18" customHeight="1" x14ac:dyDescent="0.25">
      <c r="A91" s="50" t="s">
        <v>153</v>
      </c>
      <c r="B91" s="151" t="s">
        <v>213</v>
      </c>
      <c r="C91" s="108">
        <v>42185</v>
      </c>
      <c r="D91" s="159">
        <v>-16640244</v>
      </c>
      <c r="E91" s="113">
        <v>20</v>
      </c>
      <c r="F91" s="157">
        <v>-16685388</v>
      </c>
      <c r="G91" s="113">
        <v>19</v>
      </c>
      <c r="H91" s="152">
        <v>-1163711</v>
      </c>
      <c r="I91" t="s">
        <v>231</v>
      </c>
    </row>
    <row r="92" spans="1:9" ht="18" customHeight="1" x14ac:dyDescent="0.25">
      <c r="A92" s="50" t="s">
        <v>153</v>
      </c>
      <c r="B92" s="151" t="s">
        <v>213</v>
      </c>
      <c r="C92" s="108">
        <v>42551</v>
      </c>
      <c r="D92" s="159">
        <v>-3718134</v>
      </c>
      <c r="E92" s="113">
        <v>20</v>
      </c>
      <c r="F92" s="158">
        <v>-3718134</v>
      </c>
      <c r="G92" s="113">
        <v>20</v>
      </c>
      <c r="H92" s="154">
        <v>-250021</v>
      </c>
      <c r="I92" t="s">
        <v>231</v>
      </c>
    </row>
    <row r="93" spans="1:9" ht="18" customHeight="1" x14ac:dyDescent="0.25">
      <c r="A93" s="50" t="s">
        <v>278</v>
      </c>
      <c r="B93" s="103" t="s">
        <v>218</v>
      </c>
      <c r="C93" s="107">
        <v>37437</v>
      </c>
      <c r="D93" s="162">
        <v>-157564364</v>
      </c>
      <c r="E93" s="112">
        <v>27</v>
      </c>
      <c r="F93" s="156">
        <v>-174249137</v>
      </c>
      <c r="G93" s="112">
        <v>16</v>
      </c>
      <c r="H93" s="150">
        <v>-13798134</v>
      </c>
      <c r="I93" t="s">
        <v>231</v>
      </c>
    </row>
    <row r="94" spans="1:9" ht="18" customHeight="1" x14ac:dyDescent="0.25">
      <c r="A94" s="50" t="s">
        <v>278</v>
      </c>
      <c r="B94" s="104" t="s">
        <v>213</v>
      </c>
      <c r="C94" s="108">
        <v>37802</v>
      </c>
      <c r="D94" s="159">
        <v>-314459851</v>
      </c>
      <c r="E94" s="113">
        <v>13</v>
      </c>
      <c r="F94" s="157">
        <v>-91604351</v>
      </c>
      <c r="G94" s="113">
        <v>2</v>
      </c>
      <c r="H94" s="152">
        <v>-46560131</v>
      </c>
      <c r="I94" t="s">
        <v>231</v>
      </c>
    </row>
    <row r="95" spans="1:9" ht="18" customHeight="1" x14ac:dyDescent="0.25">
      <c r="A95" s="50" t="s">
        <v>278</v>
      </c>
      <c r="B95" s="104" t="s">
        <v>211</v>
      </c>
      <c r="C95" s="108">
        <v>38168</v>
      </c>
      <c r="D95" s="159">
        <v>106500938</v>
      </c>
      <c r="E95" s="113">
        <v>14</v>
      </c>
      <c r="F95" s="157">
        <v>43167419</v>
      </c>
      <c r="G95" s="113">
        <v>3</v>
      </c>
      <c r="H95" s="152">
        <v>14867959</v>
      </c>
      <c r="I95" t="s">
        <v>231</v>
      </c>
    </row>
    <row r="96" spans="1:9" ht="18" customHeight="1" x14ac:dyDescent="0.25">
      <c r="A96" s="50" t="s">
        <v>278</v>
      </c>
      <c r="B96" s="104" t="s">
        <v>212</v>
      </c>
      <c r="C96" s="108">
        <v>38168</v>
      </c>
      <c r="D96" s="159">
        <v>-242147820</v>
      </c>
      <c r="E96" s="113">
        <v>29</v>
      </c>
      <c r="F96" s="157">
        <v>-279914118</v>
      </c>
      <c r="G96" s="113">
        <v>18</v>
      </c>
      <c r="H96" s="152">
        <v>-20302806</v>
      </c>
      <c r="I96" t="s">
        <v>231</v>
      </c>
    </row>
    <row r="97" spans="1:21" ht="18" customHeight="1" x14ac:dyDescent="0.25">
      <c r="A97" s="50" t="s">
        <v>278</v>
      </c>
      <c r="B97" s="104" t="s">
        <v>211</v>
      </c>
      <c r="C97" s="108">
        <v>38533</v>
      </c>
      <c r="D97" s="159">
        <v>241854245</v>
      </c>
      <c r="E97" s="113">
        <v>15</v>
      </c>
      <c r="F97" s="157">
        <v>121864580</v>
      </c>
      <c r="G97" s="113">
        <v>4</v>
      </c>
      <c r="H97" s="152">
        <v>31995055</v>
      </c>
      <c r="I97" t="s">
        <v>231</v>
      </c>
    </row>
    <row r="98" spans="1:21" ht="18" customHeight="1" x14ac:dyDescent="0.25">
      <c r="A98" s="50" t="s">
        <v>278</v>
      </c>
      <c r="B98" s="104" t="s">
        <v>212</v>
      </c>
      <c r="C98" s="108">
        <v>38533</v>
      </c>
      <c r="D98" s="159">
        <v>421011169</v>
      </c>
      <c r="E98" s="113">
        <v>30</v>
      </c>
      <c r="F98" s="157">
        <v>496082720</v>
      </c>
      <c r="G98" s="113">
        <v>19</v>
      </c>
      <c r="H98" s="152">
        <v>34598943</v>
      </c>
      <c r="I98" t="s">
        <v>231</v>
      </c>
    </row>
    <row r="99" spans="1:21" ht="18" customHeight="1" x14ac:dyDescent="0.25">
      <c r="A99" s="50" t="s">
        <v>278</v>
      </c>
      <c r="B99" s="104" t="s">
        <v>211</v>
      </c>
      <c r="C99" s="108">
        <v>38898</v>
      </c>
      <c r="D99" s="159">
        <v>64026458</v>
      </c>
      <c r="E99" s="113">
        <v>15</v>
      </c>
      <c r="F99" s="157">
        <v>37794660</v>
      </c>
      <c r="G99" s="113">
        <v>5</v>
      </c>
      <c r="H99" s="152">
        <v>8067426</v>
      </c>
      <c r="I99" t="s">
        <v>231</v>
      </c>
    </row>
    <row r="100" spans="1:21" ht="18" customHeight="1" x14ac:dyDescent="0.25">
      <c r="A100" s="50" t="s">
        <v>278</v>
      </c>
      <c r="B100" s="104" t="s">
        <v>212</v>
      </c>
      <c r="C100" s="108">
        <v>38898</v>
      </c>
      <c r="D100" s="159">
        <v>291388037</v>
      </c>
      <c r="E100" s="113">
        <v>30</v>
      </c>
      <c r="F100" s="157">
        <v>339176843</v>
      </c>
      <c r="G100" s="113">
        <v>20</v>
      </c>
      <c r="H100" s="152">
        <v>22807527</v>
      </c>
      <c r="I100" t="s">
        <v>231</v>
      </c>
    </row>
    <row r="101" spans="1:21" ht="18" customHeight="1" x14ac:dyDescent="0.25">
      <c r="A101" s="50" t="s">
        <v>278</v>
      </c>
      <c r="B101" s="104" t="s">
        <v>213</v>
      </c>
      <c r="C101" s="108">
        <v>39263</v>
      </c>
      <c r="D101" s="159">
        <v>-200979530</v>
      </c>
      <c r="E101" s="113">
        <v>21</v>
      </c>
      <c r="F101" s="157">
        <v>-190821407</v>
      </c>
      <c r="G101" s="113">
        <v>12</v>
      </c>
      <c r="H101" s="152">
        <v>-18952989</v>
      </c>
      <c r="I101" t="s">
        <v>231</v>
      </c>
    </row>
    <row r="102" spans="1:21" ht="18" customHeight="1" x14ac:dyDescent="0.25">
      <c r="A102" s="50" t="s">
        <v>278</v>
      </c>
      <c r="B102" s="104" t="s">
        <v>212</v>
      </c>
      <c r="C102" s="108">
        <v>39263</v>
      </c>
      <c r="D102" s="159">
        <v>-71262522</v>
      </c>
      <c r="E102" s="113">
        <v>30</v>
      </c>
      <c r="F102" s="157">
        <v>-82263181</v>
      </c>
      <c r="G102" s="113">
        <v>21</v>
      </c>
      <c r="H102" s="152">
        <v>-5346248</v>
      </c>
      <c r="I102" t="s">
        <v>231</v>
      </c>
    </row>
    <row r="103" spans="1:21" ht="18" customHeight="1" x14ac:dyDescent="0.25">
      <c r="A103" s="50" t="s">
        <v>278</v>
      </c>
      <c r="B103" s="104" t="s">
        <v>213</v>
      </c>
      <c r="C103" s="108">
        <v>39629</v>
      </c>
      <c r="D103" s="159">
        <v>-79435149</v>
      </c>
      <c r="E103" s="113">
        <v>17</v>
      </c>
      <c r="F103" s="157">
        <v>-66139156</v>
      </c>
      <c r="G103" s="113">
        <v>9</v>
      </c>
      <c r="H103" s="152">
        <v>-8358566</v>
      </c>
      <c r="I103" t="s">
        <v>231</v>
      </c>
    </row>
    <row r="104" spans="1:21" ht="18" customHeight="1" x14ac:dyDescent="0.25">
      <c r="A104" s="50" t="s">
        <v>278</v>
      </c>
      <c r="B104" s="104" t="s">
        <v>212</v>
      </c>
      <c r="C104" s="108">
        <v>39629</v>
      </c>
      <c r="D104" s="159">
        <v>312669142</v>
      </c>
      <c r="E104" s="113">
        <v>30</v>
      </c>
      <c r="F104" s="157">
        <v>357171721</v>
      </c>
      <c r="G104" s="113">
        <v>22</v>
      </c>
      <c r="H104" s="152">
        <v>22483269</v>
      </c>
      <c r="I104" t="s">
        <v>231</v>
      </c>
    </row>
    <row r="105" spans="1:21" ht="18" customHeight="1" x14ac:dyDescent="0.25">
      <c r="A105" s="50" t="s">
        <v>278</v>
      </c>
      <c r="B105" s="104" t="s">
        <v>211</v>
      </c>
      <c r="C105" s="108">
        <v>39994</v>
      </c>
      <c r="D105" s="159">
        <v>357256711</v>
      </c>
      <c r="E105" s="113">
        <v>15</v>
      </c>
      <c r="F105" s="157">
        <v>283076049</v>
      </c>
      <c r="G105" s="113">
        <v>8</v>
      </c>
      <c r="H105" s="152">
        <v>39616655</v>
      </c>
      <c r="I105" t="s">
        <v>231</v>
      </c>
    </row>
    <row r="106" spans="1:21" ht="18" customHeight="1" x14ac:dyDescent="0.25">
      <c r="A106" s="50" t="s">
        <v>278</v>
      </c>
      <c r="B106" s="104" t="s">
        <v>211</v>
      </c>
      <c r="C106" s="108">
        <v>40359</v>
      </c>
      <c r="D106" s="159">
        <v>207594800</v>
      </c>
      <c r="E106" s="113">
        <v>15</v>
      </c>
      <c r="F106" s="157">
        <v>174565699</v>
      </c>
      <c r="G106" s="113">
        <v>9</v>
      </c>
      <c r="H106" s="152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278</v>
      </c>
      <c r="B107" s="104" t="s">
        <v>212</v>
      </c>
      <c r="C107" s="108">
        <v>40359</v>
      </c>
      <c r="D107" s="159">
        <v>277673454</v>
      </c>
      <c r="E107" s="113">
        <v>30</v>
      </c>
      <c r="F107" s="157">
        <v>308840731</v>
      </c>
      <c r="G107" s="113">
        <v>24</v>
      </c>
      <c r="H107" s="152">
        <v>18344124</v>
      </c>
      <c r="I107" t="s">
        <v>231</v>
      </c>
    </row>
    <row r="108" spans="1:21" ht="18" customHeight="1" x14ac:dyDescent="0.25">
      <c r="A108" s="50" t="s">
        <v>278</v>
      </c>
      <c r="B108" s="104" t="s">
        <v>217</v>
      </c>
      <c r="C108" s="108">
        <v>40724</v>
      </c>
      <c r="D108" s="159">
        <v>5693576</v>
      </c>
      <c r="E108" s="113">
        <v>30</v>
      </c>
      <c r="F108" s="157">
        <v>6237688</v>
      </c>
      <c r="G108" s="113">
        <v>25</v>
      </c>
      <c r="H108" s="152">
        <v>360814</v>
      </c>
      <c r="I108" t="s">
        <v>231</v>
      </c>
    </row>
    <row r="109" spans="1:21" ht="18" customHeight="1" x14ac:dyDescent="0.25">
      <c r="A109" s="50" t="s">
        <v>278</v>
      </c>
      <c r="B109" s="104" t="s">
        <v>211</v>
      </c>
      <c r="C109" s="108">
        <v>40724</v>
      </c>
      <c r="D109" s="159">
        <v>125215079</v>
      </c>
      <c r="E109" s="113">
        <v>15</v>
      </c>
      <c r="F109" s="157">
        <v>110480040</v>
      </c>
      <c r="G109" s="113">
        <v>10</v>
      </c>
      <c r="H109" s="152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278</v>
      </c>
      <c r="B110" s="104" t="s">
        <v>212</v>
      </c>
      <c r="C110" s="108">
        <v>40724</v>
      </c>
      <c r="D110" s="159">
        <v>244615700</v>
      </c>
      <c r="E110" s="113">
        <v>30</v>
      </c>
      <c r="F110" s="157">
        <v>267992582</v>
      </c>
      <c r="G110" s="113">
        <v>25</v>
      </c>
      <c r="H110" s="152">
        <v>15501831</v>
      </c>
      <c r="I110" t="s">
        <v>231</v>
      </c>
    </row>
    <row r="111" spans="1:21" ht="18" customHeight="1" x14ac:dyDescent="0.25">
      <c r="A111" s="50" t="s">
        <v>278</v>
      </c>
      <c r="B111" s="104" t="s">
        <v>211</v>
      </c>
      <c r="C111" s="108">
        <v>41090</v>
      </c>
      <c r="D111" s="159">
        <v>248617082</v>
      </c>
      <c r="E111" s="113">
        <v>20</v>
      </c>
      <c r="F111" s="157">
        <v>248156219</v>
      </c>
      <c r="G111" s="113">
        <v>16</v>
      </c>
      <c r="H111" s="152">
        <v>19650558</v>
      </c>
      <c r="I111" t="s">
        <v>231</v>
      </c>
    </row>
    <row r="112" spans="1:21" ht="18" customHeight="1" x14ac:dyDescent="0.25">
      <c r="A112" s="50" t="s">
        <v>278</v>
      </c>
      <c r="B112" s="104" t="s">
        <v>211</v>
      </c>
      <c r="C112" s="108">
        <v>41455</v>
      </c>
      <c r="D112" s="159">
        <v>115390840</v>
      </c>
      <c r="E112" s="113">
        <v>20</v>
      </c>
      <c r="F112" s="157">
        <v>115636623</v>
      </c>
      <c r="G112" s="113">
        <v>17</v>
      </c>
      <c r="H112" s="152">
        <v>8748885</v>
      </c>
      <c r="I112" t="s">
        <v>231</v>
      </c>
    </row>
    <row r="113" spans="1:9" x14ac:dyDescent="0.25">
      <c r="A113" s="50" t="s">
        <v>278</v>
      </c>
      <c r="B113" s="104" t="s">
        <v>213</v>
      </c>
      <c r="C113" s="108">
        <v>41820</v>
      </c>
      <c r="D113" s="159">
        <v>-246417577</v>
      </c>
      <c r="E113" s="113">
        <v>20</v>
      </c>
      <c r="F113" s="157">
        <v>-247092243</v>
      </c>
      <c r="G113" s="113">
        <v>18</v>
      </c>
      <c r="H113" s="152">
        <v>-17922161</v>
      </c>
      <c r="I113" t="s">
        <v>231</v>
      </c>
    </row>
    <row r="114" spans="1:9" x14ac:dyDescent="0.25">
      <c r="A114" s="50" t="s">
        <v>278</v>
      </c>
      <c r="B114" s="104" t="s">
        <v>212</v>
      </c>
      <c r="C114" s="108">
        <v>41820</v>
      </c>
      <c r="D114" s="159">
        <v>35896722</v>
      </c>
      <c r="E114" s="113">
        <v>25</v>
      </c>
      <c r="F114" s="157">
        <v>36762151</v>
      </c>
      <c r="G114" s="113">
        <v>23</v>
      </c>
      <c r="H114" s="152">
        <v>2245855</v>
      </c>
      <c r="I114" t="s">
        <v>231</v>
      </c>
    </row>
    <row r="115" spans="1:9" x14ac:dyDescent="0.25">
      <c r="A115" s="50" t="s">
        <v>278</v>
      </c>
      <c r="B115" s="151" t="s">
        <v>213</v>
      </c>
      <c r="C115" s="108">
        <v>42185</v>
      </c>
      <c r="D115" s="159">
        <v>-458582182</v>
      </c>
      <c r="E115" s="113">
        <v>20</v>
      </c>
      <c r="F115" s="157">
        <v>-459826294</v>
      </c>
      <c r="G115" s="113">
        <v>19</v>
      </c>
      <c r="H115" s="152">
        <v>-32070264</v>
      </c>
      <c r="I115" t="s">
        <v>231</v>
      </c>
    </row>
    <row r="116" spans="1:9" x14ac:dyDescent="0.25">
      <c r="A116" s="50" t="s">
        <v>278</v>
      </c>
      <c r="B116" s="151" t="s">
        <v>213</v>
      </c>
      <c r="C116" s="108">
        <v>42551</v>
      </c>
      <c r="D116" s="159">
        <v>-228076007</v>
      </c>
      <c r="E116" s="113">
        <v>20</v>
      </c>
      <c r="F116" s="158">
        <v>-228076007</v>
      </c>
      <c r="G116" s="113">
        <v>20</v>
      </c>
      <c r="H116" s="154">
        <v>-15336689</v>
      </c>
      <c r="I116" t="s">
        <v>231</v>
      </c>
    </row>
    <row r="117" spans="1:9" x14ac:dyDescent="0.25">
      <c r="A117" s="50" t="s">
        <v>279</v>
      </c>
      <c r="B117" s="103" t="s">
        <v>213</v>
      </c>
      <c r="C117" s="107">
        <v>39629</v>
      </c>
      <c r="D117" s="162">
        <v>-169104</v>
      </c>
      <c r="E117" s="112">
        <v>17</v>
      </c>
      <c r="F117" s="156">
        <v>-140798</v>
      </c>
      <c r="G117" s="112">
        <v>9</v>
      </c>
      <c r="H117" s="150">
        <v>-17794</v>
      </c>
      <c r="I117" t="s">
        <v>231</v>
      </c>
    </row>
    <row r="118" spans="1:9" x14ac:dyDescent="0.25">
      <c r="A118" s="50" t="s">
        <v>279</v>
      </c>
      <c r="B118" s="104" t="s">
        <v>212</v>
      </c>
      <c r="C118" s="108">
        <v>39629</v>
      </c>
      <c r="D118" s="159">
        <v>126433</v>
      </c>
      <c r="E118" s="113">
        <v>30</v>
      </c>
      <c r="F118" s="157">
        <v>144427</v>
      </c>
      <c r="G118" s="113">
        <v>22</v>
      </c>
      <c r="H118" s="152">
        <v>9091</v>
      </c>
      <c r="I118" t="s">
        <v>231</v>
      </c>
    </row>
    <row r="119" spans="1:9" x14ac:dyDescent="0.25">
      <c r="A119" s="50" t="s">
        <v>279</v>
      </c>
      <c r="B119" s="104" t="s">
        <v>211</v>
      </c>
      <c r="C119" s="108">
        <v>39994</v>
      </c>
      <c r="D119" s="159">
        <v>6588231</v>
      </c>
      <c r="E119" s="113">
        <v>15</v>
      </c>
      <c r="F119" s="157">
        <v>5220253</v>
      </c>
      <c r="G119" s="113">
        <v>8</v>
      </c>
      <c r="H119" s="152">
        <v>730577</v>
      </c>
      <c r="I119" t="s">
        <v>231</v>
      </c>
    </row>
    <row r="120" spans="1:9" x14ac:dyDescent="0.25">
      <c r="A120" s="50" t="s">
        <v>279</v>
      </c>
      <c r="B120" s="104" t="s">
        <v>211</v>
      </c>
      <c r="C120" s="108">
        <v>40359</v>
      </c>
      <c r="D120" s="159">
        <v>1742728</v>
      </c>
      <c r="E120" s="113">
        <v>15</v>
      </c>
      <c r="F120" s="157">
        <v>1465453</v>
      </c>
      <c r="G120" s="113">
        <v>9</v>
      </c>
      <c r="H120" s="152">
        <v>185202</v>
      </c>
      <c r="I120" t="s">
        <v>231</v>
      </c>
    </row>
    <row r="121" spans="1:9" x14ac:dyDescent="0.25">
      <c r="A121" s="50" t="s">
        <v>279</v>
      </c>
      <c r="B121" s="104" t="s">
        <v>212</v>
      </c>
      <c r="C121" s="108">
        <v>40359</v>
      </c>
      <c r="D121" s="159">
        <v>1043633</v>
      </c>
      <c r="E121" s="113">
        <v>30</v>
      </c>
      <c r="F121" s="157">
        <v>1160776</v>
      </c>
      <c r="G121" s="113">
        <v>24</v>
      </c>
      <c r="H121" s="152">
        <v>68946</v>
      </c>
      <c r="I121" t="s">
        <v>231</v>
      </c>
    </row>
    <row r="122" spans="1:9" x14ac:dyDescent="0.25">
      <c r="A122" s="50" t="s">
        <v>279</v>
      </c>
      <c r="B122" s="153" t="s">
        <v>217</v>
      </c>
      <c r="C122" s="108">
        <v>40724</v>
      </c>
      <c r="D122" s="159">
        <v>41208</v>
      </c>
      <c r="E122" s="113">
        <v>30</v>
      </c>
      <c r="F122" s="157">
        <v>45146</v>
      </c>
      <c r="G122" s="113">
        <v>25</v>
      </c>
      <c r="H122" s="152">
        <v>2611</v>
      </c>
      <c r="I122" t="s">
        <v>231</v>
      </c>
    </row>
    <row r="123" spans="1:9" x14ac:dyDescent="0.25">
      <c r="A123" s="50" t="s">
        <v>279</v>
      </c>
      <c r="B123" s="153" t="s">
        <v>213</v>
      </c>
      <c r="C123" s="108">
        <v>40724</v>
      </c>
      <c r="D123" s="159">
        <v>-447574</v>
      </c>
      <c r="E123" s="113">
        <v>15</v>
      </c>
      <c r="F123" s="157">
        <v>-394904</v>
      </c>
      <c r="G123" s="113">
        <v>10</v>
      </c>
      <c r="H123" s="152">
        <v>-45627</v>
      </c>
      <c r="I123" t="s">
        <v>231</v>
      </c>
    </row>
    <row r="124" spans="1:9" x14ac:dyDescent="0.25">
      <c r="A124" s="50" t="s">
        <v>279</v>
      </c>
      <c r="B124" s="104" t="s">
        <v>212</v>
      </c>
      <c r="C124" s="108">
        <v>40724</v>
      </c>
      <c r="D124" s="159">
        <v>734993</v>
      </c>
      <c r="E124" s="113">
        <v>30</v>
      </c>
      <c r="F124" s="157">
        <v>805234</v>
      </c>
      <c r="G124" s="113">
        <v>25</v>
      </c>
      <c r="H124" s="152">
        <v>46578</v>
      </c>
      <c r="I124" t="s">
        <v>231</v>
      </c>
    </row>
    <row r="125" spans="1:9" x14ac:dyDescent="0.25">
      <c r="A125" s="50" t="s">
        <v>279</v>
      </c>
      <c r="B125" s="104" t="s">
        <v>211</v>
      </c>
      <c r="C125" s="108">
        <v>41090</v>
      </c>
      <c r="D125" s="159">
        <v>1311840</v>
      </c>
      <c r="E125" s="113">
        <v>20</v>
      </c>
      <c r="F125" s="157">
        <v>1309407</v>
      </c>
      <c r="G125" s="113">
        <v>16</v>
      </c>
      <c r="H125" s="152">
        <v>103687</v>
      </c>
      <c r="I125" t="s">
        <v>231</v>
      </c>
    </row>
    <row r="126" spans="1:9" x14ac:dyDescent="0.25">
      <c r="A126" s="50" t="s">
        <v>279</v>
      </c>
      <c r="B126" s="104" t="s">
        <v>211</v>
      </c>
      <c r="C126" s="108">
        <v>41455</v>
      </c>
      <c r="D126" s="159">
        <v>1253385</v>
      </c>
      <c r="E126" s="113">
        <v>20</v>
      </c>
      <c r="F126" s="157">
        <v>1256055</v>
      </c>
      <c r="G126" s="113">
        <v>17</v>
      </c>
      <c r="H126" s="152">
        <v>95031</v>
      </c>
      <c r="I126" t="s">
        <v>231</v>
      </c>
    </row>
    <row r="127" spans="1:9" x14ac:dyDescent="0.25">
      <c r="A127" s="50" t="s">
        <v>279</v>
      </c>
      <c r="B127" s="104" t="s">
        <v>213</v>
      </c>
      <c r="C127" s="108">
        <v>41820</v>
      </c>
      <c r="D127" s="159">
        <v>-2336763</v>
      </c>
      <c r="E127" s="113">
        <v>20</v>
      </c>
      <c r="F127" s="157">
        <v>-2343160</v>
      </c>
      <c r="G127" s="113">
        <v>18</v>
      </c>
      <c r="H127" s="152">
        <v>-169955</v>
      </c>
      <c r="I127" t="s">
        <v>231</v>
      </c>
    </row>
    <row r="128" spans="1:9" x14ac:dyDescent="0.25">
      <c r="A128" s="50" t="s">
        <v>279</v>
      </c>
      <c r="B128" s="104" t="s">
        <v>212</v>
      </c>
      <c r="C128" s="108">
        <v>41820</v>
      </c>
      <c r="D128" s="159">
        <v>-476026</v>
      </c>
      <c r="E128" s="113">
        <v>25</v>
      </c>
      <c r="F128" s="157">
        <v>-487503</v>
      </c>
      <c r="G128" s="113">
        <v>23</v>
      </c>
      <c r="H128" s="152">
        <v>-29782</v>
      </c>
      <c r="I128" t="s">
        <v>231</v>
      </c>
    </row>
    <row r="129" spans="1:9" x14ac:dyDescent="0.25">
      <c r="A129" s="50" t="s">
        <v>279</v>
      </c>
      <c r="B129" s="104" t="s">
        <v>213</v>
      </c>
      <c r="C129" s="108">
        <v>42185</v>
      </c>
      <c r="D129" s="159">
        <v>-2306059</v>
      </c>
      <c r="E129" s="113">
        <v>20</v>
      </c>
      <c r="F129" s="157">
        <v>-2312315</v>
      </c>
      <c r="G129" s="113">
        <v>19</v>
      </c>
      <c r="H129" s="152">
        <v>-161271</v>
      </c>
      <c r="I129" t="s">
        <v>231</v>
      </c>
    </row>
    <row r="130" spans="1:9" x14ac:dyDescent="0.25">
      <c r="A130" s="50" t="s">
        <v>279</v>
      </c>
      <c r="B130" s="104" t="s">
        <v>213</v>
      </c>
      <c r="C130" s="108">
        <v>42551</v>
      </c>
      <c r="D130" s="159">
        <v>-1753214</v>
      </c>
      <c r="E130" s="113">
        <v>20</v>
      </c>
      <c r="F130" s="158">
        <v>-1753214</v>
      </c>
      <c r="G130" s="113">
        <v>20</v>
      </c>
      <c r="H130" s="154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57">
        <v>-31778122</v>
      </c>
    </row>
    <row r="8" spans="1:4" x14ac:dyDescent="0.25">
      <c r="B8">
        <v>2018</v>
      </c>
      <c r="C8" s="157">
        <v>-31778122</v>
      </c>
    </row>
    <row r="9" spans="1:4" x14ac:dyDescent="0.25">
      <c r="B9">
        <v>2019</v>
      </c>
      <c r="C9" s="157">
        <v>-31778122</v>
      </c>
    </row>
    <row r="10" spans="1:4" x14ac:dyDescent="0.25">
      <c r="B10">
        <v>2020</v>
      </c>
      <c r="C10" s="157">
        <v>-44654689</v>
      </c>
    </row>
    <row r="11" spans="1:4" x14ac:dyDescent="0.25">
      <c r="B11">
        <v>2021</v>
      </c>
      <c r="C11" s="157">
        <v>-269200210</v>
      </c>
    </row>
    <row r="12" spans="1:4" x14ac:dyDescent="0.25">
      <c r="B12">
        <v>2022</v>
      </c>
      <c r="C12" s="158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2017-02-05T04:12:23Z</dcterms:modified>
</cp:coreProperties>
</file>