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7"/>
  </bookViews>
  <sheets>
    <sheet name="params" sheetId="1" r:id="rId1"/>
    <sheet name="GlobalParams" sheetId="3" r:id="rId2"/>
    <sheet name="returns" sheetId="2" r:id="rId3"/>
    <sheet name="GASB67 Cash flow" sheetId="5" r:id="rId4"/>
    <sheet name="Calibration_2016" sheetId="7" r:id="rId5"/>
    <sheet name="Sheet2" sheetId="4" r:id="rId6"/>
    <sheet name="Sheet1" sheetId="8" r:id="rId7"/>
    <sheet name="Calibration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6" l="1"/>
  <c r="C35" i="6"/>
  <c r="D4" i="7" l="1"/>
  <c r="B36" i="7"/>
  <c r="F11" i="7" l="1"/>
  <c r="F12" i="7"/>
  <c r="C14" i="7"/>
  <c r="F14" i="7"/>
  <c r="G10" i="7"/>
  <c r="C6" i="7"/>
  <c r="C12" i="7"/>
  <c r="C14" i="4" l="1"/>
  <c r="AH26" i="1" l="1"/>
  <c r="AH27" i="1"/>
  <c r="AH28" i="1"/>
  <c r="AH29" i="1"/>
  <c r="AH25" i="1"/>
  <c r="B14" i="4"/>
  <c r="B84" i="6" l="1"/>
  <c r="B85" i="6"/>
  <c r="E7" i="7"/>
  <c r="E8" i="7"/>
  <c r="E9" i="7"/>
  <c r="E10" i="7"/>
  <c r="E11" i="7"/>
  <c r="E12" i="7"/>
  <c r="E13" i="7"/>
  <c r="E14" i="7"/>
  <c r="E6" i="7"/>
  <c r="C12" i="6"/>
  <c r="C6" i="6"/>
  <c r="J3" i="4" l="1"/>
  <c r="G3" i="4"/>
  <c r="D3" i="4"/>
  <c r="K3" i="4" s="1"/>
  <c r="E5" i="7" l="1"/>
  <c r="E4" i="7"/>
  <c r="E3" i="7"/>
  <c r="F5" i="6" l="1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E12" i="6" l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<sst xmlns="http://schemas.openxmlformats.org/spreadsheetml/2006/main" count="438" uniqueCount="176">
  <si>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</si>
  <si>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</si>
  <si>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</si>
  <si>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</si>
  <si>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</si>
  <si>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</si>
  <si>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</si>
  <si>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</si>
  <si>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</si>
  <si>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</si>
  <si>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</si>
  <si>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</si>
  <si>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</si>
  <si>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</si>
  <si>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</si>
  <si>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</si>
  <si>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</si>
  <si>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</si>
  <si>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</si>
  <si>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</si>
  <si>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</si>
  <si>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</si>
  <si>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</si>
  <si>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</si>
  <si>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</si>
  <si>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</si>
  <si>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</si>
  <si>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</si>
  <si>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</si>
  <si>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</si>
  <si>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</si>
  <si>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</si>
  <si>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</si>
  <si>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</si>
  <si>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</si>
  <si>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</si>
  <si>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</si>
  <si>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</si>
  <si>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</si>
  <si>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</si>
  <si>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</si>
  <si>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</si>
  <si>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</si>
  <si>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</si>
  <si>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</si>
  <si>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</si>
  <si>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</si>
  <si>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</si>
  <si>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</si>
  <si>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</si>
  <si>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</si>
  <si>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</si>
  <si>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</si>
  <si>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</si>
  <si>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</si>
  <si>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</si>
  <si>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</si>
  <si>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</si>
  <si>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</si>
  <si>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</si>
  <si>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</si>
  <si>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</si>
  <si>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</si>
  <si>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</si>
  <si>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</si>
  <si>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</si>
  <si>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</si>
  <si>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</si>
  <si>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</si>
  <si>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</si>
  <si>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</si>
  <si>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</si>
  <si>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</si>
  <si>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</si>
  <si>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</si>
  <si>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</si>
  <si>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</si>
  <si>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</si>
  <si>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</si>
  <si>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</si>
  <si>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</si>
  <si>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</si>
  <si>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</si>
  <si>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</si>
  <si>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</si>
  <si>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</si>
  <si>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</si>
  <si>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</si>
  <si>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</si>
  <si>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</si>
  <si>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</si>
  <si>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</si>
  <si>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</si>
  <si>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</si>
  <si>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</si>
  <si>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</si>
  <si>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</si>
  <si>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</si>
  <si>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</si>
  <si>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</si>
  <si>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</si>
  <si>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</si>
  <si>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</si>
  <si>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</si>
  <si>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</si>
  <si>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</si>
  <si>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</si>
  <si>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</si>
  <si>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</si>
  <si>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</si>
  <si>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</si>
  <si>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</si>
  <si>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</si>
  <si>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</si>
  <si>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</si>
  <si>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</si>
  <si>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</si>
  <si>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</si>
  <si>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</si>
  <si>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monthly ben</t>
  </si>
  <si>
    <t>n</t>
  </si>
  <si>
    <t>retiree</t>
  </si>
  <si>
    <t>disabled</t>
  </si>
  <si>
    <t>beneficiaries</t>
  </si>
  <si>
    <t xml:space="preserve">n </t>
  </si>
  <si>
    <t>Total ben</t>
  </si>
  <si>
    <t>Model</t>
  </si>
  <si>
    <t>B w/o init DROP</t>
  </si>
  <si>
    <t xml:space="preserve">     year         NC            AL   nactives</t>
  </si>
  <si>
    <t xml:space="preserve"> [1,] 2017   23532418 -1.007691e-08   602.2775</t>
  </si>
  <si>
    <t xml:space="preserve"> [2,] 2018   48755524  2.442927e+07  1161.0733</t>
  </si>
  <si>
    <t xml:space="preserve"> [3,] 2019   76794354  7.686836e+07  1705.7407</t>
  </si>
  <si>
    <t xml:space="preserve"> [4,] 2020  107801045  1.622734e+08  2242.6539</t>
  </si>
  <si>
    <t xml:space="preserve"> [5,] 2021  142310423  2.861064e+08  2779.8191</t>
  </si>
  <si>
    <t xml:space="preserve"> [6,] 2022  180914523  4.547740e+08  3328.2570</t>
  </si>
  <si>
    <t xml:space="preserve"> [7,] 2023  222258164  6.757409e+08  3856.7028</t>
  </si>
  <si>
    <t xml:space="preserve"> [8,] 2024  266545216  9.555896e+08  4371.8435</t>
  </si>
  <si>
    <t xml:space="preserve"> [9,] 2025  314066180  1.301558e+09  4878.2614</t>
  </si>
  <si>
    <t>[10,] 2026  365214799  1.721678e+09  5381.3862</t>
  </si>
  <si>
    <t>[11,] 2027  420424639  2.224936e+09  5884.8533</t>
  </si>
  <si>
    <t>[12,] 2028  478664683  2.821377e+09  6369.5147</t>
  </si>
  <si>
    <t>[13,] 2029  540122764  3.520656e+09  6840.5827</t>
  </si>
  <si>
    <t>[14,] 2030  605148946  4.333262e+09  7301.9198</t>
  </si>
  <si>
    <t>[15,] 2031  674241008  5.270748e+09  7758.6701</t>
  </si>
  <si>
    <t>[16,] 2032  747090595  6.345952e+09  8203.1291</t>
  </si>
  <si>
    <t>[17,] 2033  823073521  7.572245e+09  8624.7538</t>
  </si>
  <si>
    <t>[18,] 2034  902510639  8.963283e+09  9027.9877</t>
  </si>
  <si>
    <t>[19,] 2035  985837674  1.053396e+10  9417.6801</t>
  </si>
  <si>
    <t>[20,] 2036 1073412789  1.230061e+10  9796.7019</t>
  </si>
  <si>
    <t>[21,] 2037 1163932379  1.423506e+10 10157.5739</t>
  </si>
  <si>
    <t>[22,] 2038 1257189155  1.633251e+10 10498.8293</t>
  </si>
  <si>
    <t>[23,] 2039 1353129020  1.859156e+10 10821.4700</t>
  </si>
  <si>
    <t>[24,] 2040 1451865463  2.100628e+10 11128.5938</t>
  </si>
  <si>
    <t>[25,] 2041 1552767169  2.356478e+10 11415.5331</t>
  </si>
  <si>
    <t>[26,] 2042 1654898917  2.624776e+10 11676.0787</t>
  </si>
  <si>
    <t>[27,] 2043 1757856485  2.903504e+10 11909.5183</t>
  </si>
  <si>
    <t>[28,] 2044 1861294134  3.189723e+10 12116.2831</t>
  </si>
  <si>
    <t>[29,] 2045 1964801350  3.480022e+10 12296.0002</t>
  </si>
  <si>
    <t>Service pension</t>
  </si>
  <si>
    <t>Disability</t>
  </si>
  <si>
    <t>Serviving</t>
  </si>
  <si>
    <t>Minor/dependent</t>
  </si>
  <si>
    <t>refund of EEC</t>
  </si>
  <si>
    <t>DROP</t>
  </si>
  <si>
    <t>closed.RS1</t>
  </si>
  <si>
    <t>ERC w/o admin cost</t>
  </si>
  <si>
    <t>CAFR 2016</t>
  </si>
  <si>
    <t>ERC_cap_C50</t>
  </si>
  <si>
    <t>noCap_DC7</t>
  </si>
  <si>
    <t>RS1_DC7</t>
  </si>
  <si>
    <t>MA</t>
  </si>
  <si>
    <t>MA_0</t>
  </si>
  <si>
    <t>AA_0</t>
  </si>
  <si>
    <t>AA0</t>
  </si>
  <si>
    <t>RS1_DC7a</t>
  </si>
  <si>
    <t>RS1_DC7b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</si>
</sst>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247650</xdr:colOff>
      <xdr:row>8</xdr:row>
      <xdr:rowOff>57150</xdr:rowOff>
    </xdr:from>
    <xdr:to>
      <xdr:col>55</xdr:col>
      <xdr:colOff>55726</xdr:colOff>
      <xdr:row>14</xdr:row>
      <xdr:rowOff>152245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28350" y="158115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35"/>
  <sheetViews>
    <sheetView topLeftCell="A4" zoomScaleNormal="100" workbookViewId="0">
      <selection activeCell="F39" sqref="F39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112</v>
      </c>
      <c r="C4" s="1" t="s">
        <v>113</v>
      </c>
      <c r="D4" s="1" t="s">
        <v>17</v>
      </c>
      <c r="E4" s="1" t="s">
        <v>39</v>
      </c>
      <c r="F4" s="1" t="s">
        <v>16</v>
      </c>
      <c r="G4" s="1" t="s">
        <v>46</v>
      </c>
      <c r="H4" s="1" t="s">
        <v>48</v>
      </c>
      <c r="I4" s="1" t="s">
        <v>45</v>
      </c>
      <c r="J4" s="1" t="s">
        <v>111</v>
      </c>
      <c r="K4" s="1" t="s">
        <v>100</v>
      </c>
      <c r="L4" s="1" t="s">
        <v>167</v>
      </c>
      <c r="M4" s="1" t="s">
        <v>72</v>
      </c>
      <c r="N4" s="1" t="s">
        <v>94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42</v>
      </c>
      <c r="Y4" s="6" t="s">
        <v>43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49</v>
      </c>
      <c r="AF4" s="11" t="s">
        <v>50</v>
      </c>
      <c r="AG4" s="11" t="s">
        <v>51</v>
      </c>
      <c r="AH4" s="11" t="s">
        <v>52</v>
      </c>
      <c r="AI4" s="1" t="s">
        <v>171</v>
      </c>
      <c r="AJ4" s="1" t="s">
        <v>172</v>
      </c>
    </row>
    <row r="5" spans="1:36" x14ac:dyDescent="0.25">
      <c r="A5" t="s">
        <v>90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44</v>
      </c>
      <c r="Z5" t="s">
        <v>54</v>
      </c>
      <c r="AA5" t="s">
        <v>90</v>
      </c>
      <c r="AB5">
        <v>7.4999999999999997E-2</v>
      </c>
      <c r="AC5">
        <v>8.2199999999999995E-2</v>
      </c>
      <c r="AD5" s="7">
        <v>0.12</v>
      </c>
      <c r="AE5" t="s">
        <v>53</v>
      </c>
      <c r="AF5" t="s">
        <v>53</v>
      </c>
      <c r="AG5">
        <v>0.91</v>
      </c>
      <c r="AH5">
        <v>0.93899999999999995</v>
      </c>
    </row>
    <row r="6" spans="1:36" x14ac:dyDescent="0.25">
      <c r="AD6" s="7"/>
      <c r="AG6">
        <v>0.91</v>
      </c>
      <c r="AH6">
        <v>0.93899999999999995</v>
      </c>
    </row>
    <row r="7" spans="1:36" x14ac:dyDescent="0.25">
      <c r="A7" t="s">
        <v>23</v>
      </c>
      <c r="B7" t="s">
        <v>23</v>
      </c>
      <c r="C7" t="s">
        <v>114</v>
      </c>
      <c r="E7" t="s">
        <v>40</v>
      </c>
      <c r="F7" t="b">
        <v>0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41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53</v>
      </c>
      <c r="AF7" t="s">
        <v>53</v>
      </c>
      <c r="AG7">
        <v>0.91</v>
      </c>
      <c r="AH7">
        <v>0.93899999999999995</v>
      </c>
    </row>
    <row r="8" spans="1:36" x14ac:dyDescent="0.25">
      <c r="A8" t="s">
        <v>24</v>
      </c>
      <c r="B8" t="s">
        <v>24</v>
      </c>
      <c r="C8" t="s">
        <v>114</v>
      </c>
      <c r="E8" t="s">
        <v>40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41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53</v>
      </c>
      <c r="AF8" t="s">
        <v>53</v>
      </c>
      <c r="AG8">
        <v>0.91</v>
      </c>
      <c r="AH8">
        <v>0.93899999999999995</v>
      </c>
    </row>
    <row r="9" spans="1:36" x14ac:dyDescent="0.25">
      <c r="A9" t="s">
        <v>25</v>
      </c>
      <c r="B9" t="s">
        <v>25</v>
      </c>
      <c r="C9" t="s">
        <v>114</v>
      </c>
      <c r="E9" t="s">
        <v>40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41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53</v>
      </c>
      <c r="AF9" t="s">
        <v>53</v>
      </c>
      <c r="AG9">
        <v>0.91</v>
      </c>
      <c r="AH9">
        <v>0.93899999999999995</v>
      </c>
    </row>
    <row r="10" spans="1:36" x14ac:dyDescent="0.25">
      <c r="A10" t="s">
        <v>26</v>
      </c>
      <c r="B10" t="s">
        <v>26</v>
      </c>
      <c r="C10" t="s">
        <v>114</v>
      </c>
      <c r="E10" t="s">
        <v>40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41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53</v>
      </c>
      <c r="AF10" t="s">
        <v>53</v>
      </c>
      <c r="AG10">
        <v>0.91</v>
      </c>
      <c r="AH10">
        <v>0.93899999999999995</v>
      </c>
    </row>
    <row r="11" spans="1:36" x14ac:dyDescent="0.25">
      <c r="A11" t="s">
        <v>27</v>
      </c>
      <c r="B11" t="s">
        <v>27</v>
      </c>
      <c r="C11" t="s">
        <v>114</v>
      </c>
      <c r="E11" t="s">
        <v>40</v>
      </c>
      <c r="F11" t="b">
        <v>0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41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53</v>
      </c>
      <c r="AF11" t="s">
        <v>53</v>
      </c>
      <c r="AG11">
        <v>0.91</v>
      </c>
      <c r="AH11">
        <v>0.93899999999999995</v>
      </c>
    </row>
    <row r="12" spans="1:36" x14ac:dyDescent="0.25">
      <c r="AD12" s="7"/>
    </row>
    <row r="13" spans="1:36" x14ac:dyDescent="0.25">
      <c r="A13" t="s">
        <v>101</v>
      </c>
      <c r="B13" t="s">
        <v>23</v>
      </c>
      <c r="C13" t="s">
        <v>115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41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53</v>
      </c>
      <c r="AF13" t="s">
        <v>53</v>
      </c>
      <c r="AG13">
        <v>0.91</v>
      </c>
      <c r="AH13">
        <v>0.93899999999999995</v>
      </c>
    </row>
    <row r="14" spans="1:36" x14ac:dyDescent="0.25">
      <c r="A14" t="s">
        <v>102</v>
      </c>
      <c r="B14" t="s">
        <v>24</v>
      </c>
      <c r="C14" t="s">
        <v>115</v>
      </c>
      <c r="E14" t="s">
        <v>40</v>
      </c>
      <c r="F14" t="b">
        <v>0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41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53</v>
      </c>
      <c r="AF14" t="s">
        <v>53</v>
      </c>
      <c r="AG14">
        <v>0.91</v>
      </c>
      <c r="AH14">
        <v>0.93899999999999995</v>
      </c>
    </row>
    <row r="15" spans="1:36" x14ac:dyDescent="0.25">
      <c r="A15" t="s">
        <v>103</v>
      </c>
      <c r="B15" t="s">
        <v>25</v>
      </c>
      <c r="C15" t="s">
        <v>115</v>
      </c>
      <c r="E15" t="s">
        <v>40</v>
      </c>
      <c r="F15" t="b">
        <v>0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41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53</v>
      </c>
      <c r="AF15" t="s">
        <v>53</v>
      </c>
      <c r="AG15">
        <v>0.91</v>
      </c>
      <c r="AH15">
        <v>0.93899999999999995</v>
      </c>
    </row>
    <row r="16" spans="1:36" x14ac:dyDescent="0.25">
      <c r="A16" t="s">
        <v>104</v>
      </c>
      <c r="B16" t="s">
        <v>26</v>
      </c>
      <c r="C16" t="s">
        <v>115</v>
      </c>
      <c r="E16" t="s">
        <v>40</v>
      </c>
      <c r="F16" t="b">
        <v>0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41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53</v>
      </c>
      <c r="AF16" t="s">
        <v>53</v>
      </c>
      <c r="AG16">
        <v>0.91</v>
      </c>
      <c r="AH16">
        <v>0.93899999999999995</v>
      </c>
    </row>
    <row r="17" spans="1:36" x14ac:dyDescent="0.25">
      <c r="A17" t="s">
        <v>105</v>
      </c>
      <c r="B17" t="s">
        <v>27</v>
      </c>
      <c r="C17" t="s">
        <v>115</v>
      </c>
      <c r="E17" t="s">
        <v>40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41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53</v>
      </c>
      <c r="AF17" t="s">
        <v>53</v>
      </c>
      <c r="AG17">
        <v>0.91</v>
      </c>
      <c r="AH17">
        <v>0.93899999999999995</v>
      </c>
    </row>
    <row r="18" spans="1:36" x14ac:dyDescent="0.25">
      <c r="AD18" s="7"/>
    </row>
    <row r="19" spans="1:36" x14ac:dyDescent="0.25">
      <c r="A19" t="s">
        <v>106</v>
      </c>
      <c r="B19" t="s">
        <v>23</v>
      </c>
      <c r="C19" t="s">
        <v>116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41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53</v>
      </c>
      <c r="AF19" t="s">
        <v>53</v>
      </c>
      <c r="AG19">
        <v>0.91</v>
      </c>
      <c r="AH19">
        <v>0.93899999999999995</v>
      </c>
    </row>
    <row r="20" spans="1:36" x14ac:dyDescent="0.25">
      <c r="A20" t="s">
        <v>107</v>
      </c>
      <c r="B20" t="s">
        <v>24</v>
      </c>
      <c r="C20" t="s">
        <v>116</v>
      </c>
      <c r="E20" t="s">
        <v>40</v>
      </c>
      <c r="F20" t="b">
        <v>0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41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53</v>
      </c>
      <c r="AF20" t="s">
        <v>53</v>
      </c>
      <c r="AG20">
        <v>0.91</v>
      </c>
      <c r="AH20">
        <v>0.93899999999999995</v>
      </c>
    </row>
    <row r="21" spans="1:36" x14ac:dyDescent="0.25">
      <c r="A21" t="s">
        <v>108</v>
      </c>
      <c r="B21" t="s">
        <v>25</v>
      </c>
      <c r="C21" t="s">
        <v>116</v>
      </c>
      <c r="E21" t="s">
        <v>40</v>
      </c>
      <c r="F21" t="b">
        <v>0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41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53</v>
      </c>
      <c r="AF21" t="s">
        <v>53</v>
      </c>
      <c r="AG21">
        <v>0.91</v>
      </c>
      <c r="AH21">
        <v>0.93899999999999995</v>
      </c>
    </row>
    <row r="22" spans="1:36" x14ac:dyDescent="0.25">
      <c r="A22" t="s">
        <v>109</v>
      </c>
      <c r="B22" t="s">
        <v>26</v>
      </c>
      <c r="C22" t="s">
        <v>116</v>
      </c>
      <c r="E22" t="s">
        <v>40</v>
      </c>
      <c r="F22" t="b">
        <v>0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41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53</v>
      </c>
      <c r="AF22" t="s">
        <v>53</v>
      </c>
      <c r="AG22">
        <v>0.91</v>
      </c>
      <c r="AH22">
        <v>0.93899999999999995</v>
      </c>
    </row>
    <row r="23" spans="1:36" x14ac:dyDescent="0.25">
      <c r="A23" t="s">
        <v>110</v>
      </c>
      <c r="B23" t="s">
        <v>27</v>
      </c>
      <c r="C23" t="s">
        <v>116</v>
      </c>
      <c r="E23" t="s">
        <v>40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41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53</v>
      </c>
      <c r="AF23" t="s">
        <v>53</v>
      </c>
      <c r="AG23">
        <v>0.91</v>
      </c>
      <c r="AH23">
        <v>0.93899999999999995</v>
      </c>
    </row>
    <row r="24" spans="1:36" x14ac:dyDescent="0.25">
      <c r="AD24" s="7"/>
    </row>
    <row r="25" spans="1:36" x14ac:dyDescent="0.25">
      <c r="A25" t="s">
        <v>95</v>
      </c>
      <c r="B25" t="s">
        <v>23</v>
      </c>
      <c r="C25" t="s">
        <v>117</v>
      </c>
      <c r="E25" t="s">
        <v>40</v>
      </c>
      <c r="F25" t="b">
        <v>0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41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53</v>
      </c>
      <c r="AF25" t="s">
        <v>53</v>
      </c>
      <c r="AG25">
        <v>0.75</v>
      </c>
      <c r="AH25">
        <f>0.939*0.75/0.91</f>
        <v>0.77390109890109882</v>
      </c>
    </row>
    <row r="26" spans="1:36" x14ac:dyDescent="0.25">
      <c r="A26" t="s">
        <v>96</v>
      </c>
      <c r="B26" t="s">
        <v>24</v>
      </c>
      <c r="C26" t="s">
        <v>117</v>
      </c>
      <c r="E26" t="s">
        <v>40</v>
      </c>
      <c r="F26" t="b">
        <v>0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41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53</v>
      </c>
      <c r="AF26" t="s">
        <v>53</v>
      </c>
      <c r="AG26">
        <v>0.75</v>
      </c>
      <c r="AH26">
        <f t="shared" ref="AH26:AH29" si="0">0.939*0.75/0.91</f>
        <v>0.77390109890109882</v>
      </c>
    </row>
    <row r="27" spans="1:36" x14ac:dyDescent="0.25">
      <c r="A27" t="s">
        <v>98</v>
      </c>
      <c r="B27" t="s">
        <v>25</v>
      </c>
      <c r="C27" t="s">
        <v>117</v>
      </c>
      <c r="E27" t="s">
        <v>40</v>
      </c>
      <c r="F27" t="b">
        <v>0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41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53</v>
      </c>
      <c r="AF27" t="s">
        <v>53</v>
      </c>
      <c r="AG27">
        <v>0.75</v>
      </c>
      <c r="AH27">
        <f t="shared" si="0"/>
        <v>0.77390109890109882</v>
      </c>
    </row>
    <row r="28" spans="1:36" x14ac:dyDescent="0.25">
      <c r="A28" t="s">
        <v>99</v>
      </c>
      <c r="B28" t="s">
        <v>26</v>
      </c>
      <c r="C28" t="s">
        <v>117</v>
      </c>
      <c r="E28" t="s">
        <v>40</v>
      </c>
      <c r="F28" t="b">
        <v>0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41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53</v>
      </c>
      <c r="AF28" t="s">
        <v>53</v>
      </c>
      <c r="AG28">
        <v>0.75</v>
      </c>
      <c r="AH28">
        <f t="shared" si="0"/>
        <v>0.77390109890109882</v>
      </c>
    </row>
    <row r="29" spans="1:36" x14ac:dyDescent="0.25">
      <c r="A29" t="s">
        <v>97</v>
      </c>
      <c r="B29" t="s">
        <v>27</v>
      </c>
      <c r="C29" t="s">
        <v>117</v>
      </c>
      <c r="E29" t="s">
        <v>40</v>
      </c>
      <c r="F29" t="b">
        <v>0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41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53</v>
      </c>
      <c r="AF29" t="s">
        <v>53</v>
      </c>
      <c r="AG29">
        <v>0.75</v>
      </c>
      <c r="AH29">
        <f t="shared" si="0"/>
        <v>0.77390109890109882</v>
      </c>
    </row>
    <row r="31" spans="1:36" x14ac:dyDescent="0.25">
      <c r="A31" t="s">
        <v>169</v>
      </c>
      <c r="B31" t="s">
        <v>23</v>
      </c>
      <c r="C31" t="s">
        <v>168</v>
      </c>
      <c r="E31" t="s">
        <v>40</v>
      </c>
      <c r="F31" t="b">
        <v>0</v>
      </c>
      <c r="G31" t="b">
        <v>1</v>
      </c>
      <c r="H31" t="b">
        <v>1</v>
      </c>
      <c r="I31">
        <v>0</v>
      </c>
      <c r="J31" t="b">
        <v>0</v>
      </c>
      <c r="K31" t="b">
        <v>0</v>
      </c>
      <c r="L31" t="b">
        <v>0</v>
      </c>
      <c r="M31" t="b">
        <v>1</v>
      </c>
      <c r="N31" t="b">
        <v>1</v>
      </c>
      <c r="O31" t="s">
        <v>4</v>
      </c>
      <c r="P31">
        <v>0.14000000000000001</v>
      </c>
      <c r="Q31">
        <v>0.14000000000000001</v>
      </c>
      <c r="R31" t="b">
        <v>1</v>
      </c>
      <c r="S31" t="b">
        <v>1</v>
      </c>
      <c r="T31" t="s">
        <v>32</v>
      </c>
      <c r="U31">
        <v>20</v>
      </c>
      <c r="V31">
        <v>0.04</v>
      </c>
      <c r="W31">
        <v>7</v>
      </c>
      <c r="X31">
        <v>0</v>
      </c>
      <c r="Y31" t="s">
        <v>41</v>
      </c>
      <c r="Z31" t="s">
        <v>31</v>
      </c>
      <c r="AA31" t="s">
        <v>23</v>
      </c>
      <c r="AB31">
        <v>7.0000000000000007E-2</v>
      </c>
      <c r="AC31">
        <v>8.5300000000000001E-2</v>
      </c>
      <c r="AD31" s="7">
        <v>0.16</v>
      </c>
      <c r="AE31" t="s">
        <v>170</v>
      </c>
      <c r="AF31" t="s">
        <v>173</v>
      </c>
      <c r="AG31">
        <v>0.91</v>
      </c>
      <c r="AH31">
        <v>0.93899999999999995</v>
      </c>
      <c r="AI31" s="41">
        <v>17115507004</v>
      </c>
      <c r="AJ31" s="41">
        <v>17660946238</v>
      </c>
    </row>
    <row r="32" spans="1:36" x14ac:dyDescent="0.25">
      <c r="A32" t="s">
        <v>174</v>
      </c>
      <c r="B32" t="s">
        <v>23</v>
      </c>
      <c r="C32" t="s">
        <v>168</v>
      </c>
      <c r="E32" t="s">
        <v>40</v>
      </c>
      <c r="F32" t="b">
        <v>0</v>
      </c>
      <c r="G32" t="b">
        <v>1</v>
      </c>
      <c r="H32" t="b">
        <v>1</v>
      </c>
      <c r="I32">
        <v>0</v>
      </c>
      <c r="J32" t="b">
        <v>0</v>
      </c>
      <c r="K32" t="b">
        <v>0</v>
      </c>
      <c r="L32" t="b">
        <v>0</v>
      </c>
      <c r="M32" t="b">
        <v>1</v>
      </c>
      <c r="N32" t="b">
        <v>1</v>
      </c>
      <c r="O32" t="s">
        <v>4</v>
      </c>
      <c r="P32">
        <v>0.14000000000000001</v>
      </c>
      <c r="Q32">
        <v>0.14000000000000001</v>
      </c>
      <c r="R32" t="b">
        <v>1</v>
      </c>
      <c r="S32" t="b">
        <v>1</v>
      </c>
      <c r="T32" t="s">
        <v>32</v>
      </c>
      <c r="U32">
        <v>20</v>
      </c>
      <c r="V32">
        <v>0.04</v>
      </c>
      <c r="W32">
        <v>7</v>
      </c>
      <c r="X32">
        <v>0</v>
      </c>
      <c r="Y32" t="s">
        <v>41</v>
      </c>
      <c r="Z32" t="s">
        <v>31</v>
      </c>
      <c r="AA32" t="s">
        <v>23</v>
      </c>
      <c r="AB32">
        <v>7.2499999999999995E-2</v>
      </c>
      <c r="AC32">
        <v>8.5300000000000001E-2</v>
      </c>
      <c r="AD32" s="7">
        <v>0.16</v>
      </c>
      <c r="AE32" t="s">
        <v>170</v>
      </c>
      <c r="AF32" t="s">
        <v>173</v>
      </c>
      <c r="AG32">
        <v>0.91</v>
      </c>
      <c r="AH32">
        <v>0.93899999999999995</v>
      </c>
      <c r="AI32" s="41">
        <v>17115507004</v>
      </c>
      <c r="AJ32" s="41">
        <v>17660946238</v>
      </c>
    </row>
    <row r="33" spans="1:36" x14ac:dyDescent="0.25">
      <c r="A33" t="s">
        <v>175</v>
      </c>
      <c r="B33" t="s">
        <v>23</v>
      </c>
      <c r="C33" t="s">
        <v>168</v>
      </c>
      <c r="E33" t="s">
        <v>40</v>
      </c>
      <c r="F33" t="b">
        <v>0</v>
      </c>
      <c r="G33" t="b">
        <v>1</v>
      </c>
      <c r="H33" t="b">
        <v>1</v>
      </c>
      <c r="I33">
        <v>0</v>
      </c>
      <c r="J33" t="b">
        <v>0</v>
      </c>
      <c r="K33" t="b">
        <v>0</v>
      </c>
      <c r="L33" t="b">
        <v>0</v>
      </c>
      <c r="M33" t="b">
        <v>1</v>
      </c>
      <c r="N33" t="b">
        <v>1</v>
      </c>
      <c r="O33" t="s">
        <v>4</v>
      </c>
      <c r="P33">
        <v>0.14000000000000001</v>
      </c>
      <c r="Q33">
        <v>0.14000000000000001</v>
      </c>
      <c r="R33" t="b">
        <v>1</v>
      </c>
      <c r="S33" t="b">
        <v>1</v>
      </c>
      <c r="T33" t="s">
        <v>32</v>
      </c>
      <c r="U33">
        <v>20</v>
      </c>
      <c r="V33">
        <v>0.04</v>
      </c>
      <c r="W33">
        <v>7</v>
      </c>
      <c r="X33">
        <v>0</v>
      </c>
      <c r="Y33" t="s">
        <v>41</v>
      </c>
      <c r="Z33" t="s">
        <v>31</v>
      </c>
      <c r="AA33" t="s">
        <v>23</v>
      </c>
      <c r="AB33">
        <v>7.0000000000000007E-2</v>
      </c>
      <c r="AC33">
        <v>8.5300000000000001E-2</v>
      </c>
      <c r="AD33" s="7">
        <v>0.16</v>
      </c>
      <c r="AE33" t="s">
        <v>170</v>
      </c>
      <c r="AF33" t="s">
        <v>173</v>
      </c>
      <c r="AG33">
        <v>0.91</v>
      </c>
      <c r="AH33">
        <v>0.93899999999999995</v>
      </c>
      <c r="AI33" s="41">
        <v>17115507004</v>
      </c>
      <c r="AJ33" s="41">
        <v>17660946238</v>
      </c>
    </row>
    <row r="35" spans="1:36" x14ac:dyDescent="0.25">
      <c r="A35" t="s">
        <v>164</v>
      </c>
      <c r="B35" t="s">
        <v>23</v>
      </c>
      <c r="C35" t="s">
        <v>114</v>
      </c>
      <c r="E35" t="s">
        <v>40</v>
      </c>
      <c r="F35" t="b">
        <v>0</v>
      </c>
      <c r="G35" t="b">
        <v>1</v>
      </c>
      <c r="H35" t="b">
        <v>1</v>
      </c>
      <c r="I35">
        <v>70</v>
      </c>
      <c r="J35" t="b">
        <v>0</v>
      </c>
      <c r="K35" t="b">
        <v>0</v>
      </c>
      <c r="L35" t="b">
        <v>0</v>
      </c>
      <c r="M35" t="b">
        <v>1</v>
      </c>
      <c r="N35" t="b">
        <v>1</v>
      </c>
      <c r="O35" t="s">
        <v>4</v>
      </c>
      <c r="P35">
        <v>0.14000000000000001</v>
      </c>
      <c r="Q35">
        <v>0.14000000000000001</v>
      </c>
      <c r="R35" t="b">
        <v>1</v>
      </c>
      <c r="S35" t="b">
        <v>1</v>
      </c>
      <c r="T35" t="s">
        <v>32</v>
      </c>
      <c r="U35">
        <v>20</v>
      </c>
      <c r="V35">
        <v>0.04</v>
      </c>
      <c r="W35">
        <v>7</v>
      </c>
      <c r="X35">
        <v>0</v>
      </c>
      <c r="Y35" t="s">
        <v>44</v>
      </c>
      <c r="Z35" t="s">
        <v>54</v>
      </c>
      <c r="AA35" t="s">
        <v>23</v>
      </c>
      <c r="AB35">
        <v>7.4999999999999997E-2</v>
      </c>
      <c r="AC35">
        <v>8.2199999999999995E-2</v>
      </c>
      <c r="AD35" s="7">
        <v>0.16</v>
      </c>
      <c r="AE35" t="s">
        <v>53</v>
      </c>
      <c r="AF35" t="s">
        <v>53</v>
      </c>
      <c r="AG35">
        <v>0.91</v>
      </c>
      <c r="AH35">
        <v>0.93899999999999995</v>
      </c>
    </row>
  </sheetData>
  <dataValidations count="2">
    <dataValidation type="list" allowBlank="1" showInputMessage="1" showErrorMessage="1" sqref="F35:H35 J5:N29 G5:H29 J35:N35 J31:N33 G31:H33 F5:F34">
      <formula1>"TRUE, FALSE"</formula1>
    </dataValidation>
    <dataValidation type="list" allowBlank="1" showInputMessage="1" showErrorMessage="1" sqref="Z5:Z29 Z35 Z31:Z33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5" sqref="C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90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91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92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47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47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" workbookViewId="0">
      <selection activeCell="B7" sqref="B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61</v>
      </c>
    </row>
    <row r="2" spans="1:7" x14ac:dyDescent="0.25">
      <c r="A2" s="29" t="s">
        <v>62</v>
      </c>
      <c r="B2" s="29" t="s">
        <v>70</v>
      </c>
    </row>
    <row r="3" spans="1:7" x14ac:dyDescent="0.25">
      <c r="A3" s="29" t="s">
        <v>63</v>
      </c>
      <c r="B3" s="29" t="s">
        <v>71</v>
      </c>
    </row>
    <row r="5" spans="1:7" ht="58.5" x14ac:dyDescent="0.25">
      <c r="B5" s="12" t="s">
        <v>55</v>
      </c>
      <c r="C5" s="13" t="s">
        <v>56</v>
      </c>
      <c r="D5" s="13" t="s">
        <v>57</v>
      </c>
      <c r="E5" s="13" t="s">
        <v>58</v>
      </c>
      <c r="F5" s="13" t="s">
        <v>59</v>
      </c>
      <c r="G5" s="13" t="s">
        <v>60</v>
      </c>
    </row>
    <row r="6" spans="1:7" ht="19.5" x14ac:dyDescent="0.25">
      <c r="B6" s="26" t="s">
        <v>64</v>
      </c>
      <c r="C6" s="27" t="s">
        <v>65</v>
      </c>
      <c r="D6" s="27" t="s">
        <v>66</v>
      </c>
      <c r="E6" s="27" t="s">
        <v>67</v>
      </c>
      <c r="F6" s="27" t="s">
        <v>68</v>
      </c>
      <c r="G6" s="27" t="s">
        <v>69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93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52" sqref="C52"/>
    </sheetView>
  </sheetViews>
  <sheetFormatPr defaultRowHeight="15" x14ac:dyDescent="0.25"/>
  <cols>
    <col min="2" max="3" width="22.5703125" style="30" customWidth="1"/>
    <col min="4" max="4" width="32.28515625" style="30" customWidth="1"/>
    <col min="5" max="5" width="22.5703125" style="30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31"/>
      <c r="C2" s="31" t="s">
        <v>118</v>
      </c>
      <c r="D2" s="31" t="s">
        <v>126</v>
      </c>
      <c r="E2" s="31" t="s">
        <v>75</v>
      </c>
    </row>
    <row r="3" spans="2:7" ht="15.75" thickBot="1" x14ac:dyDescent="0.3">
      <c r="B3" s="34" t="s">
        <v>78</v>
      </c>
      <c r="C3" s="31">
        <v>12.21</v>
      </c>
      <c r="D3" s="31">
        <v>12.29</v>
      </c>
      <c r="E3" s="33">
        <f>D3/C3</f>
        <v>1.0065520065520064</v>
      </c>
    </row>
    <row r="4" spans="2:7" ht="15.75" thickBot="1" x14ac:dyDescent="0.3">
      <c r="B4" s="34" t="s">
        <v>79</v>
      </c>
      <c r="C4" s="31">
        <v>10.69</v>
      </c>
      <c r="D4" s="31">
        <f>D5-D6</f>
        <v>10.739999999999998</v>
      </c>
      <c r="E4" s="33">
        <f t="shared" ref="E4:E14" si="0">D4/C4</f>
        <v>1.0046772684752103</v>
      </c>
    </row>
    <row r="5" spans="2:7" ht="15.75" thickBot="1" x14ac:dyDescent="0.3">
      <c r="B5" s="31" t="s">
        <v>80</v>
      </c>
      <c r="C5" s="31">
        <v>18.8</v>
      </c>
      <c r="D5" s="31">
        <v>18.809999999999999</v>
      </c>
      <c r="E5" s="33">
        <f t="shared" si="0"/>
        <v>1.0005319148936169</v>
      </c>
    </row>
    <row r="6" spans="2:7" ht="15.75" thickBot="1" x14ac:dyDescent="0.3">
      <c r="B6" s="31" t="s">
        <v>81</v>
      </c>
      <c r="C6" s="31">
        <f>C3-4.1</f>
        <v>8.1100000000000012</v>
      </c>
      <c r="D6" s="31">
        <v>8.07</v>
      </c>
      <c r="E6" s="33">
        <f t="shared" si="0"/>
        <v>0.99506781750924778</v>
      </c>
    </row>
    <row r="7" spans="2:7" ht="15.75" thickBot="1" x14ac:dyDescent="0.3">
      <c r="B7" s="31" t="s">
        <v>82</v>
      </c>
      <c r="C7" s="31">
        <v>17.645</v>
      </c>
      <c r="D7" s="31">
        <v>17.66</v>
      </c>
      <c r="E7" s="33">
        <f t="shared" si="0"/>
        <v>1.0008500991782374</v>
      </c>
    </row>
    <row r="8" spans="2:7" ht="15.75" thickBot="1" x14ac:dyDescent="0.3">
      <c r="B8" s="31" t="s">
        <v>83</v>
      </c>
      <c r="C8" s="31">
        <v>17.103999999999999</v>
      </c>
      <c r="D8" s="31">
        <v>17.116</v>
      </c>
      <c r="E8" s="33">
        <f t="shared" si="0"/>
        <v>1.0007015902712817</v>
      </c>
    </row>
    <row r="9" spans="2:7" ht="15.75" thickBot="1" x14ac:dyDescent="0.3">
      <c r="B9" s="34" t="s">
        <v>84</v>
      </c>
      <c r="C9" s="31">
        <v>0.39500000000000002</v>
      </c>
      <c r="D9" s="31">
        <v>0.39150000000000001</v>
      </c>
      <c r="E9" s="33">
        <f t="shared" si="0"/>
        <v>0.99113924050632907</v>
      </c>
    </row>
    <row r="10" spans="2:7" ht="15.75" thickBot="1" x14ac:dyDescent="0.3">
      <c r="B10" s="31" t="s">
        <v>85</v>
      </c>
      <c r="C10" s="31">
        <v>0.17399999999999999</v>
      </c>
      <c r="D10" s="31">
        <v>0.17394999999999999</v>
      </c>
      <c r="E10" s="33">
        <f t="shared" si="0"/>
        <v>0.99971264367816093</v>
      </c>
      <c r="G10">
        <f>D11/D13</f>
        <v>9.6349319971367212E-2</v>
      </c>
    </row>
    <row r="11" spans="2:7" ht="15.75" thickBot="1" x14ac:dyDescent="0.3">
      <c r="B11" s="34" t="s">
        <v>86</v>
      </c>
      <c r="C11" s="31">
        <v>0.1366</v>
      </c>
      <c r="D11" s="31">
        <v>0.1346</v>
      </c>
      <c r="E11" s="33">
        <f t="shared" si="0"/>
        <v>0.98535871156661781</v>
      </c>
      <c r="F11">
        <f>D11/D13</f>
        <v>9.6349319971367212E-2</v>
      </c>
    </row>
    <row r="12" spans="2:7" ht="15.75" thickBot="1" x14ac:dyDescent="0.3">
      <c r="B12" s="31" t="s">
        <v>165</v>
      </c>
      <c r="C12" s="31">
        <f>0.445-0.0127</f>
        <v>0.43230000000000002</v>
      </c>
      <c r="D12" s="31">
        <v>0.43080000000000002</v>
      </c>
      <c r="E12" s="33">
        <f t="shared" si="0"/>
        <v>0.99653018736988197</v>
      </c>
      <c r="F12">
        <f>D12/D13</f>
        <v>0.30837508947745168</v>
      </c>
    </row>
    <row r="13" spans="2:7" ht="15.75" thickBot="1" x14ac:dyDescent="0.3">
      <c r="B13" s="31" t="s">
        <v>88</v>
      </c>
      <c r="C13" s="31">
        <v>1.401</v>
      </c>
      <c r="D13" s="31">
        <v>1.397</v>
      </c>
      <c r="E13" s="33">
        <f t="shared" si="0"/>
        <v>0.99714489650249827</v>
      </c>
    </row>
    <row r="14" spans="2:7" ht="15.75" thickBot="1" x14ac:dyDescent="0.3">
      <c r="B14" s="34" t="s">
        <v>127</v>
      </c>
      <c r="C14" s="31">
        <f>0.8365</f>
        <v>0.83650000000000002</v>
      </c>
      <c r="D14" s="31">
        <v>0.84530000000000005</v>
      </c>
      <c r="E14" s="33">
        <f t="shared" si="0"/>
        <v>1.0105200239091452</v>
      </c>
      <c r="F14">
        <f>1/E14</f>
        <v>0.98958949485389813</v>
      </c>
    </row>
    <row r="15" spans="2:7" ht="15.75" thickBot="1" x14ac:dyDescent="0.3">
      <c r="B15" s="31"/>
      <c r="C15" s="31"/>
      <c r="D15" s="31"/>
      <c r="E15" s="32"/>
    </row>
    <row r="36" spans="2:2" x14ac:dyDescent="0.25">
      <c r="B36" s="30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6" sqref="B16"/>
    </sheetView>
  </sheetViews>
  <sheetFormatPr defaultRowHeight="15" x14ac:dyDescent="0.25"/>
  <cols>
    <col min="1" max="1" width="19.42578125" customWidth="1"/>
    <col min="2" max="2" width="11.42578125" customWidth="1"/>
    <col min="3" max="3" width="12.28515625" bestFit="1" customWidth="1"/>
    <col min="4" max="4" width="12.28515625" customWidth="1"/>
    <col min="5" max="5" width="8.5703125" bestFit="1" customWidth="1"/>
    <col min="6" max="6" width="12.28515625" bestFit="1" customWidth="1"/>
    <col min="7" max="7" width="12.28515625" customWidth="1"/>
    <col min="8" max="8" width="12.5703125" customWidth="1"/>
    <col min="9" max="9" width="13.140625" customWidth="1"/>
    <col min="10" max="10" width="10" bestFit="1" customWidth="1"/>
    <col min="11" max="11" width="14" customWidth="1"/>
  </cols>
  <sheetData>
    <row r="1" spans="1:11" x14ac:dyDescent="0.25">
      <c r="B1" t="s">
        <v>121</v>
      </c>
      <c r="E1" t="s">
        <v>122</v>
      </c>
      <c r="H1" t="s">
        <v>123</v>
      </c>
      <c r="K1" t="s">
        <v>125</v>
      </c>
    </row>
    <row r="2" spans="1:11" x14ac:dyDescent="0.25">
      <c r="B2" t="s">
        <v>120</v>
      </c>
      <c r="C2" t="s">
        <v>119</v>
      </c>
      <c r="E2" t="s">
        <v>124</v>
      </c>
      <c r="F2" t="s">
        <v>119</v>
      </c>
      <c r="H2" t="s">
        <v>124</v>
      </c>
      <c r="I2" t="s">
        <v>119</v>
      </c>
    </row>
    <row r="3" spans="1:11" x14ac:dyDescent="0.25">
      <c r="A3">
        <v>2016</v>
      </c>
      <c r="B3">
        <v>8414</v>
      </c>
      <c r="C3">
        <v>6056</v>
      </c>
      <c r="D3">
        <f>B3*C3*12</f>
        <v>611462208</v>
      </c>
      <c r="E3">
        <v>1983</v>
      </c>
      <c r="F3">
        <v>4740</v>
      </c>
      <c r="G3">
        <f>E3*F3*12</f>
        <v>112793040</v>
      </c>
      <c r="H3">
        <v>2422</v>
      </c>
      <c r="I3">
        <v>4190</v>
      </c>
      <c r="J3">
        <f>H3*I3*12</f>
        <v>121778160</v>
      </c>
      <c r="K3">
        <f>SUM(D3,G3,J3)</f>
        <v>846033408</v>
      </c>
    </row>
    <row r="7" spans="1:11" x14ac:dyDescent="0.25">
      <c r="A7" t="s">
        <v>166</v>
      </c>
    </row>
    <row r="8" spans="1:11" x14ac:dyDescent="0.25">
      <c r="A8" t="s">
        <v>158</v>
      </c>
      <c r="B8" s="25">
        <v>573741855</v>
      </c>
    </row>
    <row r="9" spans="1:11" x14ac:dyDescent="0.25">
      <c r="A9" t="s">
        <v>159</v>
      </c>
      <c r="B9" s="25">
        <v>112097385</v>
      </c>
    </row>
    <row r="10" spans="1:11" x14ac:dyDescent="0.25">
      <c r="A10" t="s">
        <v>160</v>
      </c>
      <c r="B10" s="25">
        <v>117553409</v>
      </c>
    </row>
    <row r="11" spans="1:11" x14ac:dyDescent="0.25">
      <c r="A11" t="s">
        <v>161</v>
      </c>
      <c r="B11" s="25">
        <v>2407917</v>
      </c>
    </row>
    <row r="12" spans="1:11" x14ac:dyDescent="0.25">
      <c r="A12" t="s">
        <v>162</v>
      </c>
      <c r="B12" s="25">
        <v>3067069</v>
      </c>
    </row>
    <row r="13" spans="1:11" x14ac:dyDescent="0.25">
      <c r="A13" t="s">
        <v>163</v>
      </c>
      <c r="B13" s="25">
        <v>181495545</v>
      </c>
    </row>
    <row r="14" spans="1:11" x14ac:dyDescent="0.25">
      <c r="B14" s="25">
        <f>SUM(B8:B13)</f>
        <v>990363180</v>
      </c>
      <c r="C14" s="25">
        <f>B14-B13</f>
        <v>808867635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tabSelected="1" workbookViewId="0">
      <selection activeCell="C37" sqref="C37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73</v>
      </c>
      <c r="D2" s="31" t="s">
        <v>74</v>
      </c>
      <c r="E2" s="31" t="s">
        <v>75</v>
      </c>
      <c r="F2" s="31" t="s">
        <v>76</v>
      </c>
      <c r="G2" s="31" t="s">
        <v>77</v>
      </c>
    </row>
    <row r="3" spans="2:7" ht="15.75" thickBot="1" x14ac:dyDescent="0.3">
      <c r="B3" s="34" t="s">
        <v>78</v>
      </c>
      <c r="C3" s="31">
        <v>12.2</v>
      </c>
      <c r="D3" s="31">
        <v>11.49</v>
      </c>
      <c r="E3" s="33">
        <f>D3/C3</f>
        <v>0.94180327868852465</v>
      </c>
      <c r="F3" s="31">
        <f>12.36+0.26</f>
        <v>12.62</v>
      </c>
      <c r="G3" s="33">
        <f>F3/C3</f>
        <v>1.0344262295081967</v>
      </c>
    </row>
    <row r="4" spans="2:7" ht="15.75" thickBot="1" x14ac:dyDescent="0.3">
      <c r="B4" s="34" t="s">
        <v>79</v>
      </c>
      <c r="C4" s="31">
        <v>10.66</v>
      </c>
      <c r="D4" s="31">
        <v>9.6790000000000003</v>
      </c>
      <c r="E4" s="33">
        <f t="shared" ref="E4:E14" si="0">D4/C4</f>
        <v>0.90797373358348965</v>
      </c>
      <c r="F4" s="31">
        <v>10.050000000000001</v>
      </c>
      <c r="G4" s="33">
        <f t="shared" ref="G4:G14" si="1">F4/C4</f>
        <v>0.94277673545966234</v>
      </c>
    </row>
    <row r="5" spans="2:7" ht="15.75" thickBot="1" x14ac:dyDescent="0.3">
      <c r="B5" s="31" t="s">
        <v>80</v>
      </c>
      <c r="C5" s="31">
        <v>18.8</v>
      </c>
      <c r="D5" s="31">
        <v>17.21</v>
      </c>
      <c r="E5" s="33">
        <f t="shared" si="0"/>
        <v>0.91542553191489362</v>
      </c>
      <c r="F5" s="31">
        <f>18.17</f>
        <v>18.170000000000002</v>
      </c>
      <c r="G5" s="33">
        <f t="shared" si="1"/>
        <v>0.96648936170212774</v>
      </c>
    </row>
    <row r="6" spans="2:7" ht="15.75" thickBot="1" x14ac:dyDescent="0.3">
      <c r="B6" s="31" t="s">
        <v>81</v>
      </c>
      <c r="C6" s="31">
        <f>C3-4.1</f>
        <v>8.1</v>
      </c>
      <c r="D6" s="31"/>
      <c r="E6" s="33"/>
      <c r="F6" s="31">
        <v>8.1199999999999992</v>
      </c>
      <c r="G6" s="33">
        <f t="shared" si="1"/>
        <v>1.0024691358024691</v>
      </c>
    </row>
    <row r="7" spans="2:7" ht="15.75" thickBot="1" x14ac:dyDescent="0.3">
      <c r="B7" s="31" t="s">
        <v>82</v>
      </c>
      <c r="C7" s="31">
        <v>17.645</v>
      </c>
      <c r="D7" s="31"/>
      <c r="E7" s="33"/>
      <c r="F7" s="31">
        <v>16.62</v>
      </c>
      <c r="G7" s="33">
        <f t="shared" si="1"/>
        <v>0.94190988948710686</v>
      </c>
    </row>
    <row r="8" spans="2:7" ht="15.75" thickBot="1" x14ac:dyDescent="0.3">
      <c r="B8" s="31" t="s">
        <v>83</v>
      </c>
      <c r="C8" s="31">
        <v>17.103999999999999</v>
      </c>
      <c r="D8" s="31"/>
      <c r="E8" s="33"/>
      <c r="F8" s="31">
        <v>17.190000000000001</v>
      </c>
      <c r="G8" s="33">
        <f t="shared" si="1"/>
        <v>1.0050280636108513</v>
      </c>
    </row>
    <row r="9" spans="2:7" ht="15.75" thickBot="1" x14ac:dyDescent="0.3">
      <c r="B9" s="34" t="s">
        <v>84</v>
      </c>
      <c r="C9" s="31">
        <v>0.39500000000000002</v>
      </c>
      <c r="D9" s="31">
        <v>0.37</v>
      </c>
      <c r="E9" s="33">
        <f t="shared" si="0"/>
        <v>0.93670886075949367</v>
      </c>
      <c r="F9" s="31">
        <v>0.39600000000000002</v>
      </c>
      <c r="G9" s="33">
        <f t="shared" si="1"/>
        <v>1.0025316455696203</v>
      </c>
    </row>
    <row r="10" spans="2:7" ht="15.75" thickBot="1" x14ac:dyDescent="0.3">
      <c r="B10" s="31" t="s">
        <v>85</v>
      </c>
      <c r="C10" s="31">
        <v>0.17399999999999999</v>
      </c>
      <c r="D10" s="31">
        <v>0.17</v>
      </c>
      <c r="E10" s="33">
        <f t="shared" si="0"/>
        <v>0.9770114942528737</v>
      </c>
      <c r="F10" s="31">
        <v>0.1792</v>
      </c>
      <c r="G10" s="33">
        <f t="shared" si="1"/>
        <v>1.0298850574712644</v>
      </c>
    </row>
    <row r="11" spans="2:7" ht="15.75" thickBot="1" x14ac:dyDescent="0.3">
      <c r="B11" s="34" t="s">
        <v>86</v>
      </c>
      <c r="C11" s="31">
        <v>0.1366</v>
      </c>
      <c r="D11" s="31">
        <v>0.122</v>
      </c>
      <c r="E11" s="33">
        <f t="shared" si="0"/>
        <v>0.89311859443631036</v>
      </c>
      <c r="F11" s="31">
        <v>0.13420000000000001</v>
      </c>
      <c r="G11" s="33">
        <f t="shared" si="1"/>
        <v>0.98243045387994155</v>
      </c>
    </row>
    <row r="12" spans="2:7" ht="15.75" thickBot="1" x14ac:dyDescent="0.3">
      <c r="B12" s="31" t="s">
        <v>87</v>
      </c>
      <c r="C12" s="31">
        <f>0.445-0.0127</f>
        <v>0.43230000000000002</v>
      </c>
      <c r="D12" s="31">
        <v>0.41699999999999998</v>
      </c>
      <c r="E12" s="33">
        <f t="shared" si="0"/>
        <v>0.96460791117279654</v>
      </c>
      <c r="F12" s="31">
        <v>0.439</v>
      </c>
      <c r="G12" s="33">
        <f t="shared" si="1"/>
        <v>1.0154984964145268</v>
      </c>
    </row>
    <row r="13" spans="2:7" ht="15.75" thickBot="1" x14ac:dyDescent="0.3">
      <c r="B13" s="31" t="s">
        <v>88</v>
      </c>
      <c r="C13" s="31">
        <v>1.401</v>
      </c>
      <c r="D13" s="31">
        <v>1.4019999999999999</v>
      </c>
      <c r="E13" s="33">
        <f t="shared" si="0"/>
        <v>1.0007137758743754</v>
      </c>
      <c r="F13" s="31">
        <v>1.4019999999999999</v>
      </c>
      <c r="G13" s="33">
        <f t="shared" si="1"/>
        <v>1.0007137758743754</v>
      </c>
    </row>
    <row r="14" spans="2:7" ht="15.75" thickBot="1" x14ac:dyDescent="0.3">
      <c r="B14" s="34" t="s">
        <v>89</v>
      </c>
      <c r="C14" s="31">
        <v>0.84599999999999997</v>
      </c>
      <c r="D14" s="31">
        <v>0.79500000000000004</v>
      </c>
      <c r="E14" s="33">
        <f t="shared" si="0"/>
        <v>0.93971631205673767</v>
      </c>
      <c r="F14" s="31">
        <v>0.80149999999999999</v>
      </c>
      <c r="G14" s="33">
        <f t="shared" si="1"/>
        <v>0.94739952718676124</v>
      </c>
    </row>
    <row r="15" spans="2:7" ht="15.75" thickBot="1" x14ac:dyDescent="0.3">
      <c r="B15" s="31"/>
      <c r="C15" s="31"/>
      <c r="D15" s="31"/>
      <c r="E15" s="32"/>
      <c r="F15" s="31"/>
      <c r="G15" s="31"/>
    </row>
    <row r="35" spans="2:3" x14ac:dyDescent="0.25">
      <c r="C35" s="30">
        <f>0.4/18.8</f>
        <v>2.1276595744680851E-2</v>
      </c>
    </row>
    <row r="36" spans="2:3" x14ac:dyDescent="0.25">
      <c r="C36" s="30">
        <f>0.85/18.8</f>
        <v>4.5212765957446804E-2</v>
      </c>
    </row>
    <row r="44" spans="2:3" x14ac:dyDescent="0.25">
      <c r="B44" s="41">
        <v>24429279</v>
      </c>
    </row>
    <row r="47" spans="2:3" x14ac:dyDescent="0.25">
      <c r="B47" s="41">
        <v>23532419</v>
      </c>
    </row>
    <row r="52" spans="2:2" x14ac:dyDescent="0.25">
      <c r="B52" s="41" t="s">
        <v>128</v>
      </c>
    </row>
    <row r="53" spans="2:2" x14ac:dyDescent="0.25">
      <c r="B53" s="41" t="s">
        <v>129</v>
      </c>
    </row>
    <row r="54" spans="2:2" x14ac:dyDescent="0.25">
      <c r="B54" s="41" t="s">
        <v>130</v>
      </c>
    </row>
    <row r="55" spans="2:2" x14ac:dyDescent="0.25">
      <c r="B55" s="41" t="s">
        <v>131</v>
      </c>
    </row>
    <row r="56" spans="2:2" x14ac:dyDescent="0.25">
      <c r="B56" s="41" t="s">
        <v>132</v>
      </c>
    </row>
    <row r="57" spans="2:2" x14ac:dyDescent="0.25">
      <c r="B57" s="41" t="s">
        <v>133</v>
      </c>
    </row>
    <row r="58" spans="2:2" x14ac:dyDescent="0.25">
      <c r="B58" s="41" t="s">
        <v>134</v>
      </c>
    </row>
    <row r="59" spans="2:2" x14ac:dyDescent="0.25">
      <c r="B59" s="41" t="s">
        <v>135</v>
      </c>
    </row>
    <row r="60" spans="2:2" x14ac:dyDescent="0.25">
      <c r="B60" s="41" t="s">
        <v>136</v>
      </c>
    </row>
    <row r="61" spans="2:2" x14ac:dyDescent="0.25">
      <c r="B61" s="41" t="s">
        <v>137</v>
      </c>
    </row>
    <row r="62" spans="2:2" x14ac:dyDescent="0.25">
      <c r="B62" s="41" t="s">
        <v>138</v>
      </c>
    </row>
    <row r="63" spans="2:2" x14ac:dyDescent="0.25">
      <c r="B63" s="41" t="s">
        <v>139</v>
      </c>
    </row>
    <row r="64" spans="2:2" x14ac:dyDescent="0.25">
      <c r="B64" s="41" t="s">
        <v>140</v>
      </c>
    </row>
    <row r="65" spans="2:2" x14ac:dyDescent="0.25">
      <c r="B65" s="41" t="s">
        <v>141</v>
      </c>
    </row>
    <row r="66" spans="2:2" x14ac:dyDescent="0.25">
      <c r="B66" s="41" t="s">
        <v>142</v>
      </c>
    </row>
    <row r="67" spans="2:2" x14ac:dyDescent="0.25">
      <c r="B67" s="41" t="s">
        <v>143</v>
      </c>
    </row>
    <row r="68" spans="2:2" x14ac:dyDescent="0.25">
      <c r="B68" s="41" t="s">
        <v>144</v>
      </c>
    </row>
    <row r="69" spans="2:2" x14ac:dyDescent="0.25">
      <c r="B69" s="41" t="s">
        <v>145</v>
      </c>
    </row>
    <row r="70" spans="2:2" x14ac:dyDescent="0.25">
      <c r="B70" s="41" t="s">
        <v>146</v>
      </c>
    </row>
    <row r="71" spans="2:2" x14ac:dyDescent="0.25">
      <c r="B71" s="41" t="s">
        <v>147</v>
      </c>
    </row>
    <row r="72" spans="2:2" x14ac:dyDescent="0.25">
      <c r="B72" s="41" t="s">
        <v>148</v>
      </c>
    </row>
    <row r="73" spans="2:2" x14ac:dyDescent="0.25">
      <c r="B73" s="41" t="s">
        <v>149</v>
      </c>
    </row>
    <row r="74" spans="2:2" x14ac:dyDescent="0.25">
      <c r="B74" s="41" t="s">
        <v>150</v>
      </c>
    </row>
    <row r="75" spans="2:2" x14ac:dyDescent="0.25">
      <c r="B75" s="41" t="s">
        <v>151</v>
      </c>
    </row>
    <row r="76" spans="2:2" x14ac:dyDescent="0.25">
      <c r="B76" s="41" t="s">
        <v>152</v>
      </c>
    </row>
    <row r="77" spans="2:2" x14ac:dyDescent="0.25">
      <c r="B77" s="41" t="s">
        <v>153</v>
      </c>
    </row>
    <row r="78" spans="2:2" x14ac:dyDescent="0.25">
      <c r="B78" s="41" t="s">
        <v>154</v>
      </c>
    </row>
    <row r="79" spans="2:2" x14ac:dyDescent="0.25">
      <c r="B79" s="41" t="s">
        <v>155</v>
      </c>
    </row>
    <row r="80" spans="2:2" x14ac:dyDescent="0.25">
      <c r="B80" s="41" t="s">
        <v>156</v>
      </c>
    </row>
    <row r="81" spans="2:2" x14ac:dyDescent="0.25">
      <c r="B81" s="41" t="s">
        <v>157</v>
      </c>
    </row>
    <row r="84" spans="2:2" x14ac:dyDescent="0.25">
      <c r="B84" s="30">
        <f>23532418/2</f>
        <v>11766209</v>
      </c>
    </row>
    <row r="85" spans="2:2" x14ac:dyDescent="0.25">
      <c r="B85" s="30">
        <f xml:space="preserve"> 24429270 /2</f>
        <v>12214635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GASB67 Cash flow</vt:lpstr>
      <vt:lpstr>Calibration_2016</vt:lpstr>
      <vt:lpstr>Sheet2</vt:lpstr>
      <vt:lpstr>Sheet1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2017-02-20T03:33:21Z</dcterms:modified>
</cp:coreProperties>
</file>