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1374" documentId="11_0B1D56BE9CDCCE836B02CE7A5FB0D4A9BBFD1C62" xr6:coauthVersionLast="47" xr6:coauthVersionMax="47" xr10:uidLastSave="{955CA5E0-946A-44D6-B265-87685569E2E3}"/>
  <bookViews>
    <workbookView xWindow="240" yWindow="105" windowWidth="14805" windowHeight="8010" firstSheet="4" xr2:uid="{00000000-000D-0000-FFFF-FFFF00000000}"/>
  </bookViews>
  <sheets>
    <sheet name="Info" sheetId="5" r:id="rId1"/>
    <sheet name="New" sheetId="1" r:id="rId2"/>
    <sheet name="Extension" sheetId="2" r:id="rId3"/>
    <sheet name="Season" sheetId="3" r:id="rId4"/>
    <sheet name="Countri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0" i="4"/>
  <c r="K9" i="4"/>
  <c r="K8" i="4"/>
  <c r="K7" i="4"/>
  <c r="K6" i="4"/>
  <c r="K5" i="4"/>
  <c r="K4" i="4"/>
  <c r="K3" i="4"/>
  <c r="K2" i="4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H2" i="4"/>
  <c r="H4" i="4"/>
  <c r="H5" i="4"/>
  <c r="H6" i="4"/>
  <c r="H7" i="4"/>
  <c r="H8" i="4"/>
  <c r="H9" i="4"/>
  <c r="H10" i="4"/>
  <c r="H11" i="4"/>
  <c r="H3" i="4"/>
  <c r="G11" i="4"/>
  <c r="G10" i="4"/>
  <c r="G9" i="4"/>
  <c r="G8" i="4"/>
  <c r="G7" i="4"/>
  <c r="G6" i="4"/>
  <c r="G5" i="4"/>
  <c r="G4" i="4"/>
  <c r="G3" i="4"/>
  <c r="G2" i="4"/>
  <c r="F11" i="4"/>
  <c r="F10" i="4"/>
  <c r="F9" i="4"/>
  <c r="F8" i="4"/>
  <c r="F7" i="4"/>
  <c r="F6" i="4"/>
  <c r="F5" i="4"/>
  <c r="F4" i="4"/>
  <c r="F3" i="4"/>
  <c r="F2" i="4"/>
  <c r="E11" i="4"/>
  <c r="E10" i="4"/>
  <c r="E9" i="4"/>
  <c r="E8" i="4"/>
  <c r="E7" i="4"/>
  <c r="E6" i="4"/>
  <c r="E5" i="4"/>
  <c r="E4" i="4"/>
  <c r="E3" i="4"/>
  <c r="E2" i="4"/>
  <c r="D11" i="4"/>
  <c r="D10" i="4"/>
  <c r="D9" i="4"/>
  <c r="D8" i="4"/>
  <c r="D7" i="4"/>
  <c r="D6" i="4"/>
  <c r="D4" i="4"/>
  <c r="D3" i="4"/>
  <c r="D2" i="4"/>
  <c r="D5" i="4"/>
  <c r="C10" i="4"/>
  <c r="C9" i="4"/>
  <c r="C8" i="4"/>
  <c r="C7" i="4"/>
  <c r="C6" i="4"/>
  <c r="C5" i="4"/>
  <c r="C4" i="4"/>
  <c r="C3" i="4"/>
  <c r="C2" i="4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4" i="1"/>
  <c r="I3" i="1"/>
  <c r="I2" i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3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F6" i="2"/>
  <c r="F5" i="2"/>
  <c r="F4" i="2"/>
  <c r="F3" i="2"/>
  <c r="F2" i="2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2"/>
  <c r="D20" i="2"/>
  <c r="D19" i="2"/>
  <c r="D18" i="2"/>
  <c r="D17" i="2"/>
  <c r="D16" i="2"/>
  <c r="D15" i="2"/>
  <c r="D13" i="2"/>
  <c r="D14" i="2"/>
  <c r="D12" i="2"/>
  <c r="D11" i="2"/>
  <c r="D10" i="2"/>
  <c r="D9" i="2"/>
  <c r="D8" i="2"/>
  <c r="D7" i="2"/>
  <c r="D6" i="2"/>
  <c r="D5" i="2"/>
  <c r="D4" i="2"/>
  <c r="D3" i="2"/>
  <c r="D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4" i="3"/>
  <c r="C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3" l="1"/>
  <c r="D4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" i="3"/>
  <c r="E4" i="3"/>
  <c r="E2" i="3"/>
  <c r="F2" i="3" l="1"/>
  <c r="F4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21" i="3" l="1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8" i="3"/>
  <c r="G7" i="3"/>
  <c r="G6" i="3"/>
  <c r="G5" i="3"/>
  <c r="G3" i="3"/>
  <c r="G4" i="3"/>
  <c r="G2" i="3"/>
  <c r="H2" i="3" l="1"/>
  <c r="H4" i="3"/>
  <c r="H3" i="3"/>
  <c r="H5" i="3"/>
  <c r="H6" i="3"/>
  <c r="H7" i="3"/>
  <c r="I8" i="3"/>
  <c r="J8" i="3" s="1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3" i="3"/>
  <c r="I4" i="3"/>
  <c r="I2" i="3"/>
  <c r="J2" i="3" l="1"/>
  <c r="K2" i="3" s="1"/>
  <c r="J4" i="3"/>
  <c r="K4" i="3" s="1"/>
  <c r="J3" i="3"/>
  <c r="K3" i="3" s="1"/>
  <c r="J5" i="3"/>
  <c r="K5" i="3" s="1"/>
  <c r="J6" i="3"/>
  <c r="K6" i="3" s="1"/>
  <c r="J7" i="3"/>
  <c r="K7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</calcChain>
</file>

<file path=xl/sharedStrings.xml><?xml version="1.0" encoding="utf-8"?>
<sst xmlns="http://schemas.openxmlformats.org/spreadsheetml/2006/main" count="137" uniqueCount="65">
  <si>
    <t>Opis</t>
  </si>
  <si>
    <t>Podaci o broju izdanih dozvola za rad i boravak za strane državljane po policijskoj upravi u razdoblju siječanj - rujan 2024., te podaci o broju izdanih dozvola za rad i boravak za strane državljane po državljanstvu za odabranih 10 čestih državljanstava, preuzeti su sa službenih web-stranica Ministarstva unutarnjih poslova Republike Hrvatske. Jedan nedostajuć podatak, broj radnika Egipćana kojima je izdana dozvola u mjesecu veljači, zamijenjen je polovičnom vrijednosti broja izdanih dozvola radnicima Egipćanima u razdoblju veljača - ožujak. Poveznice na otvorene podatke dane su u ćelijama niže. Svi su podaci ručno prepisani u tablicu, uz temeljitu provjeru točnosti. Zbog lakše preglednosti za taj je proces bio pogodan .pdf format, no očigledne greške u pohrani datoteka sa strane Ministarstva zahtijevale su i dodatnu provjeru pripadnih .xlsx datoteka, koje su također navedene niže. Napomenimo da u objavljenim statistikama piše da je u Krapinsko-zagorsku županiju došlo ukupno 10 sezonskih radnika u razdoblju siječanj - lipanj te ukupno 9 radnika u razdoblju siječanj - srpanj, što nije moguće, pa je pretpostavljeno da je do kraja lipnja došlo 9 sezonskih radnika, a u srpnju nije bilo novih.</t>
  </si>
  <si>
    <t>Poveznice</t>
  </si>
  <si>
    <t>siječanj</t>
  </si>
  <si>
    <t>siječanj (XLSX)</t>
  </si>
  <si>
    <t>veljača</t>
  </si>
  <si>
    <t>veljača (XLSX)</t>
  </si>
  <si>
    <t>ožujak</t>
  </si>
  <si>
    <t>ožujak (XLSX)</t>
  </si>
  <si>
    <t>travanj</t>
  </si>
  <si>
    <t>travanj (XLSX)</t>
  </si>
  <si>
    <t>svibanj</t>
  </si>
  <si>
    <t>svibanj (XLSX)</t>
  </si>
  <si>
    <t>lipanj</t>
  </si>
  <si>
    <t>lipanj (XLSX)</t>
  </si>
  <si>
    <t>srpanj</t>
  </si>
  <si>
    <t>srpanj (XLSX)</t>
  </si>
  <si>
    <t>kolovoz</t>
  </si>
  <si>
    <t>kolovoz (XLSX)</t>
  </si>
  <si>
    <t>rujan</t>
  </si>
  <si>
    <t>rujan (XLSX)</t>
  </si>
  <si>
    <t>listopad</t>
  </si>
  <si>
    <t>listopad (XLSX)</t>
  </si>
  <si>
    <t>County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</si>
  <si>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</si>
  <si>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</si>
  <si>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</si>
  <si>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</si>
  <si>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</si>
  <si>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</si>
  <si>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</si>
  <si>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</si>
  <si>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</si>
  <si>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</si>
  <si>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</si>
  <si>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</si>
  <si>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</si>
  <si>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</si>
  <si>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</si>
  <si>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</si>
  <si>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</si>
  <si>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</si>
  <si>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</si>
  <si>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</si>
  <si>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</si>
  <si>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</si>
  <si>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</si>
  <si>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</si>
  <si>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</si>
  <si>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</si>
  <si>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</si>
  <si>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</si>
  <si>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</si>
  <si>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</si>
  <si>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>Country</t>
  </si>
  <si>
    <t>Bosnia and Herzegovina</t>
  </si>
  <si>
    <t>Nepal</t>
  </si>
  <si>
    <t>Serbia</t>
  </si>
  <si>
    <t>India</t>
  </si>
  <si>
    <t>North Macedonia</t>
  </si>
  <si>
    <t>Philippines</t>
  </si>
  <si>
    <t>Bangladesh</t>
  </si>
  <si>
    <t>Kosovo</t>
  </si>
  <si>
    <t>Uzbekistan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</si>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</sst>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 applyAlignment="1"/>
    <xf numFmtId="0" fontId="0" fillId="0" borderId="2" xfId="0" applyBorder="1"/>
    <xf numFmtId="0" fontId="2" fillId="0" borderId="2" xfId="2" applyBorder="1" applyAlignment="1"/>
    <xf numFmtId="0" fontId="2" fillId="0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1" fillId="0" borderId="1" xfId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p.gov.hr/UserDocsImages/statistika/2024/10/Mjesecna%20statisika%20dozvole%20za%20boravak%20i%20rad%20za%20rujan%202024.xlsx" TargetMode="External"/><Relationship Id="rId13" Type="http://schemas.openxmlformats.org/officeDocument/2006/relationships/hyperlink" Target="https://mup.gov.hr/UserDocsImages/statistika/2024/5/Mjesecna%20statistika%20dozvole%20za%20boravak%20i%20rad%20za%20TRAVANJ%202024.xlsx" TargetMode="External"/><Relationship Id="rId18" Type="http://schemas.openxmlformats.org/officeDocument/2006/relationships/hyperlink" Target="https://mup.gov.hr/UserDocsImages/statistika/2024/10/Mjesecne%20statisike%20rujan%202024.pdf" TargetMode="External"/><Relationship Id="rId3" Type="http://schemas.openxmlformats.org/officeDocument/2006/relationships/hyperlink" Target="https://mup.gov.hr/UserDocsImages/statistika/2024/7/Mjese%C4%8Dne%20statistike%20lipanj%202024.pdf" TargetMode="External"/><Relationship Id="rId7" Type="http://schemas.openxmlformats.org/officeDocument/2006/relationships/hyperlink" Target="https://mup.gov.hr/UserDocsImages/statistika/2024/2/Mjese%C4%8Dne%20statisike%20sije%C4%8Danj%202024.pdf" TargetMode="External"/><Relationship Id="rId12" Type="http://schemas.openxmlformats.org/officeDocument/2006/relationships/hyperlink" Target="https://mup.gov.hr/UserDocsImages/statistika/2024/6/Mjesecna%20statisika%20dozvole%20za%20boravak%20i%20rad%20za%20SVIBANj%202024.xlsx" TargetMode="External"/><Relationship Id="rId17" Type="http://schemas.openxmlformats.org/officeDocument/2006/relationships/hyperlink" Target="https://mup.gov.hr/UserDocsImages/statistika/2024/3/Mjese%C4%8Dne%20statisike_veljaca_2024.pdf" TargetMode="External"/><Relationship Id="rId2" Type="http://schemas.openxmlformats.org/officeDocument/2006/relationships/hyperlink" Target="https://mup.gov.hr/UserDocsImages/statistika/2024/8/Mjesecne%20statistike%20srpanj%202024.pdf" TargetMode="External"/><Relationship Id="rId16" Type="http://schemas.openxmlformats.org/officeDocument/2006/relationships/hyperlink" Target="https://mup.gov.hr/UserDocsImages/statistika/2024/2/Mjese%C4%8Dna%20statisika%20dozvole%20za%20boravak%20i%20rad%20sije%C4%8Danj%202024.xlsx" TargetMode="External"/><Relationship Id="rId20" Type="http://schemas.openxmlformats.org/officeDocument/2006/relationships/hyperlink" Target="https://mup.gov.hr/UserDocsImages/statistika/2024/11/Mjesecna%20statisika%20dozvole%20za%20boravak%20i%20rad%20za%20listopad%202024.xlsx" TargetMode="External"/><Relationship Id="rId1" Type="http://schemas.openxmlformats.org/officeDocument/2006/relationships/hyperlink" Target="https://mup.gov.hr/UserDocsImages/statistika/2024/9/Mjesecne%20statisike%20kolovoz%202024.pdf" TargetMode="External"/><Relationship Id="rId6" Type="http://schemas.openxmlformats.org/officeDocument/2006/relationships/hyperlink" Target="https://mup.gov.hr/UserDocsImages/statistika/2024/4/Mjese%C4%8Dne%20statisike%20o%C5%BEujak%202024.pdf" TargetMode="External"/><Relationship Id="rId11" Type="http://schemas.openxmlformats.org/officeDocument/2006/relationships/hyperlink" Target="https://mup.gov.hr/UserDocsImages/statistika/2024/7/Mjesecna%20statistika%20dozvole%20za%20boravak%20i%20rad%20za%20LIPANJ%202024.xlsx" TargetMode="External"/><Relationship Id="rId5" Type="http://schemas.openxmlformats.org/officeDocument/2006/relationships/hyperlink" Target="https://mup.gov.hr/UserDocsImages/statistika/2024/5/Mjesecne%20statistike%20travanj%202024.pdf" TargetMode="External"/><Relationship Id="rId15" Type="http://schemas.openxmlformats.org/officeDocument/2006/relationships/hyperlink" Target="https://mup.gov.hr/UserDocsImages/statistika/2024/3/Mjesecna%20statistika%20dozvole%20za%20boravak%20i%20rad_veljaca_2024.xlsx" TargetMode="External"/><Relationship Id="rId10" Type="http://schemas.openxmlformats.org/officeDocument/2006/relationships/hyperlink" Target="https://mup.gov.hr/UserDocsImages/statistika/2024/8/Mjesecna%20statistika%20dozvole%20za%20boravak%20i%20rad%20za%20srpanj%202024.xlsx" TargetMode="External"/><Relationship Id="rId19" Type="http://schemas.openxmlformats.org/officeDocument/2006/relationships/hyperlink" Target="https://mup.gov.hr/UserDocsImages/statistika/2024/11/Mjesecne%20statisike%20listopad%202024%20-%20dozvole%20za%20boravak%20%20i%20rad.pdf" TargetMode="External"/><Relationship Id="rId4" Type="http://schemas.openxmlformats.org/officeDocument/2006/relationships/hyperlink" Target="https://mup.gov.hr/UserDocsImages/statistika/2024/6/Mjesecne%20statisike%20svibanj%202024.pdf" TargetMode="External"/><Relationship Id="rId9" Type="http://schemas.openxmlformats.org/officeDocument/2006/relationships/hyperlink" Target="https://mup.gov.hr/UserDocsImages/statistika/2024/9/Mjesecna%20statisika%20dozvole%20za%20boravak%20i%20rad%20za%20kolovoz%202024.xlsx" TargetMode="External"/><Relationship Id="rId14" Type="http://schemas.openxmlformats.org/officeDocument/2006/relationships/hyperlink" Target="https://mup.gov.hr/UserDocsImages/statistika/2024/4/Mjese%C4%8Dna%20statisika%20dozvole%20za%20boravak%20i%20rad%20za%20o%C5%BEujak%20202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6DA2-636A-664E-A869-A0F1E4A9E3C2}">
  <dimension ref="A1:E31"/>
  <sheetViews>
    <sheetView tabSelected="1" topLeftCell="A2" zoomScaleNormal="100" zoomScaleSheetLayoutView="100" workbookViewId="0">
      <selection activeCell="A2" sqref="A2"/>
    </sheetView>
  </sheetViews>
  <sheetFormatPr defaultRowHeight="15"/>
  <cols>
    <col min="2" max="2" width="12.42578125" customWidth="1"/>
  </cols>
  <sheetData>
    <row r="1" spans="1:5">
      <c r="A1" s="7" t="s">
        <v>0</v>
      </c>
      <c r="B1" s="7"/>
      <c r="C1" s="7"/>
      <c r="D1" s="7"/>
      <c r="E1" s="7"/>
    </row>
    <row r="2" spans="1:5" ht="15" customHeight="1">
      <c r="A2" s="9" t="s">
        <v>1</v>
      </c>
      <c r="B2" s="9"/>
      <c r="C2" s="9"/>
      <c r="D2" s="9"/>
      <c r="E2" s="9"/>
    </row>
    <row r="3" spans="1:5">
      <c r="A3" s="9"/>
      <c r="B3" s="9"/>
      <c r="C3" s="9"/>
      <c r="D3" s="9"/>
      <c r="E3" s="9"/>
    </row>
    <row r="4" spans="1:5">
      <c r="A4" s="9"/>
      <c r="B4" s="9"/>
      <c r="C4" s="9"/>
      <c r="D4" s="9"/>
      <c r="E4" s="9"/>
    </row>
    <row r="5" spans="1:5">
      <c r="A5" s="9"/>
      <c r="B5" s="9"/>
      <c r="C5" s="9"/>
      <c r="D5" s="9"/>
      <c r="E5" s="9"/>
    </row>
    <row r="6" spans="1:5">
      <c r="A6" s="9"/>
      <c r="B6" s="9"/>
      <c r="C6" s="9"/>
      <c r="D6" s="9"/>
      <c r="E6" s="9"/>
    </row>
    <row r="7" spans="1:5">
      <c r="A7" s="9"/>
      <c r="B7" s="9"/>
      <c r="C7" s="9"/>
      <c r="D7" s="9"/>
      <c r="E7" s="9"/>
    </row>
    <row r="8" spans="1:5">
      <c r="A8" s="9"/>
      <c r="B8" s="9"/>
      <c r="C8" s="9"/>
      <c r="D8" s="9"/>
      <c r="E8" s="9"/>
    </row>
    <row r="9" spans="1:5">
      <c r="A9" s="9"/>
      <c r="B9" s="9"/>
      <c r="C9" s="9"/>
      <c r="D9" s="9"/>
      <c r="E9" s="9"/>
    </row>
    <row r="10" spans="1:5">
      <c r="A10" s="9"/>
      <c r="B10" s="9"/>
      <c r="C10" s="9"/>
      <c r="D10" s="9"/>
      <c r="E10" s="9"/>
    </row>
    <row r="11" spans="1:5">
      <c r="A11" s="9"/>
      <c r="B11" s="9"/>
      <c r="C11" s="9"/>
      <c r="D11" s="9"/>
      <c r="E11" s="9"/>
    </row>
    <row r="12" spans="1:5">
      <c r="A12" s="9"/>
      <c r="B12" s="9"/>
      <c r="C12" s="9"/>
      <c r="D12" s="9"/>
      <c r="E12" s="9"/>
    </row>
    <row r="13" spans="1:5" ht="15" customHeight="1">
      <c r="A13" s="9"/>
      <c r="B13" s="9"/>
      <c r="C13" s="9"/>
      <c r="D13" s="9"/>
      <c r="E13" s="9"/>
    </row>
    <row r="14" spans="1:5" ht="16.5" customHeight="1">
      <c r="A14" s="9"/>
      <c r="B14" s="9"/>
      <c r="C14" s="9"/>
      <c r="D14" s="9"/>
      <c r="E14" s="9"/>
    </row>
    <row r="15" spans="1:5" ht="16.5" customHeight="1">
      <c r="A15" s="9"/>
      <c r="B15" s="9"/>
      <c r="C15" s="9"/>
      <c r="D15" s="9"/>
      <c r="E15" s="9"/>
    </row>
    <row r="16" spans="1:5" ht="16.5" customHeight="1">
      <c r="A16" s="9"/>
      <c r="B16" s="9"/>
      <c r="C16" s="9"/>
      <c r="D16" s="9"/>
      <c r="E16" s="9"/>
    </row>
    <row r="17" spans="1:5" ht="16.5" customHeight="1">
      <c r="A17" s="9"/>
      <c r="B17" s="9"/>
      <c r="C17" s="9"/>
      <c r="D17" s="9"/>
      <c r="E17" s="9"/>
    </row>
    <row r="18" spans="1:5" ht="16.5" customHeight="1">
      <c r="A18" s="9"/>
      <c r="B18" s="9"/>
      <c r="C18" s="9"/>
      <c r="D18" s="9"/>
      <c r="E18" s="9"/>
    </row>
    <row r="19" spans="1:5" ht="16.5" customHeight="1">
      <c r="A19" s="9"/>
      <c r="B19" s="9"/>
      <c r="C19" s="9"/>
      <c r="D19" s="9"/>
      <c r="E19" s="9"/>
    </row>
    <row r="20" spans="1:5" ht="16.5" customHeight="1">
      <c r="A20" s="10"/>
      <c r="B20" s="10"/>
      <c r="C20" s="10"/>
      <c r="D20" s="10"/>
      <c r="E20" s="10"/>
    </row>
    <row r="21" spans="1:5">
      <c r="A21" s="8" t="s">
        <v>2</v>
      </c>
      <c r="B21" s="8"/>
      <c r="C21" s="8"/>
      <c r="D21" s="8"/>
      <c r="E21" s="8"/>
    </row>
    <row r="22" spans="1:5" ht="15.75" thickTop="1">
      <c r="A22" s="3" t="s">
        <v>3</v>
      </c>
      <c r="B22" s="3" t="s">
        <v>4</v>
      </c>
      <c r="C22" s="2"/>
      <c r="D22" s="2"/>
      <c r="E22" s="2"/>
    </row>
    <row r="23" spans="1:5">
      <c r="A23" s="1" t="s">
        <v>5</v>
      </c>
      <c r="B23" s="1" t="s">
        <v>6</v>
      </c>
      <c r="C23" s="1"/>
      <c r="D23" s="1"/>
      <c r="E23" s="1"/>
    </row>
    <row r="24" spans="1:5">
      <c r="A24" s="1" t="s">
        <v>7</v>
      </c>
      <c r="B24" s="1" t="s">
        <v>8</v>
      </c>
      <c r="C24" s="1"/>
      <c r="D24" s="1"/>
      <c r="E24" s="1"/>
    </row>
    <row r="25" spans="1:5">
      <c r="A25" s="1" t="s">
        <v>9</v>
      </c>
      <c r="B25" s="1" t="s">
        <v>10</v>
      </c>
      <c r="C25" s="1"/>
      <c r="D25" s="1"/>
      <c r="E25" s="1"/>
    </row>
    <row r="26" spans="1:5">
      <c r="A26" s="1" t="s">
        <v>11</v>
      </c>
      <c r="B26" s="1" t="s">
        <v>12</v>
      </c>
      <c r="C26" s="1"/>
      <c r="D26" s="1"/>
      <c r="E26" s="1"/>
    </row>
    <row r="27" spans="1:5">
      <c r="A27" s="1" t="s">
        <v>13</v>
      </c>
      <c r="B27" s="1" t="s">
        <v>14</v>
      </c>
      <c r="C27" s="1"/>
      <c r="D27" s="1"/>
      <c r="E27" s="1"/>
    </row>
    <row r="28" spans="1:5">
      <c r="A28" s="1" t="s">
        <v>15</v>
      </c>
      <c r="B28" s="1" t="s">
        <v>16</v>
      </c>
      <c r="C28" s="1"/>
      <c r="D28" s="1"/>
      <c r="E28" s="1"/>
    </row>
    <row r="29" spans="1:5">
      <c r="A29" s="1" t="s">
        <v>17</v>
      </c>
      <c r="B29" s="1" t="s">
        <v>18</v>
      </c>
      <c r="C29" s="1"/>
      <c r="D29" s="1"/>
      <c r="E29" s="1"/>
    </row>
    <row r="30" spans="1:5">
      <c r="A30" s="1" t="s">
        <v>19</v>
      </c>
      <c r="B30" s="1" t="s">
        <v>20</v>
      </c>
      <c r="C30" s="1"/>
      <c r="D30" s="1"/>
      <c r="E30" s="1"/>
    </row>
    <row r="31" spans="1:5">
      <c r="A31" s="4" t="s">
        <v>21</v>
      </c>
      <c r="B31" s="4" t="s">
        <v>22</v>
      </c>
    </row>
  </sheetData>
  <mergeCells count="3">
    <mergeCell ref="A1:E1"/>
    <mergeCell ref="A21:E21"/>
    <mergeCell ref="A2:E20"/>
  </mergeCells>
  <hyperlinks>
    <hyperlink ref="A29:E29" r:id="rId1" display="kolovoz" xr:uid="{F45EBC80-963F-B74D-8C7E-956F9B75FE54}"/>
    <hyperlink ref="A28:E28" r:id="rId2" display="srpanj" xr:uid="{17E94B14-19F2-F449-8024-2C65CE54CA3F}"/>
    <hyperlink ref="A27:E27" r:id="rId3" display="lipanj" xr:uid="{D9518965-2E8D-AC43-9212-48C128C2A4FC}"/>
    <hyperlink ref="A26:E26" r:id="rId4" display="svibanj" xr:uid="{3DEEBB26-0623-AC46-8F8F-E84BC4AB4EA4}"/>
    <hyperlink ref="A25:E25" r:id="rId5" display="travanj" xr:uid="{DAD3CDC0-EF64-824F-A34B-3D9A3EF6402A}"/>
    <hyperlink ref="A24:E24" r:id="rId6" display="ožujak" xr:uid="{8DB02C38-6BD1-6C47-AE5D-50D586107C6A}"/>
    <hyperlink ref="A22" r:id="rId7" xr:uid="{79A6BFBC-1731-974B-8D42-B7A57F668DB3}"/>
    <hyperlink ref="B30" r:id="rId8" xr:uid="{06B218C1-C319-B24E-B9D0-84DD1481F1AD}"/>
    <hyperlink ref="B29" r:id="rId9" xr:uid="{20C7399A-567B-AA43-888C-7DE8A1A63AED}"/>
    <hyperlink ref="B28" r:id="rId10" xr:uid="{CED0514C-78FA-7E4B-B350-A62820D1406E}"/>
    <hyperlink ref="B27" r:id="rId11" xr:uid="{939258C5-A02E-564F-8A61-AD80AC92F98C}"/>
    <hyperlink ref="B26" r:id="rId12" xr:uid="{EC36CAA3-76D2-C24D-A62B-25099A8725DA}"/>
    <hyperlink ref="B25" r:id="rId13" xr:uid="{34AC508F-E43B-B44E-B914-DCFE26E975E7}"/>
    <hyperlink ref="B24" r:id="rId14" xr:uid="{243735F2-82F7-5444-9CB9-7F2BC7B35F70}"/>
    <hyperlink ref="B23" r:id="rId15" xr:uid="{1F5D6391-CC7B-0A42-AD1B-7DA1149ECEEC}"/>
    <hyperlink ref="B22" r:id="rId16" xr:uid="{83BAC12A-2244-C94E-8B46-0C8AF59FE469}"/>
    <hyperlink ref="A23" r:id="rId17" xr:uid="{7A0636EB-8ECE-4924-87C3-A9D54E99831E}"/>
    <hyperlink ref="A30" r:id="rId18" xr:uid="{74FF467D-BD4D-43B4-A8C8-62D4A1A6C917}"/>
    <hyperlink ref="A31" r:id="rId19" xr:uid="{16770B80-36EA-4EE9-8DE0-47B28981F285}"/>
    <hyperlink ref="B31" r:id="rId20" xr:uid="{004B2BBC-53DB-440B-873D-B797F1C871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D1" workbookViewId="0">
      <selection activeCell="K21" sqref="K21"/>
    </sheetView>
  </sheetViews>
  <sheetFormatPr defaultRowHeight="15"/>
  <cols>
    <col min="1" max="1" width="23.710937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101</v>
      </c>
      <c r="C2">
        <f>297-B2</f>
        <v>196</v>
      </c>
      <c r="D2">
        <f>410-B2-C2</f>
        <v>113</v>
      </c>
      <c r="E2">
        <f>543-B2-C2-D2</f>
        <v>133</v>
      </c>
      <c r="F2">
        <f>752-B2-C2-D2-E2</f>
        <v>209</v>
      </c>
      <c r="G2">
        <f>-(B2+C2+D2+E2+F2)+869</f>
        <v>117</v>
      </c>
      <c r="H2">
        <f>-(B2+C2+D2+E2+F2+G2)+978</f>
        <v>109</v>
      </c>
      <c r="I2">
        <f>-(B2+C2+D2+E2+F2+G2+H2)+1101</f>
        <v>123</v>
      </c>
      <c r="J2">
        <f>-(B2+C2+D2+E2+F2+G2+H2+I2)+1208</f>
        <v>107</v>
      </c>
      <c r="K2">
        <f>-(B2+C2+D2+E2+F2+G2+H2+I2+J2)+1310</f>
        <v>102</v>
      </c>
    </row>
    <row r="3" spans="1:11">
      <c r="A3" t="s">
        <v>35</v>
      </c>
      <c r="B3">
        <v>318</v>
      </c>
      <c r="C3">
        <f>673-B3</f>
        <v>355</v>
      </c>
      <c r="D3">
        <f>926-B3-C3</f>
        <v>253</v>
      </c>
      <c r="E3">
        <f>1148-B3-C3-D3</f>
        <v>222</v>
      </c>
      <c r="F3">
        <f>1407-B3-C3-D3-E3</f>
        <v>259</v>
      </c>
      <c r="G3">
        <f>-(B3+C3+D3+E3+F3)+1614</f>
        <v>207</v>
      </c>
      <c r="H3">
        <f>-(B3+C3+D3+E3+F3+G3)+1912</f>
        <v>298</v>
      </c>
      <c r="I3">
        <f>-(B3+C3+D3+E3+F3+G3+H3)+2158</f>
        <v>246</v>
      </c>
      <c r="J3">
        <f>-(B3+C3+D3+E3+F3+G3+H3+I3)+2476</f>
        <v>318</v>
      </c>
      <c r="K3">
        <f>-(B3+C3+D3+E3+F3+G3+H3+I3+J3)+2723</f>
        <v>247</v>
      </c>
    </row>
    <row r="4" spans="1:11">
      <c r="A4" t="s">
        <v>36</v>
      </c>
      <c r="B4">
        <v>517</v>
      </c>
      <c r="C4">
        <f>1637-B4</f>
        <v>1120</v>
      </c>
      <c r="D4">
        <f>2834-B4-C4</f>
        <v>1197</v>
      </c>
      <c r="E4">
        <f>4492-B4-C4-D4</f>
        <v>1658</v>
      </c>
      <c r="F4">
        <f>5561-B4-C4-D4-E4</f>
        <v>1069</v>
      </c>
      <c r="G4">
        <f>-(B4+C4+D4+E4+F4)+6210</f>
        <v>649</v>
      </c>
      <c r="H4">
        <f>-(B4+C4+D4+E4+F4+G4)+6727</f>
        <v>517</v>
      </c>
      <c r="I4">
        <f>-(B4+C4+D4+E4+F4+G4+H4)+6991</f>
        <v>264</v>
      </c>
      <c r="J4">
        <f>-(B4+C4+D4+E4+F4+G4+H4+I4)+7247</f>
        <v>256</v>
      </c>
      <c r="K4">
        <f>-(B4+C4+D4+E4+F4+G4+H4+I4+J4)+7731</f>
        <v>484</v>
      </c>
    </row>
    <row r="5" spans="1:11">
      <c r="A5" t="s">
        <v>37</v>
      </c>
      <c r="B5">
        <v>1588</v>
      </c>
      <c r="C5">
        <f>3804-B5</f>
        <v>2216</v>
      </c>
      <c r="D5">
        <f>6064-B5-C5</f>
        <v>2260</v>
      </c>
      <c r="E5">
        <f>8747-B5-C5-D5</f>
        <v>2683</v>
      </c>
      <c r="F5">
        <f>11223-B5-C5-D5-E5</f>
        <v>2476</v>
      </c>
      <c r="G5">
        <f>-(B5+C5+D5+E5+F5)+12810</f>
        <v>1587</v>
      </c>
      <c r="H5">
        <f>-(B5+C5+D5+E5+F5+G5)+14111</f>
        <v>1301</v>
      </c>
      <c r="I5">
        <f>-(B5+C5+D5+E5+F5+G5+H5)+15039</f>
        <v>928</v>
      </c>
      <c r="J5">
        <f>-(B5+C5+D5+E5+F5+G5+H5+I5)+15921</f>
        <v>882</v>
      </c>
      <c r="K5">
        <f>-(B5+C5+D5+E5+F5+G5+H5+I5+J5)+17000</f>
        <v>1079</v>
      </c>
    </row>
    <row r="6" spans="1:11">
      <c r="A6" t="s">
        <v>38</v>
      </c>
      <c r="B6">
        <v>319</v>
      </c>
      <c r="C6">
        <f>791-B6</f>
        <v>472</v>
      </c>
      <c r="D6">
        <f>1074-B6-C6</f>
        <v>283</v>
      </c>
      <c r="E6">
        <f>1410-B6-C6-D6</f>
        <v>336</v>
      </c>
      <c r="F6">
        <f>1570-B6-C6-D6-E6</f>
        <v>160</v>
      </c>
      <c r="G6">
        <f>-(B6+C6+D6+E6+F6)+1842</f>
        <v>272</v>
      </c>
      <c r="H6">
        <f>-(B6+C6+D6+E6+F6+G6)+2145</f>
        <v>303</v>
      </c>
      <c r="I6">
        <f>-(B6+C6+D6+E6+F6+G6+H6)+2368</f>
        <v>223</v>
      </c>
      <c r="J6">
        <f>-(B6+C6+D6+E6+F6+G6+H6+I6)+2560</f>
        <v>192</v>
      </c>
      <c r="K6">
        <f>-(B6+C6+D6+E6+F6+G6+H6+I6+J6)+2825</f>
        <v>265</v>
      </c>
    </row>
    <row r="7" spans="1:11">
      <c r="A7" t="s">
        <v>39</v>
      </c>
      <c r="B7">
        <v>104</v>
      </c>
      <c r="C7">
        <f>483-B7</f>
        <v>379</v>
      </c>
      <c r="D7">
        <f>766-B7-C7</f>
        <v>283</v>
      </c>
      <c r="E7">
        <f>913-B7-C7-D7</f>
        <v>147</v>
      </c>
      <c r="F7">
        <f>1159-B7-C7-D7-E7</f>
        <v>246</v>
      </c>
      <c r="G7">
        <f>-(B7+C7+D7+E7+F7)+1342</f>
        <v>183</v>
      </c>
      <c r="H7">
        <f>-(B7+C7+D7+E7+F7+G7)+1547</f>
        <v>205</v>
      </c>
      <c r="I7">
        <f>-(B7+C7+D7+E7+F7+G7+H7)+1709</f>
        <v>162</v>
      </c>
      <c r="J7">
        <f>-(B7+C7+D7+E7+F7+G7+H7+I7)+2085</f>
        <v>376</v>
      </c>
      <c r="K7">
        <f>-(B7+C7+D7+E7+F7+G7+H7+I7+J7)+2304</f>
        <v>219</v>
      </c>
    </row>
    <row r="8" spans="1:11">
      <c r="A8" t="s">
        <v>40</v>
      </c>
      <c r="B8">
        <v>281</v>
      </c>
      <c r="C8">
        <f>552-B8</f>
        <v>271</v>
      </c>
      <c r="D8">
        <f>1026-B8-C8</f>
        <v>474</v>
      </c>
      <c r="E8">
        <f>1304-B8-C8-D8</f>
        <v>278</v>
      </c>
      <c r="F8">
        <f>1619-B8-C8-D8-E8</f>
        <v>315</v>
      </c>
      <c r="G8">
        <f>-(B8+C8+D8+E8+F8)+2125</f>
        <v>506</v>
      </c>
      <c r="H8">
        <f>-(B8+C8+D8+E8+F8+G8)+2523</f>
        <v>398</v>
      </c>
      <c r="I8">
        <f>-(B8+C8+D8+E8+F8+G8+H8)+2797</f>
        <v>274</v>
      </c>
      <c r="J8">
        <f>-(B8+C8+D8+E8+F8+G8+H8+I8)+3104</f>
        <v>307</v>
      </c>
      <c r="K8">
        <f>-(B8+C8+D8+E8+F8+G8+H8+I8+J8)+3627</f>
        <v>523</v>
      </c>
    </row>
    <row r="9" spans="1:11">
      <c r="A9" t="s">
        <v>41</v>
      </c>
      <c r="B9">
        <v>150</v>
      </c>
      <c r="C9">
        <f>351-B9</f>
        <v>201</v>
      </c>
      <c r="D9">
        <f>666-B9-C9</f>
        <v>315</v>
      </c>
      <c r="E9">
        <f>1046-B9-C9-D9</f>
        <v>380</v>
      </c>
      <c r="F9">
        <f>1436-B9-C9-D9-E9</f>
        <v>390</v>
      </c>
      <c r="G9">
        <f>-(B9+C9+D9+E9+F9)+1650</f>
        <v>214</v>
      </c>
      <c r="H9">
        <f>-(B9+C9+D9+E9+F9+G9)+1905</f>
        <v>255</v>
      </c>
      <c r="I9">
        <f>-(B9+C9+D9+E9+F9+G9+H9)+2045</f>
        <v>140</v>
      </c>
      <c r="J9">
        <f>-(B9+C9+D9+E9+F9+G9+H9+I9)+2183</f>
        <v>138</v>
      </c>
      <c r="K9">
        <f>-(B9+C9+D9+E9+F9+G9+H9+I9+J9)+2328</f>
        <v>145</v>
      </c>
    </row>
    <row r="10" spans="1:11">
      <c r="A10" t="s">
        <v>42</v>
      </c>
      <c r="B10">
        <v>156</v>
      </c>
      <c r="C10">
        <f>358-B10</f>
        <v>202</v>
      </c>
      <c r="D10">
        <f>608-B10-C10</f>
        <v>250</v>
      </c>
      <c r="E10">
        <f>791-B10-C10-D10</f>
        <v>183</v>
      </c>
      <c r="F10">
        <f>1103-B10-C10-D10-E10</f>
        <v>312</v>
      </c>
      <c r="G10">
        <f>-(B10+C10+D10+E10+F10)+1328</f>
        <v>225</v>
      </c>
      <c r="H10">
        <f>-(B10+C10+D10+E10+F10+G10)+1597</f>
        <v>269</v>
      </c>
      <c r="I10">
        <f>-(B10+C10+D10+E10+F10+G10+H10)+1796</f>
        <v>199</v>
      </c>
      <c r="J10">
        <f>-(B10+C10+D10+E10+F10+G10+H10+I10)+2044</f>
        <v>248</v>
      </c>
      <c r="K10">
        <f>-(B10+C10+D10+E10+F10+G10+H10+I10+J10)+2263</f>
        <v>219</v>
      </c>
    </row>
    <row r="11" spans="1:11">
      <c r="A11" t="s">
        <v>43</v>
      </c>
      <c r="B11">
        <v>238</v>
      </c>
      <c r="C11">
        <f>651-B11</f>
        <v>413</v>
      </c>
      <c r="D11">
        <f>842-B11-C11</f>
        <v>191</v>
      </c>
      <c r="E11">
        <f>1065-B11-C11-D11</f>
        <v>223</v>
      </c>
      <c r="F11">
        <f>1370-B11-C11-D11-E11</f>
        <v>305</v>
      </c>
      <c r="G11">
        <f>-(B11+C11+D11+E11+F11)+1612</f>
        <v>242</v>
      </c>
      <c r="H11">
        <f>-(B11+C11+D11+E11+F11+G11)+1825</f>
        <v>213</v>
      </c>
      <c r="I11">
        <f>-(B11+C11+D11+E11+F11+G11+H11)+2015</f>
        <v>190</v>
      </c>
      <c r="J11">
        <f>-(B11+C11+D11+E11+F11+G11+H11+I11)+2303</f>
        <v>288</v>
      </c>
      <c r="K11">
        <f>-(B11+C11+D11+E11+F11+G11+H11+I11+J11)+2613</f>
        <v>310</v>
      </c>
    </row>
    <row r="12" spans="1:11">
      <c r="A12" t="s">
        <v>44</v>
      </c>
      <c r="B12">
        <v>76</v>
      </c>
      <c r="C12">
        <f>112-B12</f>
        <v>36</v>
      </c>
      <c r="D12">
        <f>162-B12-C12</f>
        <v>50</v>
      </c>
      <c r="E12">
        <f>252-B12-C12-D12</f>
        <v>90</v>
      </c>
      <c r="F12">
        <f>304-B12-C12-D12-E12</f>
        <v>52</v>
      </c>
      <c r="G12">
        <f>-(B12+C12+D12+E12+F12)+365</f>
        <v>61</v>
      </c>
      <c r="H12">
        <f>-(B12+C12+D12+E12+F12+G12)+419</f>
        <v>54</v>
      </c>
      <c r="I12">
        <f>-(B12+C12+D12+E12+F12+G12+H12)+483</f>
        <v>64</v>
      </c>
      <c r="J12">
        <f>-(B12+C12+D12+E12+F12+G12+H12+I12)+568</f>
        <v>85</v>
      </c>
      <c r="K12">
        <f>-(B12+C12+D12+E12+F12+G12+H12+I12+J12)+680</f>
        <v>112</v>
      </c>
    </row>
    <row r="13" spans="1:11">
      <c r="A13" t="s">
        <v>45</v>
      </c>
      <c r="B13">
        <v>714</v>
      </c>
      <c r="C13">
        <f>1538-B13</f>
        <v>824</v>
      </c>
      <c r="D13">
        <f>2809-B13-C13</f>
        <v>1271</v>
      </c>
      <c r="E13">
        <f>4140-B13-C13-D13</f>
        <v>1331</v>
      </c>
      <c r="F13">
        <f>5636-B13-C13-D13-E13</f>
        <v>1496</v>
      </c>
      <c r="G13">
        <f>-(B13+C13+D13+E13+F13)+6587</f>
        <v>951</v>
      </c>
      <c r="H13">
        <f>-(B13+C13+D13+E13+F13+G13)+7575</f>
        <v>988</v>
      </c>
      <c r="I13">
        <f>-(B13+C13+D13+E13+F13+G13+H13)+7995</f>
        <v>420</v>
      </c>
      <c r="J13">
        <f>-(B13+C13+D13+E13+F13+G13+H13+I13)+8723</f>
        <v>728</v>
      </c>
      <c r="K13">
        <f>-(B13+C13+D13+E13+F13+G13+H13+I13+J13)+9579</f>
        <v>856</v>
      </c>
    </row>
    <row r="14" spans="1:11">
      <c r="A14" t="s">
        <v>46</v>
      </c>
      <c r="B14">
        <v>386</v>
      </c>
      <c r="C14">
        <f>1091-B14</f>
        <v>705</v>
      </c>
      <c r="D14">
        <f>1418-B14-C14</f>
        <v>327</v>
      </c>
      <c r="E14">
        <f>1745-B14-C14-D14</f>
        <v>327</v>
      </c>
      <c r="F14">
        <f>2087-B14-C14-D14-E14</f>
        <v>342</v>
      </c>
      <c r="G14">
        <f>-(B14+C14+D14+E14+F14)+2537</f>
        <v>450</v>
      </c>
      <c r="H14">
        <f>-(B14+C14+D14+E14+F14+G14)+3015</f>
        <v>478</v>
      </c>
      <c r="I14">
        <f>-(B14+C14+D14+E14+F14+G14+H14)+3330</f>
        <v>315</v>
      </c>
      <c r="J14">
        <f>-(B14+C14+D14+E14+F14+G14+H14+I14)+3812</f>
        <v>482</v>
      </c>
      <c r="K14">
        <f>-(B14+C14+D14+E14+F14+G14+H14+I14+J14)+4255</f>
        <v>443</v>
      </c>
    </row>
    <row r="15" spans="1:11">
      <c r="A15" t="s">
        <v>47</v>
      </c>
      <c r="B15">
        <v>809</v>
      </c>
      <c r="C15">
        <f>1856-B15</f>
        <v>1047</v>
      </c>
      <c r="D15">
        <f>3379-B15-C15</f>
        <v>1523</v>
      </c>
      <c r="E15">
        <f>5020-B15-C15-D15</f>
        <v>1641</v>
      </c>
      <c r="F15">
        <f>6515-B15-C15-D15-E15</f>
        <v>1495</v>
      </c>
      <c r="G15">
        <f>-(B15+C15+D15+E15+F15)+7788</f>
        <v>1273</v>
      </c>
      <c r="H15">
        <f>-(B15+C15+D15+E15+F15+G15)+9196</f>
        <v>1408</v>
      </c>
      <c r="I15">
        <f>-(B15+C15+D15+E15+F15+G15+H15)+10040</f>
        <v>844</v>
      </c>
      <c r="J15">
        <f>-(B15+C15+D15+E15+F15+G15+H15+I15)+11050</f>
        <v>1010</v>
      </c>
      <c r="K15">
        <f>-(B15+C15+D15+E15+F15+G15+H15+I15+J15)+12092</f>
        <v>1042</v>
      </c>
    </row>
    <row r="16" spans="1:11">
      <c r="A16" t="s">
        <v>48</v>
      </c>
      <c r="B16">
        <v>308</v>
      </c>
      <c r="C16">
        <f>644-B16</f>
        <v>336</v>
      </c>
      <c r="D16">
        <f>1126-B16-C16</f>
        <v>482</v>
      </c>
      <c r="E16">
        <f>1628-B16-C16-D16</f>
        <v>502</v>
      </c>
      <c r="F16">
        <f>2027-B16-C16-D16-E16</f>
        <v>399</v>
      </c>
      <c r="G16">
        <f>-(B16+C16+D16+E16+F16)+2455</f>
        <v>428</v>
      </c>
      <c r="H16">
        <f>-(B16+C16+D16+E16+F16+G16)+2751</f>
        <v>296</v>
      </c>
      <c r="I16">
        <f>-(B16+C16+D16+E16+F16+G16+H16)+2991</f>
        <v>240</v>
      </c>
      <c r="J16">
        <f>-(B16+C16+D16+E16+F16+G16+H16+I16)+3202</f>
        <v>211</v>
      </c>
      <c r="K16">
        <f>-(B16+C16+D16+E16+F16+G16+H16+I16+J16)+3531</f>
        <v>329</v>
      </c>
    </row>
    <row r="17" spans="1:11">
      <c r="A17" t="s">
        <v>49</v>
      </c>
      <c r="B17">
        <v>593</v>
      </c>
      <c r="C17">
        <f>1426-B17</f>
        <v>833</v>
      </c>
      <c r="D17">
        <f>2109-B17-C17</f>
        <v>683</v>
      </c>
      <c r="E17">
        <f>2685-B17-C17-D17</f>
        <v>576</v>
      </c>
      <c r="F17">
        <f>3057-B17-C17-D17-E17</f>
        <v>372</v>
      </c>
      <c r="G17">
        <f>-(B17+C17+D17+E17+F17)+3558</f>
        <v>501</v>
      </c>
      <c r="H17">
        <f>-(B17+C17+D17+E17+F17+G17)+3883</f>
        <v>325</v>
      </c>
      <c r="I17">
        <f>-(B17+C17+D17+E17+F17+G17+H17)+4328</f>
        <v>445</v>
      </c>
      <c r="J17">
        <f>-(B17+C17+D17+E17+F17+G17+H17+I17)+4823</f>
        <v>495</v>
      </c>
      <c r="K17">
        <f>-(B17+C17+D17+E17+F17+G17+H17+I17+J17)+5245</f>
        <v>422</v>
      </c>
    </row>
    <row r="18" spans="1:11">
      <c r="A18" t="s">
        <v>50</v>
      </c>
      <c r="B18">
        <v>87</v>
      </c>
      <c r="C18">
        <f>147-B18</f>
        <v>60</v>
      </c>
      <c r="D18">
        <f>197-B18-C18</f>
        <v>50</v>
      </c>
      <c r="E18">
        <f>260-B18-C18-D18</f>
        <v>63</v>
      </c>
      <c r="F18">
        <f>334-B18-C18-D18-E18</f>
        <v>74</v>
      </c>
      <c r="G18">
        <f>-(B18+C18+D18+E18+F18)+386</f>
        <v>52</v>
      </c>
      <c r="H18">
        <f>-(B18+C18+D18+E18+F18+G18)+441</f>
        <v>55</v>
      </c>
      <c r="I18">
        <f>-(B18+C18+D18+E18+F18+G18+H18)+474</f>
        <v>33</v>
      </c>
      <c r="J18">
        <f>-(B18+C18+D18+E18+F18+G18+H18+I18)+586</f>
        <v>112</v>
      </c>
      <c r="K18">
        <f>-(B18+C18+D18+E18+F18+G18+H18+I18+J18)+685</f>
        <v>99</v>
      </c>
    </row>
    <row r="19" spans="1:11">
      <c r="A19" t="s">
        <v>51</v>
      </c>
      <c r="B19">
        <v>240</v>
      </c>
      <c r="C19">
        <f>428-B19</f>
        <v>188</v>
      </c>
      <c r="D19">
        <f>617-B19-C19</f>
        <v>189</v>
      </c>
      <c r="E19">
        <f>884-B19-C19-D19</f>
        <v>267</v>
      </c>
      <c r="F19">
        <f>1036-B19-C19-D19-E19</f>
        <v>152</v>
      </c>
      <c r="G19">
        <f>-(B19+C19+D19+E19+F19)+1246</f>
        <v>210</v>
      </c>
      <c r="H19">
        <f>-(B19+C19+D19+E19+F19+G19)+1489</f>
        <v>243</v>
      </c>
      <c r="I19">
        <f>-(B19+C19+D19+E19+F19+G19+H19)+1634</f>
        <v>145</v>
      </c>
      <c r="J19">
        <f>-(B19+C19+D19+E19+F19+G19+H19+I19)+1847</f>
        <v>213</v>
      </c>
      <c r="K19">
        <f>-(B19+C19+D19+E19+F19+G19+H19+I19+J19)+2161</f>
        <v>314</v>
      </c>
    </row>
    <row r="20" spans="1:11">
      <c r="A20" t="s">
        <v>52</v>
      </c>
      <c r="B20">
        <v>751</v>
      </c>
      <c r="C20">
        <f>1396-B20</f>
        <v>645</v>
      </c>
      <c r="D20">
        <f>2232-B20-C20</f>
        <v>836</v>
      </c>
      <c r="E20">
        <f>2963-B20-C20-D20</f>
        <v>731</v>
      </c>
      <c r="F20">
        <f>3595-B20-C20-D20-E20</f>
        <v>632</v>
      </c>
      <c r="G20">
        <f>-(B20+C20+D20+E20+F20)+4378</f>
        <v>783</v>
      </c>
      <c r="H20">
        <f>-(B20+C20+D20+E20+F20+G20)+5056</f>
        <v>678</v>
      </c>
      <c r="I20">
        <f>-(B20+C20+D20+E20+F20+G20+H20)+5596</f>
        <v>540</v>
      </c>
      <c r="J20">
        <f>-(B20+C20+D20+E20+F20+G20+H20+I20)+6253</f>
        <v>657</v>
      </c>
      <c r="K20">
        <f>-(B20+C20+D20+E20+F20+G20+H20+I20+J20)+6923</f>
        <v>670</v>
      </c>
    </row>
    <row r="21" spans="1:11">
      <c r="A21" t="s">
        <v>53</v>
      </c>
      <c r="B21">
        <v>2309</v>
      </c>
      <c r="C21">
        <f>4738-B21</f>
        <v>2429</v>
      </c>
      <c r="D21">
        <f>6984-B21-C21</f>
        <v>2246</v>
      </c>
      <c r="E21">
        <f>9200-B21-C21-D21</f>
        <v>2216</v>
      </c>
      <c r="F21">
        <f>11413-B21-C21-D21-E21</f>
        <v>2213</v>
      </c>
      <c r="G21">
        <f>-(B21+C21+D21+E21+F21)+13482</f>
        <v>2069</v>
      </c>
      <c r="H21">
        <f>-(B21+C21+D21+E21+F21+G21)+16305</f>
        <v>2823</v>
      </c>
      <c r="I21">
        <f>-(B21+C21+D21+E21+F21+G21+H21)+17678</f>
        <v>1373</v>
      </c>
      <c r="J21">
        <f>-(B21+C21+D21+E21+F21+G21+H21+I21)+19846</f>
        <v>2168</v>
      </c>
      <c r="K21">
        <f>-(B21+C21+D21+E21+F21+G21+H21+I21+J21)+22742</f>
        <v>2896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BF1-FB11-47AD-8588-93B60D3C7DE1}">
  <dimension ref="A1:K21"/>
  <sheetViews>
    <sheetView topLeftCell="D1" workbookViewId="0">
      <selection activeCell="K21" sqref="K21"/>
    </sheetView>
  </sheetViews>
  <sheetFormatPr defaultRowHeight="15"/>
  <cols>
    <col min="1" max="1" width="21.2851562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31</v>
      </c>
      <c r="C2">
        <f>71-B2</f>
        <v>40</v>
      </c>
      <c r="D2">
        <f>120-B2-C2</f>
        <v>49</v>
      </c>
      <c r="E2">
        <f>154-B2-C2-D2</f>
        <v>34</v>
      </c>
      <c r="F2">
        <f>208-B2-C2-D2-E2</f>
        <v>54</v>
      </c>
      <c r="G2">
        <f>-(B2+C2+D2+E2+F2)+237</f>
        <v>29</v>
      </c>
      <c r="H2">
        <f>-(B2+C2+D2+E2+F2+G2)+266</f>
        <v>29</v>
      </c>
      <c r="I2">
        <f>-(B2+C2+D2+E2+F2+G2+H2)+292</f>
        <v>26</v>
      </c>
      <c r="J2">
        <f>-(B2+C2+D2+E2+F2+G2+H2+I2)+325</f>
        <v>33</v>
      </c>
      <c r="K2">
        <f>-(B2+C2+D2+E2+F2+G2+H2+I2+J2)+351</f>
        <v>26</v>
      </c>
    </row>
    <row r="3" spans="1:11">
      <c r="A3" t="s">
        <v>35</v>
      </c>
      <c r="B3">
        <v>83</v>
      </c>
      <c r="C3">
        <f>230-B3</f>
        <v>147</v>
      </c>
      <c r="D3">
        <f>399-B3-C3</f>
        <v>169</v>
      </c>
      <c r="E3">
        <f>610-B3-C3-D3</f>
        <v>211</v>
      </c>
      <c r="F3">
        <f>828-B3-C3-D3-E3</f>
        <v>218</v>
      </c>
      <c r="G3">
        <f>-(B3+C3+D3+E3+F3)+972</f>
        <v>144</v>
      </c>
      <c r="H3">
        <f>-(B3+C3+D3+E3+F3+G3)+1097</f>
        <v>125</v>
      </c>
      <c r="I3">
        <f>-(B3+C3+D3+E3+F3+G3+H3)+1254</f>
        <v>157</v>
      </c>
      <c r="J3">
        <f>-(B3+C3+D3+E3+F3+G3+H3+I3)+1413</f>
        <v>159</v>
      </c>
      <c r="K3">
        <f>-(B3+C3+D3+E3+F3+G3+H3+I3+J3)+1610</f>
        <v>197</v>
      </c>
    </row>
    <row r="4" spans="1:11">
      <c r="A4" t="s">
        <v>36</v>
      </c>
      <c r="B4">
        <v>212</v>
      </c>
      <c r="C4">
        <f>458-B4</f>
        <v>246</v>
      </c>
      <c r="D4">
        <f>792-B4-C4</f>
        <v>334</v>
      </c>
      <c r="E4">
        <f>1015-B4-C4-D4</f>
        <v>223</v>
      </c>
      <c r="F4">
        <f>1185-B4-C4-D4-E4</f>
        <v>170</v>
      </c>
      <c r="G4">
        <f>-(B4+C4+D4+E4+F4)+1371</f>
        <v>186</v>
      </c>
      <c r="H4">
        <f>-(B4+C4+D4+E4+F4+G4)+1534</f>
        <v>163</v>
      </c>
      <c r="I4">
        <f>-(B4+C4+D4+E4+F4+G4+H4)+1686</f>
        <v>152</v>
      </c>
      <c r="J4">
        <f>-(B4+C4+D4+E4+F4+G4+H4+I4)+1927</f>
        <v>241</v>
      </c>
      <c r="K4">
        <f>-(B4+C4+D4+E4+F4+G4+H4+I4+J4)+2364</f>
        <v>437</v>
      </c>
    </row>
    <row r="5" spans="1:11">
      <c r="A5" t="s">
        <v>37</v>
      </c>
      <c r="B5">
        <v>402</v>
      </c>
      <c r="C5">
        <f>871-B5</f>
        <v>469</v>
      </c>
      <c r="D5">
        <f>1406-B5-C5</f>
        <v>535</v>
      </c>
      <c r="E5">
        <f>1911-B5-C5-D5</f>
        <v>505</v>
      </c>
      <c r="F5">
        <f>2329-B5-C5-D5-E5</f>
        <v>418</v>
      </c>
      <c r="G5">
        <f>-(B5+C5+D5+E5+F5)+2827</f>
        <v>498</v>
      </c>
      <c r="H5">
        <f>-(B5+C5+D5+E5+F5+G5)+3289</f>
        <v>462</v>
      </c>
      <c r="I5">
        <f>-(B5+C5+D5+E5+F5+G5+H5)+3719</f>
        <v>430</v>
      </c>
      <c r="J5">
        <f>-(B5+C5+D5+E5+F5+G5+H5+I5)+4233</f>
        <v>514</v>
      </c>
      <c r="K5">
        <f>-(B5+C5+D5+E5+F5+G5+H5+I5+J5)+5219</f>
        <v>986</v>
      </c>
    </row>
    <row r="6" spans="1:11">
      <c r="A6" t="s">
        <v>38</v>
      </c>
      <c r="B6">
        <v>113</v>
      </c>
      <c r="C6">
        <f>217-B6</f>
        <v>104</v>
      </c>
      <c r="D6">
        <f>353-B6-C6</f>
        <v>136</v>
      </c>
      <c r="E6">
        <f>446-B6-C6-D6</f>
        <v>93</v>
      </c>
      <c r="F6">
        <f>576-B6-C6-D6-E6</f>
        <v>130</v>
      </c>
      <c r="G6">
        <f>-(B6+C6+D6+E6+F6)+686</f>
        <v>110</v>
      </c>
      <c r="H6">
        <f>-(B6+C6+D6+E6+F6+G6)+842</f>
        <v>156</v>
      </c>
      <c r="I6">
        <f>-(B6+C6+D6+E6+F6+G6+H6)+929</f>
        <v>87</v>
      </c>
      <c r="J6">
        <f>-(B6+C6+D6+E6+F6+G6+H6+I6)+1093</f>
        <v>164</v>
      </c>
      <c r="K6">
        <f>-(B6+C6+D6+E6+F6+G6+H6+I6+J6)+1257</f>
        <v>164</v>
      </c>
    </row>
    <row r="7" spans="1:11">
      <c r="A7" t="s">
        <v>39</v>
      </c>
      <c r="B7">
        <v>66</v>
      </c>
      <c r="C7">
        <f>154-B7</f>
        <v>88</v>
      </c>
      <c r="D7">
        <f>309-B7-C7</f>
        <v>155</v>
      </c>
      <c r="E7">
        <f>391-B7-C7-D7</f>
        <v>82</v>
      </c>
      <c r="F7">
        <f>461-B7-C7-D7-E7</f>
        <v>70</v>
      </c>
      <c r="G7">
        <f>-(B7+C7+D7+E7+F7)+572</f>
        <v>111</v>
      </c>
      <c r="H7">
        <f>-(B7+C7+D7+E7+F7+G7)+713</f>
        <v>141</v>
      </c>
      <c r="I7">
        <f>-(B7+C7+D7+E7+F7+G7+H7)+787</f>
        <v>74</v>
      </c>
      <c r="J7">
        <f>-(B7+C7+D7+E7+F7+G7+H7+I7)+887</f>
        <v>100</v>
      </c>
      <c r="K7">
        <f>-(B7+C7+D7+E7+F7+G7+H7+I7+J7)+1015</f>
        <v>128</v>
      </c>
    </row>
    <row r="8" spans="1:11">
      <c r="A8" t="s">
        <v>40</v>
      </c>
      <c r="B8">
        <v>111</v>
      </c>
      <c r="C8">
        <f>205-B8</f>
        <v>94</v>
      </c>
      <c r="D8">
        <f>318-B8-C8</f>
        <v>113</v>
      </c>
      <c r="E8">
        <f>450-B8-C8-D8</f>
        <v>132</v>
      </c>
      <c r="F8">
        <f>581-B8-C8-D8-E8</f>
        <v>131</v>
      </c>
      <c r="G8">
        <f>-(B8+C8+D8+E8+F8)+725</f>
        <v>144</v>
      </c>
      <c r="H8">
        <f>-(B8+C8+D8+E8+F8+G8)+856</f>
        <v>131</v>
      </c>
      <c r="I8">
        <f>-(B8+C8+D8+E8+F8+G8+H8)+956</f>
        <v>100</v>
      </c>
      <c r="J8">
        <f>-(B8+C8+D8+E8+F8+G8+H8+I8)+1063</f>
        <v>107</v>
      </c>
      <c r="K8">
        <f>-(B8+C8+D8+E8+F8+G8+H8+I8+J8)+1230</f>
        <v>167</v>
      </c>
    </row>
    <row r="9" spans="1:11">
      <c r="A9" t="s">
        <v>41</v>
      </c>
      <c r="B9">
        <v>45</v>
      </c>
      <c r="C9">
        <f>71-B9</f>
        <v>26</v>
      </c>
      <c r="D9">
        <f>127-B9-C9</f>
        <v>56</v>
      </c>
      <c r="E9">
        <f>182-B9-C9-D9</f>
        <v>55</v>
      </c>
      <c r="F9">
        <f>239-B9-C9-D9-E9</f>
        <v>57</v>
      </c>
      <c r="G9">
        <f>-(B9+C9+D9+E9+F9)+273</f>
        <v>34</v>
      </c>
      <c r="H9">
        <f>-(B9+C9+D9+E9+F9+G9)+323</f>
        <v>50</v>
      </c>
      <c r="I9">
        <f>-(B9+C9+D9+E9+F9+G9+H9)+369</f>
        <v>46</v>
      </c>
      <c r="J9">
        <f>-(B9+C9+D9+E9+F9+G9+H9+I9)+434</f>
        <v>65</v>
      </c>
      <c r="K9">
        <f>-(B9+C9+D9+E9+F9+G9+H9+I9+J9)+519</f>
        <v>85</v>
      </c>
    </row>
    <row r="10" spans="1:11">
      <c r="A10" t="s">
        <v>42</v>
      </c>
      <c r="B10">
        <v>149</v>
      </c>
      <c r="C10">
        <f>243-B10</f>
        <v>94</v>
      </c>
      <c r="D10">
        <f>389-B10-C10</f>
        <v>146</v>
      </c>
      <c r="E10">
        <f>528-B10-C10-D10</f>
        <v>139</v>
      </c>
      <c r="F10">
        <f>738-B10-C10-D10-E10</f>
        <v>210</v>
      </c>
      <c r="G10">
        <f>-(B10+C10+D10+E10+F10)+804</f>
        <v>66</v>
      </c>
      <c r="H10">
        <f>-(B10+C10+D10+E10+F10+G10)+989</f>
        <v>185</v>
      </c>
      <c r="I10">
        <f>-(B10+C10+D10+E10+F10+G10+H10)+1104</f>
        <v>115</v>
      </c>
      <c r="J10">
        <f>-(B10+C10+D10+E10+F10+G10+H10+I10)+1292</f>
        <v>188</v>
      </c>
      <c r="K10">
        <f>-(B10+C10+D10+E10+F10+G10+H10+I10+J10)+1496</f>
        <v>204</v>
      </c>
    </row>
    <row r="11" spans="1:11">
      <c r="A11" t="s">
        <v>43</v>
      </c>
      <c r="B11">
        <v>101</v>
      </c>
      <c r="C11">
        <f>229-B11</f>
        <v>128</v>
      </c>
      <c r="D11">
        <f>324-B11-C11</f>
        <v>95</v>
      </c>
      <c r="E11">
        <f>440-B11-C11-D11</f>
        <v>116</v>
      </c>
      <c r="F11">
        <f>580-B11-C11-D11-E11</f>
        <v>140</v>
      </c>
      <c r="G11">
        <f>-(B11+C11+D11+E11+F11)+671</f>
        <v>91</v>
      </c>
      <c r="H11">
        <f>-(B11+C11+D11+E11+F11+G11)+806</f>
        <v>135</v>
      </c>
      <c r="I11">
        <f>-(B11+C11+D11+E11+F11+G11+H11)+925</f>
        <v>119</v>
      </c>
      <c r="J11">
        <f>-(B11+C11+D11+E11+F11+G11+H11+I11)+1071</f>
        <v>146</v>
      </c>
      <c r="K11">
        <f>-(B11+C11+D11+E11+F11+G11+H11+I11+J11)+1194</f>
        <v>123</v>
      </c>
    </row>
    <row r="12" spans="1:11">
      <c r="A12" t="s">
        <v>44</v>
      </c>
      <c r="B12">
        <v>55</v>
      </c>
      <c r="C12">
        <f>76-B12</f>
        <v>21</v>
      </c>
      <c r="D12">
        <f>100-B12-C12</f>
        <v>24</v>
      </c>
      <c r="E12">
        <f>126-B12-C12-D12</f>
        <v>26</v>
      </c>
      <c r="F12">
        <f>155-B12-C12-D12-E12</f>
        <v>29</v>
      </c>
      <c r="G12">
        <f>-(B12+C12+D12+E12+F12)+178</f>
        <v>23</v>
      </c>
      <c r="H12">
        <f>-(B12+C12+D12+E12+F12+G12)+193</f>
        <v>15</v>
      </c>
      <c r="I12">
        <f>-(B12+C12+D12+E12+F12+G12+H12)+211</f>
        <v>18</v>
      </c>
      <c r="J12">
        <f>-(B12+C12+D12+E12+F12+G12+H12+I12)+246</f>
        <v>35</v>
      </c>
      <c r="K12">
        <f>-(B12+C12+D12+E12+F12+G12+H12+I12+J12)+275</f>
        <v>29</v>
      </c>
    </row>
    <row r="13" spans="1:11">
      <c r="A13" t="s">
        <v>45</v>
      </c>
      <c r="B13">
        <v>289</v>
      </c>
      <c r="C13">
        <f>507-B13</f>
        <v>218</v>
      </c>
      <c r="D13">
        <f>920-B13-C13</f>
        <v>413</v>
      </c>
      <c r="E13">
        <f>1270-B13-C13-D13</f>
        <v>350</v>
      </c>
      <c r="F13">
        <f>1654-B13-C13-D13-E13</f>
        <v>384</v>
      </c>
      <c r="G13">
        <f>-(B13+C13+D13+E13+F13)+1956</f>
        <v>302</v>
      </c>
      <c r="H13">
        <f>-(B13+C13+D13+E13+F13+G13)+2376</f>
        <v>420</v>
      </c>
      <c r="I13">
        <f>-(B13+C13+D13+E13+F13+G13+H13)+2797</f>
        <v>421</v>
      </c>
      <c r="J13">
        <f>-(B13+C13+D13+E13+F13+G13+H13+I13)+3199</f>
        <v>402</v>
      </c>
      <c r="K13">
        <f>-(B13+C13+D13+E13+F13+G13+H13+I13+J13)+3824</f>
        <v>625</v>
      </c>
    </row>
    <row r="14" spans="1:11">
      <c r="A14" t="s">
        <v>46</v>
      </c>
      <c r="B14">
        <v>52</v>
      </c>
      <c r="C14">
        <f>140-B14</f>
        <v>88</v>
      </c>
      <c r="D14">
        <f>276-B14-C14</f>
        <v>136</v>
      </c>
      <c r="E14">
        <f>390-B14-C14-D14</f>
        <v>114</v>
      </c>
      <c r="F14">
        <f>501-B14-C14-D14-E14</f>
        <v>111</v>
      </c>
      <c r="G14">
        <f>-(B14+C14+D14+E14+F14)+585</f>
        <v>84</v>
      </c>
      <c r="H14">
        <f>-(B14+C14+D14+E14+F14+G14)+699</f>
        <v>114</v>
      </c>
      <c r="I14">
        <f>-(B14+C14+D14+E14+F14+G14+H14)+768</f>
        <v>69</v>
      </c>
      <c r="J14">
        <f>-(B14+C14+D14+E14+F14+G14+H14+I14)+862</f>
        <v>94</v>
      </c>
      <c r="K14">
        <f>-(B14+C14+D14+E14+F14+G14+H14+I14+J14)+962</f>
        <v>100</v>
      </c>
    </row>
    <row r="15" spans="1:11">
      <c r="A15" t="s">
        <v>47</v>
      </c>
      <c r="B15">
        <v>247</v>
      </c>
      <c r="C15">
        <f>672-B15</f>
        <v>425</v>
      </c>
      <c r="D15">
        <f>1080-B15-C15</f>
        <v>408</v>
      </c>
      <c r="E15">
        <f>1421-B15-C15-D15</f>
        <v>341</v>
      </c>
      <c r="F15">
        <f>1792-B15-C15-D15-E15</f>
        <v>371</v>
      </c>
      <c r="G15">
        <f>-(B15+C15+D15+E15+F15)+2056</f>
        <v>264</v>
      </c>
      <c r="H15">
        <f>-(B15+C15+D15+E15+F15+G15)+2494</f>
        <v>438</v>
      </c>
      <c r="I15">
        <f>-(B15+C15+D15+E15+F15+G15+H15)+2777</f>
        <v>283</v>
      </c>
      <c r="J15">
        <f>-(B15+C15+D15+E15+F15+G15+H15+I15)+3165</f>
        <v>388</v>
      </c>
      <c r="K15">
        <f>-(B15+C15+D15+E15+F15+G15+H15+I15+J15)+3734</f>
        <v>569</v>
      </c>
    </row>
    <row r="16" spans="1:11">
      <c r="A16" t="s">
        <v>48</v>
      </c>
      <c r="B16">
        <v>80</v>
      </c>
      <c r="C16">
        <f>194-B16</f>
        <v>114</v>
      </c>
      <c r="D16">
        <f>314-B16-C16</f>
        <v>120</v>
      </c>
      <c r="E16">
        <f>398-B16-C16-D16</f>
        <v>84</v>
      </c>
      <c r="F16">
        <f>487-B16-C16-D16-E16</f>
        <v>89</v>
      </c>
      <c r="G16">
        <f>-(B16+C16+D16+E16+F16)+566</f>
        <v>79</v>
      </c>
      <c r="H16">
        <f>-(B16+C16+D16+E16+F16+G16)+660</f>
        <v>94</v>
      </c>
      <c r="I16">
        <f>-(B16+C16+D16+E16+F16+G16+H16)+778</f>
        <v>118</v>
      </c>
      <c r="J16">
        <f>-(B16+C16+D16+E16+F16+G16+H16+I16)+911</f>
        <v>133</v>
      </c>
      <c r="K16">
        <f>-(B16+C16+D16+E16+F16+G16+H16+I16+J16)+1048</f>
        <v>137</v>
      </c>
    </row>
    <row r="17" spans="1:11">
      <c r="A17" t="s">
        <v>49</v>
      </c>
      <c r="B17">
        <v>240</v>
      </c>
      <c r="C17">
        <f>507-B17</f>
        <v>267</v>
      </c>
      <c r="D17">
        <f>734-B17-C17</f>
        <v>227</v>
      </c>
      <c r="E17">
        <f>1008-B17-C17-D17</f>
        <v>274</v>
      </c>
      <c r="F17">
        <f>1311-B17-C17-D17-E17</f>
        <v>303</v>
      </c>
      <c r="G17">
        <f>-(B17+C17+D17+E17+F17)+1609</f>
        <v>298</v>
      </c>
      <c r="H17">
        <f>-(B17+C17+D17+E17+F17+G17)+1893</f>
        <v>284</v>
      </c>
      <c r="I17">
        <f>-(B17+C17+D17+E17+F17+G17+H17)+2164</f>
        <v>271</v>
      </c>
      <c r="J17">
        <f>-(B17+C17+D17+E17+F17+G17+H17+I17)+2554</f>
        <v>390</v>
      </c>
      <c r="K17">
        <f>-(B17+C17+D17+E17+F17+G17+H17+I17+J17)+3136</f>
        <v>582</v>
      </c>
    </row>
    <row r="18" spans="1:11">
      <c r="A18" t="s">
        <v>50</v>
      </c>
      <c r="B18">
        <v>13</v>
      </c>
      <c r="C18">
        <f>39-B18</f>
        <v>26</v>
      </c>
      <c r="D18">
        <f>77-B18-C18</f>
        <v>38</v>
      </c>
      <c r="E18">
        <f>100-B18-C18-D18</f>
        <v>23</v>
      </c>
      <c r="F18">
        <f>115-B18-C18-D18-E18</f>
        <v>15</v>
      </c>
      <c r="G18">
        <f>-(B18+C18+D18+E18+F18)+128</f>
        <v>13</v>
      </c>
      <c r="H18">
        <f>-(B18+C18+D18+E18+F18+G18)+143</f>
        <v>15</v>
      </c>
      <c r="I18">
        <f>-(B18+C18+D18+E18+F18+G18+H18)+180</f>
        <v>37</v>
      </c>
      <c r="J18">
        <f>-(B18+C18+D18+E18+F18+G18+H18+I18)+215</f>
        <v>35</v>
      </c>
      <c r="K18">
        <f>-(B18+C18+D18+E18+F18+G18+H18+I18+J18)+234</f>
        <v>19</v>
      </c>
    </row>
    <row r="19" spans="1:11">
      <c r="A19" t="s">
        <v>51</v>
      </c>
      <c r="B19">
        <v>71</v>
      </c>
      <c r="C19">
        <f>135-B19</f>
        <v>64</v>
      </c>
      <c r="D19">
        <f>216-B19-C19</f>
        <v>81</v>
      </c>
      <c r="E19">
        <f>266-B19-C19-D19</f>
        <v>50</v>
      </c>
      <c r="F19">
        <f>354-B19-C19-D19-E19</f>
        <v>88</v>
      </c>
      <c r="G19">
        <f>-(B19+C19+D19+E19+F19)+435</f>
        <v>81</v>
      </c>
      <c r="H19">
        <f>-(B19+C19+D19+E19+F19+G19)+509</f>
        <v>74</v>
      </c>
      <c r="I19">
        <f>-(B19+C19+D19+E19+F19+G19+H19)+606</f>
        <v>97</v>
      </c>
      <c r="J19">
        <f>-(B19+C19+D19+E19+F19+G19+H19+I19)+705</f>
        <v>99</v>
      </c>
      <c r="K19">
        <f>-(B19+C19+D19+E19+F19+G19+H19+I19+J19)+802</f>
        <v>97</v>
      </c>
    </row>
    <row r="20" spans="1:11">
      <c r="A20" t="s">
        <v>52</v>
      </c>
      <c r="B20">
        <v>177</v>
      </c>
      <c r="C20">
        <f>349-B20</f>
        <v>172</v>
      </c>
      <c r="D20">
        <f>577-B20-C20</f>
        <v>228</v>
      </c>
      <c r="E20">
        <f>833-B20-C20-D20</f>
        <v>256</v>
      </c>
      <c r="F20">
        <f>1062-B20-C20-D20-E20</f>
        <v>229</v>
      </c>
      <c r="G20">
        <f>-(B20+C20+D20+E20+F20)+1249</f>
        <v>187</v>
      </c>
      <c r="H20">
        <f>-(B20+C20+D20+E20+F20+G20)+1490</f>
        <v>241</v>
      </c>
      <c r="I20">
        <f>-(B20+C20+D20+E20+F20+G20+H20)+1734</f>
        <v>244</v>
      </c>
      <c r="J20">
        <f>-(B20+C20+D20+E20+F20+G20+H20+I20)+2041</f>
        <v>307</v>
      </c>
      <c r="K20">
        <f>-(B20+C20+D20+E20+F20+G20+H20+I20+J20)+2418</f>
        <v>377</v>
      </c>
    </row>
    <row r="21" spans="1:11">
      <c r="A21" t="s">
        <v>53</v>
      </c>
      <c r="B21">
        <v>1226</v>
      </c>
      <c r="C21">
        <f>3071-B21</f>
        <v>1845</v>
      </c>
      <c r="D21">
        <f>4690-B21-C21</f>
        <v>1619</v>
      </c>
      <c r="E21">
        <f>5797-B21-C21-D21</f>
        <v>1107</v>
      </c>
      <c r="F21">
        <f>7070-B21-C21-D21-E21</f>
        <v>1273</v>
      </c>
      <c r="G21">
        <f>-(B21+C21+D21+E21+F21)+8366</f>
        <v>1296</v>
      </c>
      <c r="H21">
        <f>-(B21+C21+D21+E21+F21+G21)+10447</f>
        <v>2081</v>
      </c>
      <c r="I21">
        <f>-(B21+C21+D21+E21+F21+G21+H21)+11553</f>
        <v>1106</v>
      </c>
      <c r="J21">
        <f>-(B21+C21+D21+E21+F21+G21+H21+I21)+12764</f>
        <v>1211</v>
      </c>
      <c r="K21">
        <f>-(B21+C21+D21+E21+F21+G21+H21+I21+J21)+14696</f>
        <v>1932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6168-ADBC-4DA6-85BD-6F23A62353C3}">
  <dimension ref="A1:K21"/>
  <sheetViews>
    <sheetView topLeftCell="B1" workbookViewId="0">
      <selection activeCell="K21" sqref="K21"/>
    </sheetView>
  </sheetViews>
  <sheetFormatPr defaultRowHeight="15"/>
  <cols>
    <col min="1" max="1" width="21.2851562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1</v>
      </c>
      <c r="C2">
        <f>43-B2</f>
        <v>42</v>
      </c>
      <c r="D2">
        <f>44-B2-C2</f>
        <v>1</v>
      </c>
      <c r="E2">
        <f>67-B2-C2-D2</f>
        <v>23</v>
      </c>
      <c r="F2">
        <f>71-B2-C2-D2-E2</f>
        <v>4</v>
      </c>
      <c r="G2">
        <f>-(B2+C2+D2+E2+F2)+71</f>
        <v>0</v>
      </c>
      <c r="H2">
        <f>-(B2+C2+D2+E2+F2+G2)+71</f>
        <v>0</v>
      </c>
      <c r="I2">
        <f>-(B2+C2+D2+E2+F2+G2+H2)+86</f>
        <v>15</v>
      </c>
      <c r="J2">
        <f>-(B2+C2+D2+E2+F2+G2+H2+I2)+91</f>
        <v>5</v>
      </c>
      <c r="K2">
        <f>-(B2+C2+D2+E2+F2+G2+H2+I2+J2)+102</f>
        <v>11</v>
      </c>
    </row>
    <row r="3" spans="1:11">
      <c r="A3" t="s">
        <v>35</v>
      </c>
      <c r="B3">
        <v>0</v>
      </c>
      <c r="C3">
        <f>0-B3</f>
        <v>0</v>
      </c>
      <c r="D3">
        <f>0-B3-C3</f>
        <v>0</v>
      </c>
      <c r="E3">
        <f>0-B3-C3-D3</f>
        <v>0</v>
      </c>
      <c r="F3">
        <f>6-B3-C3-D3-E3</f>
        <v>6</v>
      </c>
      <c r="G3">
        <f>-(B3+C3+D3+E3+F3)+9</f>
        <v>3</v>
      </c>
      <c r="H3">
        <f>-(B3+C3+D3+E3+F3+G3)+11</f>
        <v>2</v>
      </c>
      <c r="I3">
        <f>-(B3+C3+D3+E3+F3+G3+H3)+12</f>
        <v>1</v>
      </c>
      <c r="J3">
        <f>-(B3+C3+D3+E3+F3+G3+H3+I3)+16</f>
        <v>4</v>
      </c>
      <c r="K3">
        <f>-(B3+C3+D3+E3+F3+G3+H3+I3+J3)+16</f>
        <v>0</v>
      </c>
    </row>
    <row r="4" spans="1:11">
      <c r="A4" t="s">
        <v>36</v>
      </c>
      <c r="B4">
        <v>16</v>
      </c>
      <c r="C4">
        <f>59-B4</f>
        <v>43</v>
      </c>
      <c r="D4">
        <f>117-B4-C4</f>
        <v>58</v>
      </c>
      <c r="E4">
        <f>329-B4-C4-D4</f>
        <v>212</v>
      </c>
      <c r="F4">
        <f>602-B4-C4-D4-E4</f>
        <v>273</v>
      </c>
      <c r="G4">
        <f>-(B4+C4+D4+E4+F4)+807</f>
        <v>205</v>
      </c>
      <c r="H4">
        <f>-(B4+C4+D4+E4+F4+G4)+975</f>
        <v>168</v>
      </c>
      <c r="I4">
        <f>-(B4+C4+D4+E4+F4+G4+H4)+1035</f>
        <v>60</v>
      </c>
      <c r="J4">
        <f>-(B4+C4+D4+E4+F4+G4+H4+I4)+1310</f>
        <v>275</v>
      </c>
      <c r="K4">
        <f>-(B4+C4+D4+E4+F4+G4+H4+I4+J4)+1346</f>
        <v>36</v>
      </c>
    </row>
    <row r="5" spans="1:11">
      <c r="A5" t="s">
        <v>37</v>
      </c>
      <c r="B5">
        <v>30</v>
      </c>
      <c r="C5">
        <f>228-B5</f>
        <v>198</v>
      </c>
      <c r="D5">
        <f>440-B5-C5</f>
        <v>212</v>
      </c>
      <c r="E5">
        <f>792-B5-C5-D5</f>
        <v>352</v>
      </c>
      <c r="F5">
        <f>1406-B5-C5-D5-E5</f>
        <v>614</v>
      </c>
      <c r="G5">
        <f>-(B5+C5+D5+E5+F5)+1914</f>
        <v>508</v>
      </c>
      <c r="H5">
        <f>-(B5+C5+D5+E5+F5+G5)+2438</f>
        <v>524</v>
      </c>
      <c r="I5">
        <f>-(B5+C5+D5+E5+F5+G5+H5)+2643</f>
        <v>205</v>
      </c>
      <c r="J5">
        <f>-(B5+C5+D5+E5+F5+G5+H5+I5)+2712</f>
        <v>69</v>
      </c>
      <c r="K5">
        <f>-(B5+C5+D5+E5+F5+G5+H5+I5+J5)+2738</f>
        <v>26</v>
      </c>
    </row>
    <row r="6" spans="1:11">
      <c r="A6" t="s">
        <v>38</v>
      </c>
      <c r="B6">
        <v>2</v>
      </c>
      <c r="C6">
        <f>6-B6</f>
        <v>4</v>
      </c>
      <c r="D6">
        <f>7-B6-C6</f>
        <v>1</v>
      </c>
      <c r="E6">
        <f>16-B6-C6-D6</f>
        <v>9</v>
      </c>
      <c r="F6">
        <f>23-B6-C6-D6-E6</f>
        <v>7</v>
      </c>
      <c r="G6">
        <f>-(B6+C6+D6+E6+F6)+44</f>
        <v>21</v>
      </c>
      <c r="H6">
        <f>-(B6+C6+D6+E6+F6+G6)+54</f>
        <v>10</v>
      </c>
      <c r="I6">
        <f>-(B6+C6+D6+E6+F6+G6+H6)+62</f>
        <v>8</v>
      </c>
      <c r="J6">
        <f>-(B6+C6+D6+E6+F6+G6+H6+I6)+66</f>
        <v>4</v>
      </c>
      <c r="K6">
        <f>-(B6+C6+D6+E6+F6+G6+H6+I6+J6)+67</f>
        <v>1</v>
      </c>
    </row>
    <row r="7" spans="1:11">
      <c r="A7" t="s">
        <v>39</v>
      </c>
      <c r="B7">
        <v>0</v>
      </c>
      <c r="C7">
        <f>0-B7</f>
        <v>0</v>
      </c>
      <c r="D7">
        <f>0-B7-C7</f>
        <v>0</v>
      </c>
      <c r="E7">
        <f>0-B7-C7-D7</f>
        <v>0</v>
      </c>
      <c r="F7">
        <f>0-B7-C7-D7-E7</f>
        <v>0</v>
      </c>
      <c r="G7">
        <f>-(B7+C7+D7+E7+F7)+0</f>
        <v>0</v>
      </c>
      <c r="H7">
        <f>-(B7+C7+D7+E7+F7+G7)+0</f>
        <v>0</v>
      </c>
      <c r="I7">
        <f>-(B7+C7+D7+E7+F7+G7+H7)+0</f>
        <v>0</v>
      </c>
      <c r="J7">
        <f>-(B7+C7+D7+E7+F7+G7+H7+I7)+0</f>
        <v>0</v>
      </c>
      <c r="K7">
        <f t="shared" ref="K7:K12" si="0">-(B7+C7+D7+E7+F7+G7+H7+I7+J7)+1</f>
        <v>1</v>
      </c>
    </row>
    <row r="8" spans="1:11">
      <c r="A8" t="s">
        <v>40</v>
      </c>
      <c r="B8">
        <v>0</v>
      </c>
      <c r="C8">
        <f>1-B8</f>
        <v>1</v>
      </c>
      <c r="D8">
        <f>1-B8-C8</f>
        <v>0</v>
      </c>
      <c r="E8">
        <f>1-B8-C8-D8</f>
        <v>0</v>
      </c>
      <c r="F8">
        <f>6-B8-C8-D8-E8</f>
        <v>5</v>
      </c>
      <c r="G8">
        <f>-(B8+C8+D8+E8+F8)+9</f>
        <v>3</v>
      </c>
      <c r="H8">
        <f>-(B8+C8+D8+E8+F8+G8)+9</f>
        <v>0</v>
      </c>
      <c r="I8">
        <f>-(B8+C8+D8+E8+F8+G8+H8)+9</f>
        <v>0</v>
      </c>
      <c r="J8">
        <f>-(B8+C8+D8+E8+F8+G8+H8+I8)+11</f>
        <v>2</v>
      </c>
      <c r="K8">
        <f>-(B8+C8+D8+E8+F8+G8+H8+I8+J8)+18</f>
        <v>7</v>
      </c>
    </row>
    <row r="9" spans="1:11">
      <c r="A9" t="s">
        <v>41</v>
      </c>
      <c r="B9">
        <v>14</v>
      </c>
      <c r="C9">
        <f>38-B9</f>
        <v>24</v>
      </c>
      <c r="D9">
        <f>110-B9-C9</f>
        <v>72</v>
      </c>
      <c r="E9">
        <f>186-B9-C9-D9</f>
        <v>76</v>
      </c>
      <c r="F9">
        <f>387-B9-C9-D9-E9</f>
        <v>201</v>
      </c>
      <c r="G9">
        <f>-(B9+C9+D9+E9+F9)+590</f>
        <v>203</v>
      </c>
      <c r="H9">
        <f>-(B9+C9+D9+E9+F9+G9)+820</f>
        <v>230</v>
      </c>
      <c r="I9">
        <f>-(B9+C9+D9+E9+F9+G9+H9)+851</f>
        <v>31</v>
      </c>
      <c r="J9">
        <f>-(B9+C9+D9+E9+F9+G9+H9+I9)+853</f>
        <v>2</v>
      </c>
      <c r="K9">
        <f>-(B9+C9+D9+E9+F9+G9+H9+I9+J9)+854</f>
        <v>1</v>
      </c>
    </row>
    <row r="10" spans="1:11">
      <c r="A10" t="s">
        <v>42</v>
      </c>
      <c r="B10">
        <v>2</v>
      </c>
      <c r="C10">
        <f>3-B10</f>
        <v>1</v>
      </c>
      <c r="D10">
        <f>16-B10-C10</f>
        <v>13</v>
      </c>
      <c r="E10">
        <f>19-B10-C10-D10</f>
        <v>3</v>
      </c>
      <c r="F10">
        <f>19-B10-C10-D10-E10</f>
        <v>0</v>
      </c>
      <c r="G10">
        <f>-(B10+C10+D10+E10+F10)+21</f>
        <v>2</v>
      </c>
      <c r="H10">
        <f>-(B10+C10+D10+E10+F10+G10)+22</f>
        <v>1</v>
      </c>
      <c r="I10">
        <f>-(B10+C10+D10+E10+F10+G10+H10)+22</f>
        <v>0</v>
      </c>
      <c r="J10">
        <f>-(B10+C10+D10+E10+F10+G10+H10+I10)+22</f>
        <v>0</v>
      </c>
      <c r="K10">
        <f>-(B10+C10+D10+E10+F10+G10+H10+I10+J10)+22</f>
        <v>0</v>
      </c>
    </row>
    <row r="11" spans="1:11">
      <c r="A11" t="s">
        <v>43</v>
      </c>
      <c r="B11">
        <v>0</v>
      </c>
      <c r="C11">
        <f>4-B11</f>
        <v>4</v>
      </c>
      <c r="D11">
        <f>4-B11-C11</f>
        <v>0</v>
      </c>
      <c r="E11">
        <f>46-B11-C11-D11</f>
        <v>42</v>
      </c>
      <c r="F11">
        <f>73-B11-C11-D11-E11</f>
        <v>27</v>
      </c>
      <c r="G11">
        <f>-(B11+C11+D11+E11+F11)+76</f>
        <v>3</v>
      </c>
      <c r="H11">
        <f>-(B11+C11+D11+E11+F11+G11)+76</f>
        <v>0</v>
      </c>
      <c r="I11">
        <f>-(B11+C11+D11+E11+F11+G11+H11)+76</f>
        <v>0</v>
      </c>
      <c r="J11">
        <f>-(B11+C11+D11+E11+F11+G11+H11+I11)+86</f>
        <v>10</v>
      </c>
      <c r="K11">
        <f>-(B11+C11+D11+E11+F11+G11+H11+I11+J11)+88</f>
        <v>2</v>
      </c>
    </row>
    <row r="12" spans="1:11">
      <c r="A12" t="s">
        <v>44</v>
      </c>
      <c r="B12">
        <v>0</v>
      </c>
      <c r="C12">
        <f>0-B12</f>
        <v>0</v>
      </c>
      <c r="D12">
        <f>0-B12-C12</f>
        <v>0</v>
      </c>
      <c r="E12">
        <f>0-B12-C12-D12</f>
        <v>0</v>
      </c>
      <c r="F12">
        <f>0-B12-C12-D12-E12</f>
        <v>0</v>
      </c>
      <c r="G12">
        <f>-(B12+C12+D12+E12+F12)+0</f>
        <v>0</v>
      </c>
      <c r="H12">
        <f>-(B12+C12+D12+E12+F12+G12)+0</f>
        <v>0</v>
      </c>
      <c r="I12">
        <f>-(B12+C12+D12+E12+F12+G12+H12)+0</f>
        <v>0</v>
      </c>
      <c r="J12">
        <f>-(B12+C12+D12+E12+F12+G12+H12+I12)+1</f>
        <v>1</v>
      </c>
      <c r="K12">
        <f t="shared" si="0"/>
        <v>0</v>
      </c>
    </row>
    <row r="13" spans="1:11">
      <c r="A13" t="s">
        <v>45</v>
      </c>
      <c r="B13">
        <v>31</v>
      </c>
      <c r="C13">
        <f>86-B13</f>
        <v>55</v>
      </c>
      <c r="D13">
        <f>259-B13-C13</f>
        <v>173</v>
      </c>
      <c r="E13">
        <f>786-B13-C13-D13</f>
        <v>527</v>
      </c>
      <c r="F13">
        <f>1566-B13-C13-D13-E13</f>
        <v>780</v>
      </c>
      <c r="G13">
        <f>-(B13+C13+D13+E13+F13)+2322</f>
        <v>756</v>
      </c>
      <c r="H13">
        <f>-(B13+C13+D13+E13+F13+G13)+2748</f>
        <v>426</v>
      </c>
      <c r="I13">
        <f>-(B13+C13+D13+E13+F13+G13+H13)+2951</f>
        <v>203</v>
      </c>
      <c r="J13">
        <f>-(B13+C13+D13+E13+F13+G13+H13+I13)+3030</f>
        <v>79</v>
      </c>
      <c r="K13">
        <f>-(B13+C13+D13+E13+F13+G13+H13+I13+J13)+3078</f>
        <v>48</v>
      </c>
    </row>
    <row r="14" spans="1:11">
      <c r="A14" t="s">
        <v>46</v>
      </c>
      <c r="B14">
        <v>0</v>
      </c>
      <c r="C14">
        <f>0-B14</f>
        <v>0</v>
      </c>
      <c r="D14">
        <f>0-B14-C14</f>
        <v>0</v>
      </c>
      <c r="E14">
        <f>1-B14-C14-D14</f>
        <v>1</v>
      </c>
      <c r="F14">
        <f>1-B14-C14-D14-E14</f>
        <v>0</v>
      </c>
      <c r="G14">
        <f>-(B14+C14+D14+E14+F14)+8</f>
        <v>7</v>
      </c>
      <c r="H14">
        <f>-(B14+C14+D14+E14+F14+G14)+9</f>
        <v>1</v>
      </c>
      <c r="I14">
        <f>-(B14+C14+D14+E14+F14+G14+H14)+9</f>
        <v>0</v>
      </c>
      <c r="J14">
        <f>-(B14+C14+D14+E14+F14+G14+H14+I14)+9</f>
        <v>0</v>
      </c>
      <c r="K14">
        <f>-(B14+C14+D14+E14+F14+G14+H14+I14+J14)+10</f>
        <v>1</v>
      </c>
    </row>
    <row r="15" spans="1:11">
      <c r="A15" t="s">
        <v>47</v>
      </c>
      <c r="B15">
        <v>188</v>
      </c>
      <c r="C15">
        <f>513-B15</f>
        <v>325</v>
      </c>
      <c r="D15">
        <f>882-B15-C15</f>
        <v>369</v>
      </c>
      <c r="E15">
        <f>1566-B15-C15-D15</f>
        <v>684</v>
      </c>
      <c r="F15">
        <f>2244-B15-C15-D15-E15</f>
        <v>678</v>
      </c>
      <c r="G15">
        <f>-(B15+C15+D15+E15+F15)+2936</f>
        <v>692</v>
      </c>
      <c r="H15">
        <f>-(B15+C15+D15+E15+F15+G15)+3543</f>
        <v>607</v>
      </c>
      <c r="I15">
        <f>-(B15+C15+D15+E15+F15+G15+H15)+3712</f>
        <v>169</v>
      </c>
      <c r="J15">
        <f>-(B15+C15+D15+E15+F15+G15+H15+I15)+3800</f>
        <v>88</v>
      </c>
      <c r="K15">
        <f>-(B15+C15+D15+E15+F15+G15+H15+I15+J15)+3835</f>
        <v>35</v>
      </c>
    </row>
    <row r="16" spans="1:11">
      <c r="A16" t="s">
        <v>48</v>
      </c>
      <c r="B16">
        <v>7</v>
      </c>
      <c r="C16">
        <f>19-B16</f>
        <v>12</v>
      </c>
      <c r="D16">
        <f>104-B16-C16</f>
        <v>85</v>
      </c>
      <c r="E16">
        <f>246-B16-C16-D16</f>
        <v>142</v>
      </c>
      <c r="F16">
        <f>506-B16-C16-D16-E16</f>
        <v>260</v>
      </c>
      <c r="G16">
        <f>-(B16+C16+D16+E16+F16)+850</f>
        <v>344</v>
      </c>
      <c r="H16">
        <f>-(B16+C16+D16+E16+F16+G16)+1098</f>
        <v>248</v>
      </c>
      <c r="I16">
        <f>-(B16+C16+D16+E16+F16+G16+H16)+1175</f>
        <v>77</v>
      </c>
      <c r="J16">
        <f>-(B16+C16+D16+E16+F16+G16+H16+I16)+1208</f>
        <v>33</v>
      </c>
      <c r="K16">
        <f>-(B16+C16+D16+E16+F16+G16+H16+I16+J16)+1213</f>
        <v>5</v>
      </c>
    </row>
    <row r="17" spans="1:11">
      <c r="A17" t="s">
        <v>49</v>
      </c>
      <c r="B17">
        <v>0</v>
      </c>
      <c r="C17">
        <f>2-B17</f>
        <v>2</v>
      </c>
      <c r="D17">
        <f>3-B17-C17</f>
        <v>1</v>
      </c>
      <c r="E17">
        <f>3-B17-C17-D17</f>
        <v>0</v>
      </c>
      <c r="F17">
        <f>8-B17-C17-D17-E17</f>
        <v>5</v>
      </c>
      <c r="G17">
        <f>-(B17+C17+D17+E17+F17)+8</f>
        <v>0</v>
      </c>
      <c r="H17">
        <f>-(B17+C17+D17+E17+F17+G17)+36</f>
        <v>28</v>
      </c>
      <c r="I17">
        <f>-(B17+C17+D17+E17+F17+G17+H17)+36</f>
        <v>0</v>
      </c>
      <c r="J17">
        <f>-(B17+C17+D17+E17+F17+G17+H17+I17)+41</f>
        <v>5</v>
      </c>
      <c r="K17">
        <f>-(B17+C17+D17+E17+F17+G17+H17+I17+J17)+41</f>
        <v>0</v>
      </c>
    </row>
    <row r="18" spans="1:11">
      <c r="A18" t="s">
        <v>50</v>
      </c>
      <c r="B18">
        <v>1</v>
      </c>
      <c r="C18">
        <f>1-B18</f>
        <v>0</v>
      </c>
      <c r="D18">
        <f>1-B18-C18</f>
        <v>0</v>
      </c>
      <c r="E18">
        <f>1-B18-C18-D18</f>
        <v>0</v>
      </c>
      <c r="F18">
        <f>1-B18-C18-D18-E18</f>
        <v>0</v>
      </c>
      <c r="G18">
        <f>-(B18+C18+D18+E18+F18)+2</f>
        <v>1</v>
      </c>
      <c r="H18">
        <f>-(B18+C18+D18+E18+F18+G18)+2</f>
        <v>0</v>
      </c>
      <c r="I18">
        <f>-(B18+C18+D18+E18+F18+G18+H18)+5</f>
        <v>3</v>
      </c>
      <c r="J18">
        <f>-(B18+C18+D18+E18+F18+G18+H18+I18)+5</f>
        <v>0</v>
      </c>
      <c r="K18">
        <f>-(B18+C18+D18+E18+F18+G18+H18+I18+J18)+5</f>
        <v>0</v>
      </c>
    </row>
    <row r="19" spans="1:11">
      <c r="A19" t="s">
        <v>51</v>
      </c>
      <c r="B19">
        <v>1</v>
      </c>
      <c r="C19">
        <f>2-B19</f>
        <v>1</v>
      </c>
      <c r="D19">
        <f>3-B19-C19</f>
        <v>1</v>
      </c>
      <c r="E19">
        <f>11-B19-C19-D19</f>
        <v>8</v>
      </c>
      <c r="F19">
        <f>18-B19-C19-D19-E19</f>
        <v>7</v>
      </c>
      <c r="G19">
        <f>-(B19+C19+D19+E19+F19)+28</f>
        <v>10</v>
      </c>
      <c r="H19">
        <f>-(B19+C19+D19+E19+F19+G19)+42</f>
        <v>14</v>
      </c>
      <c r="I19">
        <f>-(B19+C19+D19+E19+F19+G19+H19)+56</f>
        <v>14</v>
      </c>
      <c r="J19">
        <f>-(B19+C19+D19+E19+F19+G19+H19+I19)+60</f>
        <v>4</v>
      </c>
      <c r="K19">
        <f>-(B19+C19+D19+E19+F19+G19+H19+I19+J19)+68</f>
        <v>8</v>
      </c>
    </row>
    <row r="20" spans="1:11">
      <c r="A20" t="s">
        <v>52</v>
      </c>
      <c r="B20">
        <v>81</v>
      </c>
      <c r="C20">
        <f>236-B20</f>
        <v>155</v>
      </c>
      <c r="D20">
        <f>339-B20-C20</f>
        <v>103</v>
      </c>
      <c r="E20">
        <f>708-B20-C20-D20</f>
        <v>369</v>
      </c>
      <c r="F20">
        <f>1244-B20-C20-D20-E20</f>
        <v>536</v>
      </c>
      <c r="G20">
        <f>-(B20+C20+D20+E20+F20)+2012</f>
        <v>768</v>
      </c>
      <c r="H20">
        <f>-(B20+C20+D20+E20+F20+G20)+2597</f>
        <v>585</v>
      </c>
      <c r="I20">
        <f>-(B20+C20+D20+E20+F20+G20+H20)+2808</f>
        <v>211</v>
      </c>
      <c r="J20">
        <f>-(B20+C20+D20+E20+F20+G20+H20+I20)+2870</f>
        <v>62</v>
      </c>
      <c r="K20">
        <f>-(B20+C20+D20+E20+F20+G20+H20+I20+J20)+2910</f>
        <v>40</v>
      </c>
    </row>
    <row r="21" spans="1:11">
      <c r="A21" t="s">
        <v>53</v>
      </c>
      <c r="B21">
        <v>37</v>
      </c>
      <c r="C21">
        <f>72-B21</f>
        <v>35</v>
      </c>
      <c r="D21">
        <f>96-B21-C21</f>
        <v>24</v>
      </c>
      <c r="E21">
        <f>122-B21-C21-D21</f>
        <v>26</v>
      </c>
      <c r="F21">
        <f>175-B21-C21-D21-E21</f>
        <v>53</v>
      </c>
      <c r="G21">
        <f>-(B21+C21+D21+E21+F21)+231</f>
        <v>56</v>
      </c>
      <c r="H21">
        <f>-(B21+C21+D21+E21+F21+G21)+309</f>
        <v>78</v>
      </c>
      <c r="I21">
        <f>-(B21+C21+D21+E21+F21+G21+H21)+369</f>
        <v>60</v>
      </c>
      <c r="J21">
        <f>-(B21+C21+D21+E21+F21+G21+H21+I21)+405</f>
        <v>36</v>
      </c>
      <c r="K21">
        <f>-(B21+C21+D21+E21+F21+G21+H21+I21+J21)+490</f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DA5B-B704-47AB-B9D9-ADAD6EA10907}">
  <dimension ref="A1:K11"/>
  <sheetViews>
    <sheetView workbookViewId="0">
      <selection activeCell="J2" sqref="J2"/>
    </sheetView>
  </sheetViews>
  <sheetFormatPr defaultRowHeight="15"/>
  <cols>
    <col min="1" max="1" width="11.28515625" style="5" customWidth="1"/>
    <col min="2" max="2" width="5.28515625" style="6" customWidth="1"/>
    <col min="3" max="16384" width="9.140625" style="6"/>
  </cols>
  <sheetData>
    <row r="1" spans="1:11" ht="17.25" customHeight="1">
      <c r="A1" s="5" t="s">
        <v>54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</row>
    <row r="2" spans="1:11" ht="30.75" customHeight="1">
      <c r="A2" s="5" t="s">
        <v>55</v>
      </c>
      <c r="B2" s="6">
        <v>2616</v>
      </c>
      <c r="C2" s="6">
        <f>6039-B2</f>
        <v>3423</v>
      </c>
      <c r="D2" s="6">
        <f>-(B2+C2)+10012</f>
        <v>3973</v>
      </c>
      <c r="E2" s="6">
        <f>-(B2+C2+D2)+14280</f>
        <v>4268</v>
      </c>
      <c r="F2" s="6">
        <f>-(B2+C2+D2+E2)+18503</f>
        <v>4223</v>
      </c>
      <c r="G2" s="6">
        <f>-(B2+C2+D2+E2+F2)+21989</f>
        <v>3486</v>
      </c>
      <c r="H2" s="6">
        <f>25571-(B2+C2+D2+E2+F2+G2)</f>
        <v>3582</v>
      </c>
      <c r="I2" s="6">
        <f>27625-(B2+C2+D2+E2+F2+G2+H2)</f>
        <v>2054</v>
      </c>
      <c r="J2" s="6">
        <f>30424-(B2+C2+D2+E2+F2+G2+H2+I2)</f>
        <v>2799</v>
      </c>
      <c r="K2" s="6">
        <f>-(B2+C2+D2+E2+F2+G2+H2+I2+J2)+33499</f>
        <v>3075</v>
      </c>
    </row>
    <row r="3" spans="1:11">
      <c r="A3" s="5" t="s">
        <v>56</v>
      </c>
      <c r="B3" s="6">
        <v>3204</v>
      </c>
      <c r="C3" s="6">
        <f>-B3+7038</f>
        <v>3834</v>
      </c>
      <c r="D3" s="6">
        <f>-(B3+C3)+10685</f>
        <v>3647</v>
      </c>
      <c r="E3" s="6">
        <f>-(B3+C3+D3)+13741</f>
        <v>3056</v>
      </c>
      <c r="F3" s="6">
        <f>-(B3+C3+D3+E3)+15922</f>
        <v>2181</v>
      </c>
      <c r="G3" s="6">
        <f>-(B3+C3+D3+E3+F3)+17988</f>
        <v>2066</v>
      </c>
      <c r="H3" s="6">
        <f>20640-(B3+C3+D3+E3+F3+G3)</f>
        <v>2652</v>
      </c>
      <c r="I3" s="6">
        <f>22662-(B3+C3+D3+E3+F3+G3+H3)</f>
        <v>2022</v>
      </c>
      <c r="J3" s="6">
        <f>25392-(B3+C3+D3+E3+F3+G3+H3+I3)</f>
        <v>2730</v>
      </c>
      <c r="K3" s="6">
        <f>-(B3+C3+D3+E3+F3+G3+H3+I3+J3)+28810</f>
        <v>3418</v>
      </c>
    </row>
    <row r="4" spans="1:11">
      <c r="A4" s="5" t="s">
        <v>57</v>
      </c>
      <c r="B4" s="6">
        <v>1321</v>
      </c>
      <c r="C4" s="6">
        <f>-B4+3317</f>
        <v>1996</v>
      </c>
      <c r="D4" s="6">
        <f>-(B4+C4)+5949</f>
        <v>2632</v>
      </c>
      <c r="E4" s="6">
        <f>-(B4+C4+D4)+9692</f>
        <v>3743</v>
      </c>
      <c r="F4" s="6">
        <f>-(B4+C4+D4+E4)+14325</f>
        <v>4633</v>
      </c>
      <c r="G4" s="6">
        <f>-(B4+C4+D4+E4+F4)+18061</f>
        <v>3736</v>
      </c>
      <c r="H4" s="6">
        <f>20974-(B4+C4+D4+E4+F4+G4)</f>
        <v>2913</v>
      </c>
      <c r="I4" s="6">
        <f>22438-(B4+C4+D4+E4+F4+G4+H4)</f>
        <v>1464</v>
      </c>
      <c r="J4" s="6">
        <f>23862-(B4+C4+D4+E4+F4+G4+H4+I4)</f>
        <v>1424</v>
      </c>
      <c r="K4" s="6">
        <f>-(B4+C4+D4+E4+F4+G4+H4+I4+J4)+25549</f>
        <v>1687</v>
      </c>
    </row>
    <row r="5" spans="1:11">
      <c r="A5" s="5" t="s">
        <v>58</v>
      </c>
      <c r="B5" s="6">
        <v>1515</v>
      </c>
      <c r="C5" s="6">
        <f>-B5+3496</f>
        <v>1981</v>
      </c>
      <c r="D5" s="6">
        <f>-(B5+C5)+5088</f>
        <v>1592</v>
      </c>
      <c r="E5" s="6">
        <f>-(B5+C5+D5)+6914</f>
        <v>1826</v>
      </c>
      <c r="F5" s="6">
        <f>-(B5+C5+D5+E5)+8504</f>
        <v>1590</v>
      </c>
      <c r="G5" s="6">
        <f>-(B5+C5+D5+E5+F5)+10128</f>
        <v>1624</v>
      </c>
      <c r="H5" s="6">
        <f>12122-(B5+C5+D5+E5+F5+G5)</f>
        <v>1994</v>
      </c>
      <c r="I5" s="6">
        <f>13610-(B5+C5+D5+E5+F5+G5+H5)</f>
        <v>1488</v>
      </c>
      <c r="J5" s="6">
        <f>15176-(B5+C5+D5+E5+F5+G5+H5+I5)</f>
        <v>1566</v>
      </c>
      <c r="K5" s="6">
        <f>-(B5+C5+D5+E5+F5+G5+H5+I5+J5)+17157</f>
        <v>1981</v>
      </c>
    </row>
    <row r="6" spans="1:11" ht="29.25">
      <c r="A6" s="5" t="s">
        <v>59</v>
      </c>
      <c r="B6" s="6">
        <v>552</v>
      </c>
      <c r="C6" s="6">
        <f>-B6+1370</f>
        <v>818</v>
      </c>
      <c r="D6" s="6">
        <f>-(B6+C6)+2736</f>
        <v>1366</v>
      </c>
      <c r="E6" s="6">
        <f>-(B6+C6+D6)+5165</f>
        <v>2429</v>
      </c>
      <c r="F6" s="6">
        <f>-(B6+C6+D6+E6)+7236</f>
        <v>2071</v>
      </c>
      <c r="G6" s="6">
        <f>-(B6+C6+D6+E6+F6)+9184</f>
        <v>1948</v>
      </c>
      <c r="H6" s="6">
        <f>10637-(B6+C6+D6+E6+F6+G6)</f>
        <v>1453</v>
      </c>
      <c r="I6" s="6">
        <f>11331-(B6+C6+D6+E6+F6+G6+H6)</f>
        <v>694</v>
      </c>
      <c r="J6" s="6">
        <f>11915-(B6+C6+D6+E6+F6+G6+H6+I6)</f>
        <v>584</v>
      </c>
      <c r="K6" s="6">
        <f>-(B6+C6+D6+E6+F6+G6+H6+I6+J6)+12704</f>
        <v>789</v>
      </c>
    </row>
    <row r="7" spans="1:11">
      <c r="A7" s="5" t="s">
        <v>60</v>
      </c>
      <c r="B7" s="6">
        <v>1342</v>
      </c>
      <c r="C7" s="6">
        <f>-B7+2936</f>
        <v>1594</v>
      </c>
      <c r="D7" s="6">
        <f>-(B7+C7)+4139</f>
        <v>1203</v>
      </c>
      <c r="E7" s="6">
        <f>-(B7+C7+D7)+4861</f>
        <v>722</v>
      </c>
      <c r="F7" s="6">
        <f>-(B7+C7+D7+E7)+6232</f>
        <v>1371</v>
      </c>
      <c r="G7" s="6">
        <f>-(B7+C7+D7+E7+F7)+7291</f>
        <v>1059</v>
      </c>
      <c r="H7" s="6">
        <f>8572-(B7+C7+D7+E7+F7+G7)</f>
        <v>1281</v>
      </c>
      <c r="I7" s="6">
        <f>9305-(B7+C7+D7+E7+F7+G7+H7)</f>
        <v>733</v>
      </c>
      <c r="J7" s="6">
        <f>10424-(B7+C7+D7+E7+F7+G7+H7+I7)</f>
        <v>1119</v>
      </c>
      <c r="K7" s="6">
        <f>-(B7+C7+D7+E7+F7+G7+H7+I7+J7)+11999</f>
        <v>1575</v>
      </c>
    </row>
    <row r="8" spans="1:11">
      <c r="A8" s="5" t="s">
        <v>61</v>
      </c>
      <c r="B8" s="6">
        <v>1026</v>
      </c>
      <c r="C8" s="6">
        <f>-B8+2272</f>
        <v>1246</v>
      </c>
      <c r="D8" s="6">
        <f>-(B8+C8)+3567</f>
        <v>1295</v>
      </c>
      <c r="E8" s="6">
        <f>-(B8+C8+D8)+4520</f>
        <v>953</v>
      </c>
      <c r="F8" s="6">
        <f>-(B8+C8+D8+E8)+5338</f>
        <v>818</v>
      </c>
      <c r="G8" s="6">
        <f>-(B8+C8+D8+E8+F8)+6291</f>
        <v>953</v>
      </c>
      <c r="H8" s="6">
        <f>7604-(B8+C8+D8+E8+F8+G8)</f>
        <v>1313</v>
      </c>
      <c r="I8" s="6">
        <f>8474-(B8+C8+D8+E8+F8+G8+H8)</f>
        <v>870</v>
      </c>
      <c r="J8" s="6">
        <f>9717-(B8+C8+D8+E8+F8+G8+H8+I8)</f>
        <v>1243</v>
      </c>
      <c r="K8" s="6">
        <f>-(B8+C8+D8+E8+F8+G8+H8+I8+J8)+11208</f>
        <v>1491</v>
      </c>
    </row>
    <row r="9" spans="1:11">
      <c r="A9" s="5" t="s">
        <v>62</v>
      </c>
      <c r="B9" s="6">
        <v>441</v>
      </c>
      <c r="C9" s="6">
        <f>-B9+1108</f>
        <v>667</v>
      </c>
      <c r="D9" s="6">
        <f>-(B9+C9)+1952</f>
        <v>844</v>
      </c>
      <c r="E9" s="6">
        <f>-(B9+C9+D9)+2811</f>
        <v>859</v>
      </c>
      <c r="F9" s="6">
        <f>-(B9+C9+D9+E9)+3678</f>
        <v>867</v>
      </c>
      <c r="G9" s="6">
        <f>-(B9+C9+D9+E9+F9)+4478</f>
        <v>800</v>
      </c>
      <c r="H9" s="6">
        <f>5299-(B9+C9+D9+E9+F9+G9)</f>
        <v>821</v>
      </c>
      <c r="I9" s="6">
        <f>5752-(B9+C9+D9+E9+F9+G9+H9)</f>
        <v>453</v>
      </c>
      <c r="J9" s="6">
        <f>6274-(B9+C9+D9+E9+F9+G9+H9+I9)</f>
        <v>522</v>
      </c>
      <c r="K9" s="6">
        <f>-(B9+C9+D9+E9+F9+G9+H9+I9+J9)+6987</f>
        <v>713</v>
      </c>
    </row>
    <row r="10" spans="1:11">
      <c r="A10" s="5" t="s">
        <v>63</v>
      </c>
      <c r="B10" s="6">
        <v>378</v>
      </c>
      <c r="C10" s="6">
        <f>-B10+830</f>
        <v>452</v>
      </c>
      <c r="D10" s="6">
        <f>-(B10+C10)+1296</f>
        <v>466</v>
      </c>
      <c r="E10" s="6">
        <f>-(B10+C10+D10)+1741</f>
        <v>445</v>
      </c>
      <c r="F10" s="6">
        <f>-(B10+C10+D10+E10)+2361</f>
        <v>620</v>
      </c>
      <c r="G10" s="6">
        <f>-(B10+C10+D10+E10+F10)+3000</f>
        <v>639</v>
      </c>
      <c r="H10" s="6">
        <f>3872-(B10+C10+D10+E10+F10+G10)</f>
        <v>872</v>
      </c>
      <c r="I10" s="6">
        <f>4433-(B10+C10+D10+E10+F10+G10+H10)</f>
        <v>561</v>
      </c>
      <c r="J10" s="6">
        <f>5031-(B10+C10+D10+E10+F10+G10+H10+I10)</f>
        <v>598</v>
      </c>
      <c r="K10" s="6">
        <f>-(B10+C10+D10+E10+F10+G10+H10+I10+J10)+5779</f>
        <v>748</v>
      </c>
    </row>
    <row r="11" spans="1:11">
      <c r="A11" s="5" t="s">
        <v>64</v>
      </c>
      <c r="B11" s="6">
        <v>378</v>
      </c>
      <c r="C11" s="6">
        <v>470</v>
      </c>
      <c r="D11" s="6">
        <f>-(B11+C11)+1317</f>
        <v>469</v>
      </c>
      <c r="E11" s="6">
        <f>-(B11+C11+D11)+1711</f>
        <v>394</v>
      </c>
      <c r="F11" s="6">
        <f>-(B11+C11+D11+E11)+2270</f>
        <v>559</v>
      </c>
      <c r="G11" s="6">
        <f>-(B11+C11+D11+E11+F11)+2705</f>
        <v>435</v>
      </c>
      <c r="H11" s="6">
        <f>3368-(B11+C11+D11+E11+F11+G11)</f>
        <v>663</v>
      </c>
      <c r="I11" s="6">
        <f>3932-(B11+C11+D11+E11+F11+G11+H11)</f>
        <v>564</v>
      </c>
      <c r="J11" s="6">
        <f>4545-(B11+C11+D11+E11+F11+G11+H11+I11)</f>
        <v>613</v>
      </c>
      <c r="K11" s="6">
        <f>-(B11+C11+D11+E11+F11+G11+H11+I11+J11)+5414</f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Bandur</cp:lastModifiedBy>
  <cp:revision/>
  <dcterms:created xsi:type="dcterms:W3CDTF">2024-10-28T20:14:26Z</dcterms:created>
  <dcterms:modified xsi:type="dcterms:W3CDTF">2024-11-05T21:57:44Z</dcterms:modified>
  <cp:category/>
  <cp:contentStatus/>
</cp:coreProperties>
</file>