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OneDrive - Universidad Politécnica de Madrid\artículos\2021 Elsevier Solar Photovoltaics\Ch7\data\"/>
    </mc:Choice>
  </mc:AlternateContent>
  <bookViews>
    <workbookView xWindow="0" yWindow="0" windowWidth="23040" windowHeight="6030" activeTab="6"/>
  </bookViews>
  <sheets>
    <sheet name="SDM" sheetId="1" r:id="rId1"/>
    <sheet name="P7.3" sheetId="2" r:id="rId2"/>
    <sheet name="P7.4" sheetId="3" r:id="rId3"/>
    <sheet name="P7.6" sheetId="4" r:id="rId4"/>
    <sheet name="P7.8" sheetId="5" r:id="rId5"/>
    <sheet name="P7.9" sheetId="6" r:id="rId6"/>
    <sheet name="P7.1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D16" i="7"/>
  <c r="D10" i="7"/>
  <c r="D13" i="7" s="1"/>
  <c r="E10" i="7"/>
  <c r="E13" i="7" s="1"/>
  <c r="E5" i="7"/>
  <c r="E8" i="7" s="1"/>
  <c r="C5" i="7"/>
  <c r="C8" i="7" s="1"/>
  <c r="B5" i="7"/>
  <c r="B8" i="7" s="1"/>
  <c r="D8" i="7"/>
  <c r="B6" i="6"/>
  <c r="E2" i="6"/>
  <c r="D15" i="7" l="1"/>
  <c r="E15" i="7"/>
  <c r="L4" i="5"/>
  <c r="B6" i="5"/>
  <c r="F13" i="5" s="1"/>
  <c r="G5" i="5"/>
  <c r="F12" i="5" s="1"/>
  <c r="F10" i="5"/>
  <c r="D19" i="5"/>
  <c r="D21" i="5"/>
  <c r="F21" i="5" s="1"/>
  <c r="D20" i="5"/>
  <c r="D18" i="5"/>
  <c r="D17" i="5"/>
  <c r="F17" i="5" s="1"/>
  <c r="D11" i="5"/>
  <c r="B23" i="5" s="1"/>
  <c r="C22" i="4"/>
  <c r="L13" i="4"/>
  <c r="G5" i="4"/>
  <c r="G6" i="4"/>
  <c r="C8" i="4"/>
  <c r="C10" i="4"/>
  <c r="C11" i="4"/>
  <c r="C7" i="4"/>
  <c r="C5" i="4"/>
  <c r="B5" i="4"/>
  <c r="B13" i="4" s="1"/>
  <c r="K26" i="3"/>
  <c r="I25" i="3"/>
  <c r="J25" i="3" s="1"/>
  <c r="I24" i="3"/>
  <c r="K24" i="3" s="1"/>
  <c r="I23" i="3"/>
  <c r="J23" i="3" s="1"/>
  <c r="I22" i="3"/>
  <c r="K22" i="3" s="1"/>
  <c r="I16" i="3"/>
  <c r="K16" i="3" s="1"/>
  <c r="I15" i="3"/>
  <c r="I14" i="3"/>
  <c r="K14" i="3" s="1"/>
  <c r="I7" i="3"/>
  <c r="K7" i="3" s="1"/>
  <c r="I6" i="3"/>
  <c r="I20" i="3"/>
  <c r="I18" i="3"/>
  <c r="K18" i="3" s="1"/>
  <c r="I17" i="3"/>
  <c r="J17" i="3" s="1"/>
  <c r="I11" i="3"/>
  <c r="I9" i="3"/>
  <c r="K9" i="3" s="1"/>
  <c r="G23" i="3"/>
  <c r="G24" i="3" s="1"/>
  <c r="G25" i="3" s="1"/>
  <c r="I13" i="3"/>
  <c r="I5" i="3"/>
  <c r="I21" i="3"/>
  <c r="I3" i="3"/>
  <c r="J3" i="3" s="1"/>
  <c r="I19" i="3"/>
  <c r="K19" i="3" s="1"/>
  <c r="I10" i="3"/>
  <c r="K10" i="3" s="1"/>
  <c r="I8" i="3"/>
  <c r="J8" i="3" s="1"/>
  <c r="G22" i="3"/>
  <c r="G14" i="3"/>
  <c r="G15" i="3" s="1"/>
  <c r="G16" i="3" s="1"/>
  <c r="G17" i="3" s="1"/>
  <c r="G18" i="3" s="1"/>
  <c r="G19" i="3" s="1"/>
  <c r="G20" i="3" s="1"/>
  <c r="G21" i="3" s="1"/>
  <c r="G13" i="3"/>
  <c r="G10" i="3"/>
  <c r="G9" i="3" s="1"/>
  <c r="G8" i="3" s="1"/>
  <c r="G7" i="3" s="1"/>
  <c r="G6" i="3" s="1"/>
  <c r="G5" i="3" s="1"/>
  <c r="G11" i="3"/>
  <c r="G12" i="3"/>
  <c r="F9" i="5" l="1"/>
  <c r="F20" i="5" s="1"/>
  <c r="F11" i="5"/>
  <c r="F18" i="5"/>
  <c r="C14" i="4"/>
  <c r="C9" i="4" s="1"/>
  <c r="C13" i="4"/>
  <c r="K25" i="3"/>
  <c r="J24" i="3"/>
  <c r="K23" i="3"/>
  <c r="J7" i="3"/>
  <c r="J16" i="3"/>
  <c r="J6" i="3"/>
  <c r="K6" i="3"/>
  <c r="K11" i="3"/>
  <c r="J11" i="3"/>
  <c r="J15" i="3"/>
  <c r="K15" i="3"/>
  <c r="K20" i="3"/>
  <c r="J20" i="3"/>
  <c r="K5" i="3"/>
  <c r="J5" i="3"/>
  <c r="K13" i="3"/>
  <c r="J13" i="3"/>
  <c r="K21" i="3"/>
  <c r="J21" i="3"/>
  <c r="J9" i="3"/>
  <c r="J18" i="3"/>
  <c r="K8" i="3"/>
  <c r="K17" i="3"/>
  <c r="J10" i="3"/>
  <c r="J19" i="3"/>
  <c r="J14" i="3"/>
  <c r="J22" i="3"/>
  <c r="I12" i="3"/>
  <c r="J12" i="3" s="1"/>
  <c r="I4" i="3"/>
  <c r="K4" i="3" s="1"/>
  <c r="K3" i="3"/>
  <c r="C36" i="3"/>
  <c r="C38" i="3"/>
  <c r="B27" i="3"/>
  <c r="C41" i="3"/>
  <c r="D41" i="3" s="1"/>
  <c r="C39" i="3"/>
  <c r="D39" i="3" s="1"/>
  <c r="C37" i="3"/>
  <c r="D37" i="3" s="1"/>
  <c r="B28" i="3"/>
  <c r="B23" i="3"/>
  <c r="E22" i="3"/>
  <c r="E15" i="3"/>
  <c r="E20" i="3" s="1"/>
  <c r="B15" i="3"/>
  <c r="B20" i="3" s="1"/>
  <c r="B12" i="3"/>
  <c r="B11" i="3"/>
  <c r="B10" i="3"/>
  <c r="B9" i="3"/>
  <c r="C7" i="3"/>
  <c r="C5" i="3"/>
  <c r="B3" i="3"/>
  <c r="AD68" i="1"/>
  <c r="D16" i="2"/>
  <c r="D17" i="2"/>
  <c r="C17" i="2"/>
  <c r="C16" i="2"/>
  <c r="C8" i="2"/>
  <c r="C9" i="2"/>
  <c r="C15" i="2"/>
  <c r="C12" i="2"/>
  <c r="C7" i="2"/>
  <c r="M23" i="5" l="1"/>
  <c r="N23" i="5" s="1"/>
  <c r="M19" i="5"/>
  <c r="N19" i="5" s="1"/>
  <c r="M21" i="5"/>
  <c r="N21" i="5" s="1"/>
  <c r="M37" i="5"/>
  <c r="F23" i="5"/>
  <c r="F25" i="5" s="1"/>
  <c r="F24" i="5"/>
  <c r="F19" i="5" s="1"/>
  <c r="M31" i="5" s="1"/>
  <c r="I5" i="4"/>
  <c r="I4" i="4"/>
  <c r="K4" i="4" s="1"/>
  <c r="I6" i="4"/>
  <c r="I3" i="4"/>
  <c r="G7" i="4"/>
  <c r="I7" i="4" s="1"/>
  <c r="K12" i="3"/>
  <c r="B33" i="3"/>
  <c r="B21" i="3"/>
  <c r="B22" i="3" s="1"/>
  <c r="B24" i="3" s="1"/>
  <c r="B31" i="3"/>
  <c r="D20" i="3"/>
  <c r="D38" i="3"/>
  <c r="B34" i="3"/>
  <c r="B29" i="3"/>
  <c r="D29" i="3" s="1"/>
  <c r="D36" i="3"/>
  <c r="B32" i="3"/>
  <c r="C30" i="3"/>
  <c r="D30" i="3" s="1"/>
  <c r="P3" i="1"/>
  <c r="M3" i="1"/>
  <c r="J3" i="1"/>
  <c r="G3" i="1"/>
  <c r="D3" i="1"/>
  <c r="D37" i="1"/>
  <c r="J37" i="1"/>
  <c r="P37" i="1"/>
  <c r="AB37" i="1"/>
  <c r="V37" i="1"/>
  <c r="Z4" i="1"/>
  <c r="AA4" i="1" s="1"/>
  <c r="P5" i="1"/>
  <c r="M5" i="1"/>
  <c r="J5" i="1"/>
  <c r="G5" i="1"/>
  <c r="D5" i="1"/>
  <c r="P39" i="1"/>
  <c r="D39" i="1"/>
  <c r="J39" i="1"/>
  <c r="AB39" i="1"/>
  <c r="V39" i="1"/>
  <c r="AB9" i="1"/>
  <c r="AB10" i="1"/>
  <c r="AB11" i="1"/>
  <c r="AB12" i="1"/>
  <c r="Z12" i="1"/>
  <c r="AA12" i="1" s="1"/>
  <c r="Z11" i="1"/>
  <c r="AA11" i="1" s="1"/>
  <c r="Z10" i="1"/>
  <c r="AA10" i="1" s="1"/>
  <c r="Z9" i="1"/>
  <c r="AA9" i="1" s="1"/>
  <c r="AB14" i="1"/>
  <c r="Z13" i="1"/>
  <c r="AA13" i="1" s="1"/>
  <c r="AB8" i="1"/>
  <c r="AB7" i="1"/>
  <c r="AB6" i="1"/>
  <c r="AB3" i="1"/>
  <c r="Z6" i="1"/>
  <c r="AA6" i="1" s="1"/>
  <c r="Z3" i="1"/>
  <c r="AA3" i="1" s="1"/>
  <c r="AB62" i="1"/>
  <c r="AC62" i="1" s="1"/>
  <c r="AC61" i="1"/>
  <c r="W61" i="1"/>
  <c r="V62" i="1"/>
  <c r="AA35" i="1"/>
  <c r="U35" i="1"/>
  <c r="AC72" i="1"/>
  <c r="AD71" i="1"/>
  <c r="AC71" i="1"/>
  <c r="AC70" i="1"/>
  <c r="AD69" i="1"/>
  <c r="AE69" i="1" s="1"/>
  <c r="AC69" i="1"/>
  <c r="AC68" i="1"/>
  <c r="AA60" i="1"/>
  <c r="AA55" i="1"/>
  <c r="AD54" i="1"/>
  <c r="AD47" i="1"/>
  <c r="AD52" i="1" s="1"/>
  <c r="AA47" i="1"/>
  <c r="AA52" i="1" s="1"/>
  <c r="AA43" i="1"/>
  <c r="AA42" i="1"/>
  <c r="AA41" i="1"/>
  <c r="AD73" i="1" s="1"/>
  <c r="AE73" i="1" s="1"/>
  <c r="G73" i="1"/>
  <c r="F73" i="1"/>
  <c r="L73" i="1"/>
  <c r="M73" i="1" s="1"/>
  <c r="R73" i="1"/>
  <c r="S73" i="1" s="1"/>
  <c r="Y73" i="1"/>
  <c r="X73" i="1"/>
  <c r="F71" i="1"/>
  <c r="F69" i="1"/>
  <c r="L71" i="1"/>
  <c r="L69" i="1"/>
  <c r="R71" i="1"/>
  <c r="R69" i="1"/>
  <c r="S69" i="1" s="1"/>
  <c r="X54" i="1"/>
  <c r="R54" i="1"/>
  <c r="L54" i="1"/>
  <c r="F54" i="1"/>
  <c r="S71" i="1"/>
  <c r="U60" i="1"/>
  <c r="W72" i="1"/>
  <c r="X71" i="1"/>
  <c r="W71" i="1"/>
  <c r="W70" i="1"/>
  <c r="X69" i="1"/>
  <c r="Y69" i="1" s="1"/>
  <c r="W69" i="1"/>
  <c r="W68" i="1"/>
  <c r="U55" i="1"/>
  <c r="X47" i="1"/>
  <c r="X52" i="1" s="1"/>
  <c r="U47" i="1"/>
  <c r="U52" i="1" s="1"/>
  <c r="U63" i="1" s="1"/>
  <c r="U43" i="1"/>
  <c r="U42" i="1"/>
  <c r="U41" i="1"/>
  <c r="U44" i="1" s="1"/>
  <c r="N31" i="5" l="1"/>
  <c r="O31" i="5"/>
  <c r="N37" i="5"/>
  <c r="O37" i="5"/>
  <c r="M10" i="5"/>
  <c r="N10" i="5" s="1"/>
  <c r="M12" i="5"/>
  <c r="N12" i="5" s="1"/>
  <c r="M33" i="5"/>
  <c r="M32" i="5"/>
  <c r="M30" i="5"/>
  <c r="M6" i="5"/>
  <c r="N6" i="5" s="1"/>
  <c r="M8" i="5"/>
  <c r="N8" i="5" s="1"/>
  <c r="M15" i="5"/>
  <c r="N15" i="5" s="1"/>
  <c r="M39" i="5"/>
  <c r="M27" i="5"/>
  <c r="M28" i="5"/>
  <c r="M11" i="5"/>
  <c r="N11" i="5" s="1"/>
  <c r="M9" i="5"/>
  <c r="N9" i="5" s="1"/>
  <c r="M20" i="5"/>
  <c r="N20" i="5" s="1"/>
  <c r="M38" i="5"/>
  <c r="M22" i="5"/>
  <c r="N22" i="5" s="1"/>
  <c r="M35" i="5"/>
  <c r="M14" i="5"/>
  <c r="N14" i="5" s="1"/>
  <c r="M18" i="5"/>
  <c r="N18" i="5" s="1"/>
  <c r="M17" i="5"/>
  <c r="N17" i="5" s="1"/>
  <c r="M25" i="5"/>
  <c r="M34" i="5"/>
  <c r="M13" i="5"/>
  <c r="N13" i="5" s="1"/>
  <c r="M36" i="5"/>
  <c r="M16" i="5"/>
  <c r="N16" i="5" s="1"/>
  <c r="M29" i="5"/>
  <c r="M26" i="5"/>
  <c r="M7" i="5"/>
  <c r="N7" i="5" s="1"/>
  <c r="O6" i="5"/>
  <c r="N4" i="5"/>
  <c r="O4" i="5" s="1"/>
  <c r="O9" i="5"/>
  <c r="O21" i="5"/>
  <c r="O13" i="5"/>
  <c r="O23" i="5"/>
  <c r="J5" i="4"/>
  <c r="K5" i="4"/>
  <c r="K6" i="4"/>
  <c r="J6" i="4"/>
  <c r="J3" i="4"/>
  <c r="K3" i="4"/>
  <c r="G8" i="4"/>
  <c r="I8" i="4" s="1"/>
  <c r="K7" i="4"/>
  <c r="J7" i="4"/>
  <c r="D31" i="3"/>
  <c r="B26" i="3"/>
  <c r="D26" i="3" s="1"/>
  <c r="B25" i="3"/>
  <c r="D25" i="3" s="1"/>
  <c r="C40" i="3"/>
  <c r="D40" i="3" s="1"/>
  <c r="AB4" i="1"/>
  <c r="X5" i="1"/>
  <c r="AB5" i="1" s="1"/>
  <c r="Z14" i="1"/>
  <c r="AA14" i="1" s="1"/>
  <c r="AB13" i="1"/>
  <c r="Z8" i="1"/>
  <c r="AA8" i="1" s="1"/>
  <c r="Z7" i="1"/>
  <c r="AA7" i="1" s="1"/>
  <c r="AA66" i="1"/>
  <c r="AA65" i="1"/>
  <c r="AA53" i="1"/>
  <c r="AA54" i="1" s="1"/>
  <c r="AA64" i="1" s="1"/>
  <c r="AA63" i="1"/>
  <c r="AE68" i="1" s="1"/>
  <c r="AC52" i="1"/>
  <c r="AE71" i="1"/>
  <c r="AA44" i="1"/>
  <c r="X70" i="1"/>
  <c r="X68" i="1"/>
  <c r="U53" i="1"/>
  <c r="U54" i="1" s="1"/>
  <c r="U56" i="1" s="1"/>
  <c r="U61" i="1"/>
  <c r="W52" i="1"/>
  <c r="U66" i="1"/>
  <c r="U65" i="1"/>
  <c r="W62" i="1"/>
  <c r="Y71" i="1"/>
  <c r="C24" i="1"/>
  <c r="O17" i="5" l="1"/>
  <c r="N28" i="5"/>
  <c r="O28" i="5"/>
  <c r="O33" i="5"/>
  <c r="N33" i="5"/>
  <c r="N27" i="5"/>
  <c r="O27" i="5"/>
  <c r="N35" i="5"/>
  <c r="O35" i="5"/>
  <c r="N39" i="5"/>
  <c r="O39" i="5"/>
  <c r="N26" i="5"/>
  <c r="O26" i="5"/>
  <c r="O11" i="5"/>
  <c r="O38" i="5"/>
  <c r="N38" i="5"/>
  <c r="N36" i="5"/>
  <c r="O36" i="5"/>
  <c r="N34" i="5"/>
  <c r="O34" i="5"/>
  <c r="O32" i="5"/>
  <c r="N32" i="5"/>
  <c r="O29" i="5"/>
  <c r="N29" i="5"/>
  <c r="O15" i="5"/>
  <c r="O22" i="5"/>
  <c r="O25" i="5"/>
  <c r="N25" i="5"/>
  <c r="O30" i="5"/>
  <c r="N30" i="5"/>
  <c r="O14" i="5"/>
  <c r="O18" i="5"/>
  <c r="O20" i="5"/>
  <c r="O7" i="5"/>
  <c r="O10" i="5"/>
  <c r="O12" i="5"/>
  <c r="O19" i="5"/>
  <c r="O8" i="5"/>
  <c r="O16" i="5"/>
  <c r="G9" i="4"/>
  <c r="I9" i="4" s="1"/>
  <c r="J8" i="4"/>
  <c r="K8" i="4"/>
  <c r="Z5" i="1"/>
  <c r="AA5" i="1" s="1"/>
  <c r="AA61" i="1"/>
  <c r="AC63" i="1"/>
  <c r="AA58" i="1"/>
  <c r="AC58" i="1" s="1"/>
  <c r="AA57" i="1"/>
  <c r="AC57" i="1" s="1"/>
  <c r="AA56" i="1"/>
  <c r="AD70" i="1"/>
  <c r="Y68" i="1"/>
  <c r="U64" i="1"/>
  <c r="W63" i="1"/>
  <c r="U58" i="1"/>
  <c r="W58" i="1" s="1"/>
  <c r="U57" i="1"/>
  <c r="W57" i="1" s="1"/>
  <c r="N75" i="1"/>
  <c r="H75" i="1"/>
  <c r="B75" i="1"/>
  <c r="G10" i="4" l="1"/>
  <c r="I10" i="4" s="1"/>
  <c r="K9" i="4"/>
  <c r="J9" i="4"/>
  <c r="AE70" i="1"/>
  <c r="AD72" i="1"/>
  <c r="AE72" i="1" s="1"/>
  <c r="Y70" i="1"/>
  <c r="X72" i="1"/>
  <c r="Y72" i="1" s="1"/>
  <c r="G11" i="4" l="1"/>
  <c r="I11" i="4" s="1"/>
  <c r="K10" i="4"/>
  <c r="J10" i="4"/>
  <c r="R47" i="1"/>
  <c r="R52" i="1" s="1"/>
  <c r="F52" i="1"/>
  <c r="F47" i="1"/>
  <c r="M71" i="1"/>
  <c r="L52" i="1"/>
  <c r="L47" i="1"/>
  <c r="M69" i="1"/>
  <c r="Q72" i="1"/>
  <c r="Q71" i="1"/>
  <c r="Q70" i="1"/>
  <c r="Q69" i="1"/>
  <c r="Q68" i="1"/>
  <c r="G71" i="1"/>
  <c r="G69" i="1"/>
  <c r="E68" i="1"/>
  <c r="K70" i="1"/>
  <c r="K68" i="1"/>
  <c r="C52" i="1"/>
  <c r="E71" i="1"/>
  <c r="E69" i="1"/>
  <c r="K69" i="1"/>
  <c r="O52" i="1"/>
  <c r="P62" i="1"/>
  <c r="P42" i="1"/>
  <c r="P43" i="1"/>
  <c r="O35" i="1"/>
  <c r="O60" i="1"/>
  <c r="Q60" i="1" s="1"/>
  <c r="Q59" i="1"/>
  <c r="O55" i="1"/>
  <c r="O47" i="1"/>
  <c r="O41" i="1"/>
  <c r="O44" i="1" s="1"/>
  <c r="E59" i="1"/>
  <c r="K60" i="1"/>
  <c r="E60" i="1"/>
  <c r="O23" i="1"/>
  <c r="L23" i="1"/>
  <c r="I23" i="1"/>
  <c r="F23" i="1"/>
  <c r="C23" i="1"/>
  <c r="I60" i="1"/>
  <c r="C60" i="1"/>
  <c r="J62" i="1"/>
  <c r="K62" i="1" s="1"/>
  <c r="K72" i="1"/>
  <c r="C44" i="1"/>
  <c r="I47" i="1"/>
  <c r="I52" i="1" s="1"/>
  <c r="I35" i="1"/>
  <c r="K59" i="1"/>
  <c r="I55" i="1"/>
  <c r="I43" i="1"/>
  <c r="I42" i="1"/>
  <c r="I41" i="1"/>
  <c r="I44" i="1" s="1"/>
  <c r="E72" i="1"/>
  <c r="D62" i="1"/>
  <c r="E62" i="1" s="1"/>
  <c r="C41" i="1"/>
  <c r="C35" i="1"/>
  <c r="C42" i="1"/>
  <c r="C43" i="1"/>
  <c r="C55" i="1"/>
  <c r="O22" i="1"/>
  <c r="G12" i="4" l="1"/>
  <c r="I12" i="4" s="1"/>
  <c r="K11" i="4"/>
  <c r="J11" i="4"/>
  <c r="C65" i="1"/>
  <c r="I53" i="1"/>
  <c r="I54" i="1" s="1"/>
  <c r="I56" i="1" s="1"/>
  <c r="I66" i="1"/>
  <c r="C66" i="1"/>
  <c r="C63" i="1"/>
  <c r="C58" i="1" s="1"/>
  <c r="K71" i="1"/>
  <c r="Q62" i="1"/>
  <c r="I64" i="1"/>
  <c r="I63" i="1"/>
  <c r="I57" i="1" s="1"/>
  <c r="K57" i="1" s="1"/>
  <c r="K52" i="1"/>
  <c r="I65" i="1"/>
  <c r="E52" i="1"/>
  <c r="C53" i="1"/>
  <c r="O29" i="1"/>
  <c r="O17" i="1"/>
  <c r="O14" i="1"/>
  <c r="P8" i="1"/>
  <c r="P7" i="1"/>
  <c r="L17" i="1"/>
  <c r="L14" i="1"/>
  <c r="D7" i="1"/>
  <c r="D8" i="1"/>
  <c r="I17" i="1"/>
  <c r="I14" i="1"/>
  <c r="F17" i="1"/>
  <c r="F14" i="1"/>
  <c r="G8" i="1"/>
  <c r="G7" i="1"/>
  <c r="C17" i="1"/>
  <c r="C14" i="1"/>
  <c r="G13" i="4" l="1"/>
  <c r="J12" i="4"/>
  <c r="K12" i="4"/>
  <c r="C61" i="1"/>
  <c r="F70" i="1"/>
  <c r="F72" i="1" s="1"/>
  <c r="F68" i="1"/>
  <c r="G68" i="1" s="1"/>
  <c r="I61" i="1"/>
  <c r="L70" i="1"/>
  <c r="L72" i="1" s="1"/>
  <c r="L68" i="1"/>
  <c r="M68" i="1" s="1"/>
  <c r="O28" i="1"/>
  <c r="P28" i="1" s="1"/>
  <c r="L28" i="1"/>
  <c r="M28" i="1" s="1"/>
  <c r="I15" i="1"/>
  <c r="I16" i="1" s="1"/>
  <c r="I27" i="1" s="1"/>
  <c r="J27" i="1" s="1"/>
  <c r="F15" i="1"/>
  <c r="F16" i="1" s="1"/>
  <c r="F27" i="1" s="1"/>
  <c r="G27" i="1" s="1"/>
  <c r="G70" i="1"/>
  <c r="G72" i="1"/>
  <c r="C15" i="1"/>
  <c r="C16" i="1" s="1"/>
  <c r="C27" i="1" s="1"/>
  <c r="D27" i="1" s="1"/>
  <c r="C26" i="1"/>
  <c r="E63" i="1"/>
  <c r="O53" i="1"/>
  <c r="O54" i="1" s="1"/>
  <c r="Q52" i="1"/>
  <c r="O63" i="1"/>
  <c r="O65" i="1"/>
  <c r="C54" i="1"/>
  <c r="C56" i="1" s="1"/>
  <c r="I58" i="1"/>
  <c r="K58" i="1" s="1"/>
  <c r="K63" i="1"/>
  <c r="E58" i="1"/>
  <c r="C57" i="1"/>
  <c r="E57" i="1" s="1"/>
  <c r="O26" i="1"/>
  <c r="O24" i="1" s="1"/>
  <c r="O15" i="1"/>
  <c r="O16" i="1" s="1"/>
  <c r="O27" i="1" s="1"/>
  <c r="P27" i="1" s="1"/>
  <c r="F26" i="1"/>
  <c r="G26" i="1" s="1"/>
  <c r="I26" i="1"/>
  <c r="J26" i="1" s="1"/>
  <c r="L26" i="1"/>
  <c r="L24" i="1" s="1"/>
  <c r="L15" i="1"/>
  <c r="I28" i="1"/>
  <c r="J28" i="1" s="1"/>
  <c r="F28" i="1"/>
  <c r="G28" i="1" s="1"/>
  <c r="C28" i="1"/>
  <c r="D28" i="1" s="1"/>
  <c r="I13" i="4" l="1"/>
  <c r="J13" i="4" s="1"/>
  <c r="G14" i="4"/>
  <c r="R70" i="1"/>
  <c r="R68" i="1"/>
  <c r="S68" i="1" s="1"/>
  <c r="I18" i="1"/>
  <c r="I24" i="1"/>
  <c r="F18" i="1"/>
  <c r="F24" i="1"/>
  <c r="O58" i="1"/>
  <c r="Q58" i="1" s="1"/>
  <c r="O61" i="1"/>
  <c r="M72" i="1"/>
  <c r="M70" i="1"/>
  <c r="C18" i="1"/>
  <c r="E70" i="1"/>
  <c r="O64" i="1"/>
  <c r="O56" i="1"/>
  <c r="Q63" i="1"/>
  <c r="O57" i="1"/>
  <c r="Q57" i="1" s="1"/>
  <c r="C64" i="1"/>
  <c r="P26" i="1"/>
  <c r="O21" i="1"/>
  <c r="P21" i="1" s="1"/>
  <c r="O20" i="1"/>
  <c r="P20" i="1" s="1"/>
  <c r="O18" i="1"/>
  <c r="C21" i="1"/>
  <c r="D26" i="1"/>
  <c r="C20" i="1"/>
  <c r="L16" i="1"/>
  <c r="I21" i="1"/>
  <c r="I20" i="1"/>
  <c r="F20" i="1"/>
  <c r="F21" i="1"/>
  <c r="I14" i="4" l="1"/>
  <c r="G15" i="4"/>
  <c r="K13" i="4"/>
  <c r="S70" i="1"/>
  <c r="R72" i="1"/>
  <c r="S72" i="1"/>
  <c r="O66" i="1"/>
  <c r="L21" i="1"/>
  <c r="M26" i="1"/>
  <c r="L20" i="1"/>
  <c r="L18" i="1"/>
  <c r="L27" i="1"/>
  <c r="M27" i="1" s="1"/>
  <c r="G16" i="4" l="1"/>
  <c r="I15" i="4"/>
  <c r="K14" i="4"/>
  <c r="J14" i="4"/>
  <c r="J15" i="4" l="1"/>
  <c r="K15" i="4"/>
  <c r="I16" i="4"/>
  <c r="G17" i="4"/>
  <c r="J16" i="4" l="1"/>
  <c r="K16" i="4"/>
  <c r="G18" i="4"/>
  <c r="I17" i="4"/>
  <c r="G19" i="4" l="1"/>
  <c r="I19" i="4" s="1"/>
  <c r="I18" i="4"/>
  <c r="J17" i="4"/>
  <c r="K17" i="4"/>
  <c r="J19" i="4" l="1"/>
  <c r="K19" i="4"/>
  <c r="J18" i="4"/>
  <c r="K18" i="4"/>
</calcChain>
</file>

<file path=xl/sharedStrings.xml><?xml version="1.0" encoding="utf-8"?>
<sst xmlns="http://schemas.openxmlformats.org/spreadsheetml/2006/main" count="775" uniqueCount="243">
  <si>
    <t>Voc</t>
  </si>
  <si>
    <t>Isc</t>
  </si>
  <si>
    <t>Vmp</t>
  </si>
  <si>
    <t>Imp</t>
  </si>
  <si>
    <t>Ns</t>
  </si>
  <si>
    <t>FF0</t>
  </si>
  <si>
    <t>kB</t>
  </si>
  <si>
    <t>q</t>
  </si>
  <si>
    <t>C</t>
  </si>
  <si>
    <t>J/K</t>
  </si>
  <si>
    <t>T</t>
  </si>
  <si>
    <t>K</t>
  </si>
  <si>
    <t>I0</t>
  </si>
  <si>
    <t>nNskT/q</t>
  </si>
  <si>
    <t>FF</t>
  </si>
  <si>
    <t>voc</t>
  </si>
  <si>
    <t>rs</t>
  </si>
  <si>
    <t>IL</t>
  </si>
  <si>
    <t>1/K</t>
  </si>
  <si>
    <t>voc = VOC / (n Ns Vt)</t>
  </si>
  <si>
    <t>Good c-Si module</t>
  </si>
  <si>
    <t>Poor c-Si</t>
  </si>
  <si>
    <t>Good thin film</t>
  </si>
  <si>
    <t>RS Green</t>
  </si>
  <si>
    <t>Rs Luque</t>
  </si>
  <si>
    <t>Error</t>
  </si>
  <si>
    <t>Poor thin film</t>
  </si>
  <si>
    <t>alfa (A/K)</t>
  </si>
  <si>
    <t>beta (V/K)</t>
  </si>
  <si>
    <t>Hansen, SAND2015-2065, Parameter Estimation for Single Diode Models of Photovoltaic Modules</t>
  </si>
  <si>
    <t>n fitted Hansen</t>
  </si>
  <si>
    <t>Rs fitted Hansen</t>
  </si>
  <si>
    <t>Rp fitted Hansen</t>
  </si>
  <si>
    <t>Green</t>
  </si>
  <si>
    <t>Rs Lorenzo 22.72 (errata)</t>
  </si>
  <si>
    <t>Lorenzo 22.72 (ERRATA: debe ser ln(1-Im/Isc))</t>
  </si>
  <si>
    <t>CONCENTRATION</t>
  </si>
  <si>
    <t>Luque 1980 DOUBLE-SIDED n÷-p-n ÷ SOLAR CELL FOR BIFACIAL</t>
  </si>
  <si>
    <t>H. Tian et al. / Solar Energy 86 (2012) 2695</t>
  </si>
  <si>
    <t>Np</t>
  </si>
  <si>
    <t>1 cell</t>
  </si>
  <si>
    <t>Rp fitted Tian</t>
  </si>
  <si>
    <t>n fitted Tian</t>
  </si>
  <si>
    <t>Rs fitted Tian</t>
  </si>
  <si>
    <t>Eg0</t>
  </si>
  <si>
    <t>Rp</t>
  </si>
  <si>
    <t>n</t>
  </si>
  <si>
    <t>Difference</t>
  </si>
  <si>
    <t>%/K</t>
  </si>
  <si>
    <t>Area</t>
  </si>
  <si>
    <t>Thickness</t>
  </si>
  <si>
    <t>mm</t>
  </si>
  <si>
    <t>m2</t>
  </si>
  <si>
    <t>JA Solar</t>
  </si>
  <si>
    <t>JAM60S03-320/PR</t>
  </si>
  <si>
    <t>Pmax</t>
  </si>
  <si>
    <t>NMOT</t>
  </si>
  <si>
    <t>Aref</t>
  </si>
  <si>
    <t>dEgdT</t>
  </si>
  <si>
    <t>Datasheet</t>
  </si>
  <si>
    <t>Model</t>
  </si>
  <si>
    <t>fit_desoto</t>
  </si>
  <si>
    <t>Modeled from Rs equation</t>
  </si>
  <si>
    <t>DATASHEETS</t>
  </si>
  <si>
    <t>Manufacturer</t>
  </si>
  <si>
    <t>JKM380N-6TL3</t>
  </si>
  <si>
    <t>Jinko</t>
  </si>
  <si>
    <t>gamma (W/K)</t>
  </si>
  <si>
    <t>(errata) Lorenzo 22.72</t>
  </si>
  <si>
    <t>Rp PVSYST</t>
  </si>
  <si>
    <t>Rp PVSYST rule</t>
  </si>
  <si>
    <t>Rs NMOT</t>
  </si>
  <si>
    <t>REC Solar</t>
  </si>
  <si>
    <t>REC Solar REC450AA 72</t>
  </si>
  <si>
    <t>CEC database</t>
  </si>
  <si>
    <t>IEC 60891</t>
  </si>
  <si>
    <t>nkT/q NMOT</t>
  </si>
  <si>
    <t>Dobos, 2014, Procedure for applying IEC-61853 test data to a single diode model</t>
  </si>
  <si>
    <t>GNMOT</t>
  </si>
  <si>
    <t>GSTC</t>
  </si>
  <si>
    <t>TSTC</t>
  </si>
  <si>
    <t>Rp Carrero</t>
  </si>
  <si>
    <t>LG345N1W-A5</t>
  </si>
  <si>
    <t>JKM390M-72HL-V</t>
  </si>
  <si>
    <t>Voc*a</t>
  </si>
  <si>
    <t>LG Electronics</t>
  </si>
  <si>
    <t>Pmp</t>
  </si>
  <si>
    <t>V</t>
  </si>
  <si>
    <t>I</t>
  </si>
  <si>
    <t>I(I,V)</t>
  </si>
  <si>
    <t>Module manufacturer</t>
  </si>
  <si>
    <t>Jinko Solar</t>
  </si>
  <si>
    <t>Product code</t>
  </si>
  <si>
    <t>General data / mechanical specifications</t>
  </si>
  <si>
    <r>
      <t>Dimensions (mm) / Area (m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</si>
  <si>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1686 x 1016 x 40 / 1.71</t>
  </si>
  <si>
    <t>2008×1002×40 / 2.01</t>
  </si>
  <si>
    <t>Weight (kg)</t>
  </si>
  <si>
    <t>Number of cells</t>
  </si>
  <si>
    <t>60 full cells</t>
  </si>
  <si>
    <r>
      <t>N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 xml:space="preserve"> = 60, N</t>
    </r>
    <r>
      <rPr>
        <vertAlign val="subscript"/>
        <sz val="10"/>
        <color theme="1"/>
        <rFont val="Calibri"/>
        <family val="2"/>
        <scheme val="minor"/>
      </rPr>
      <t>P</t>
    </r>
    <r>
      <rPr>
        <sz val="10"/>
        <color theme="1"/>
        <rFont val="Calibri"/>
        <family val="2"/>
        <scheme val="minor"/>
      </rPr>
      <t xml:space="preserve"> =1</t>
    </r>
  </si>
  <si>
    <t>144 half-cut cells</t>
  </si>
  <si>
    <r>
      <t>N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 xml:space="preserve"> = 72, N</t>
    </r>
    <r>
      <rPr>
        <vertAlign val="subscript"/>
        <sz val="10"/>
        <color theme="1"/>
        <rFont val="Calibri"/>
        <family val="2"/>
        <scheme val="minor"/>
      </rPr>
      <t>P</t>
    </r>
    <r>
      <rPr>
        <sz val="10"/>
        <color theme="1"/>
        <rFont val="Calibri"/>
        <family val="2"/>
        <scheme val="minor"/>
      </rPr>
      <t xml:space="preserve"> = 2</t>
    </r>
  </si>
  <si>
    <t>Solar cell technology</t>
  </si>
  <si>
    <t>n-type sc-Si</t>
  </si>
  <si>
    <t>PERC sc-Si</t>
  </si>
  <si>
    <r>
      <t>Maximum system voltage (V</t>
    </r>
    <r>
      <rPr>
        <vertAlign val="subscript"/>
        <sz val="10"/>
        <color theme="1"/>
        <rFont val="Calibri"/>
        <family val="2"/>
        <scheme val="minor"/>
      </rPr>
      <t>DC</t>
    </r>
    <r>
      <rPr>
        <sz val="10"/>
        <color theme="1"/>
        <rFont val="Calibri"/>
        <family val="2"/>
        <scheme val="minor"/>
      </rPr>
      <t>)</t>
    </r>
  </si>
  <si>
    <t>Electrical characteristics</t>
  </si>
  <si>
    <r>
      <t>STC</t>
    </r>
    <r>
      <rPr>
        <vertAlign val="superscript"/>
        <sz val="10"/>
        <color theme="1"/>
        <rFont val="Calibri"/>
        <family val="2"/>
        <scheme val="minor"/>
      </rPr>
      <t>1</t>
    </r>
  </si>
  <si>
    <r>
      <t>NMOT</t>
    </r>
    <r>
      <rPr>
        <vertAlign val="superscript"/>
        <sz val="10"/>
        <color theme="1"/>
        <rFont val="Calibri"/>
        <family val="2"/>
        <scheme val="minor"/>
      </rPr>
      <t>2</t>
    </r>
  </si>
  <si>
    <t>Maximum power</t>
  </si>
  <si>
    <r>
      <t>P</t>
    </r>
    <r>
      <rPr>
        <vertAlign val="subscript"/>
        <sz val="10"/>
        <color theme="1"/>
        <rFont val="Calibri"/>
        <family val="2"/>
        <scheme val="minor"/>
      </rPr>
      <t>max</t>
    </r>
    <r>
      <rPr>
        <sz val="10"/>
        <color theme="1"/>
        <rFont val="Calibri"/>
        <family val="2"/>
        <scheme val="minor"/>
      </rPr>
      <t xml:space="preserve"> (W)</t>
    </r>
  </si>
  <si>
    <t>Power tolerance</t>
  </si>
  <si>
    <t>0/+3%</t>
  </si>
  <si>
    <t>-</t>
  </si>
  <si>
    <t>Voltage at maximum power</t>
  </si>
  <si>
    <r>
      <t>V</t>
    </r>
    <r>
      <rPr>
        <vertAlign val="subscript"/>
        <sz val="10"/>
        <color theme="1"/>
        <rFont val="Calibri"/>
        <family val="2"/>
        <scheme val="minor"/>
      </rPr>
      <t>mp</t>
    </r>
    <r>
      <rPr>
        <sz val="10"/>
        <color theme="1"/>
        <rFont val="Calibri"/>
        <family val="2"/>
        <scheme val="minor"/>
      </rPr>
      <t xml:space="preserve"> (V)</t>
    </r>
  </si>
  <si>
    <t>Current at maximum power</t>
  </si>
  <si>
    <r>
      <t>I</t>
    </r>
    <r>
      <rPr>
        <vertAlign val="subscript"/>
        <sz val="10"/>
        <color theme="1"/>
        <rFont val="Calibri"/>
        <family val="2"/>
        <scheme val="minor"/>
      </rPr>
      <t>mp</t>
    </r>
    <r>
      <rPr>
        <sz val="10"/>
        <color theme="1"/>
        <rFont val="Calibri"/>
        <family val="2"/>
        <scheme val="minor"/>
      </rPr>
      <t>(A)</t>
    </r>
  </si>
  <si>
    <t>Open circuit voltage</t>
  </si>
  <si>
    <r>
      <t>V</t>
    </r>
    <r>
      <rPr>
        <vertAlign val="subscript"/>
        <sz val="10"/>
        <color theme="1"/>
        <rFont val="Calibri"/>
        <family val="2"/>
        <scheme val="minor"/>
      </rPr>
      <t>OC</t>
    </r>
    <r>
      <rPr>
        <sz val="10"/>
        <color theme="1"/>
        <rFont val="Calibri"/>
        <family val="2"/>
        <scheme val="minor"/>
      </rPr>
      <t xml:space="preserve"> (V)</t>
    </r>
  </si>
  <si>
    <t>Short circuit current</t>
  </si>
  <si>
    <r>
      <t>I</t>
    </r>
    <r>
      <rPr>
        <vertAlign val="subscript"/>
        <sz val="10"/>
        <color theme="1"/>
        <rFont val="Calibri"/>
        <family val="2"/>
        <scheme val="minor"/>
      </rPr>
      <t>SC</t>
    </r>
    <r>
      <rPr>
        <sz val="10"/>
        <color theme="1"/>
        <rFont val="Calibri"/>
        <family val="2"/>
        <scheme val="minor"/>
      </rPr>
      <t xml:space="preserve"> (A)</t>
    </r>
  </si>
  <si>
    <t>Power density</t>
  </si>
  <si>
    <r>
      <t>(W/m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</si>
  <si>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Module efficiency</t>
  </si>
  <si>
    <r>
      <t>η</t>
    </r>
    <r>
      <rPr>
        <sz val="10"/>
        <color theme="1"/>
        <rFont val="Calibri"/>
        <family val="2"/>
        <scheme val="minor"/>
      </rPr>
      <t xml:space="preserve"> (%)</t>
    </r>
  </si>
  <si>
    <t>Temperature parameters</t>
  </si>
  <si>
    <t>Nominal operating module temperature</t>
  </si>
  <si>
    <t>NMOT or</t>
  </si>
  <si>
    <t>NOCT</t>
  </si>
  <si>
    <t>42±3 °C</t>
  </si>
  <si>
    <t>45±2 °C</t>
  </si>
  <si>
    <r>
      <t xml:space="preserve">Temp. coefficient of </t>
    </r>
    <r>
      <rPr>
        <i/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max</t>
    </r>
  </si>
  <si>
    <r>
      <t>γ</t>
    </r>
    <r>
      <rPr>
        <vertAlign val="subscript"/>
        <sz val="10"/>
        <color theme="1"/>
        <rFont val="Calibri"/>
        <family val="2"/>
        <scheme val="minor"/>
      </rPr>
      <t>Pmax</t>
    </r>
  </si>
  <si>
    <t>-0.35 %/°C</t>
  </si>
  <si>
    <r>
      <t xml:space="preserve">Temp. coefficient of </t>
    </r>
    <r>
      <rPr>
        <i/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OC</t>
    </r>
  </si>
  <si>
    <r>
      <t>β</t>
    </r>
    <r>
      <rPr>
        <vertAlign val="subscript"/>
        <sz val="10"/>
        <color theme="1"/>
        <rFont val="Calibri"/>
        <family val="2"/>
        <scheme val="minor"/>
      </rPr>
      <t>Voc</t>
    </r>
  </si>
  <si>
    <t>-0.29 %/°C</t>
  </si>
  <si>
    <r>
      <t xml:space="preserve">Temp. coefficient of </t>
    </r>
    <r>
      <rPr>
        <i/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SC</t>
    </r>
  </si>
  <si>
    <r>
      <t>α</t>
    </r>
    <r>
      <rPr>
        <vertAlign val="subscript"/>
        <sz val="10"/>
        <color theme="1"/>
        <rFont val="Calibri"/>
        <family val="2"/>
        <scheme val="minor"/>
      </rPr>
      <t>Isc</t>
    </r>
  </si>
  <si>
    <t>0.048 %/°C</t>
  </si>
  <si>
    <r>
      <t>1</t>
    </r>
    <r>
      <rPr>
        <sz val="10"/>
        <color theme="1"/>
        <rFont val="Calibri"/>
        <family val="2"/>
        <scheme val="minor"/>
      </rPr>
      <t>Standard Test Conditions: 1000 W/m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irradiance, 25 °C cell temperature, AM1.5G as per IEC 60904-3</t>
    </r>
  </si>
  <si>
    <r>
      <t>2</t>
    </r>
    <r>
      <rPr>
        <sz val="10"/>
        <color theme="1"/>
        <rFont val="Calibri"/>
        <family val="2"/>
        <scheme val="minor"/>
      </rPr>
      <t>Nominal Module Operating Temperature conditions: 800 W/m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irradiance, 20 °C ambient temperature, AM1.5 spectrum, 1 m/s wind speed</t>
    </r>
  </si>
  <si>
    <t>STC</t>
  </si>
  <si>
    <t>Rs</t>
  </si>
  <si>
    <t>Pmp-gamma</t>
  </si>
  <si>
    <t>Starting conditions (STC)</t>
  </si>
  <si>
    <t>Target conditions (NMOT)</t>
  </si>
  <si>
    <t>Irradiance (W/m2)</t>
  </si>
  <si>
    <t>Module temperature (ºC)</t>
  </si>
  <si>
    <t>Parameter</t>
  </si>
  <si>
    <t>Pmp,manuf</t>
  </si>
  <si>
    <t>Initial guess</t>
  </si>
  <si>
    <t>V (V)</t>
  </si>
  <si>
    <t>Iguess (A)</t>
  </si>
  <si>
    <t>I (A)</t>
  </si>
  <si>
    <t>P (W)</t>
  </si>
  <si>
    <t>error</t>
  </si>
  <si>
    <t>Manual SDM parameters</t>
  </si>
  <si>
    <t>alfa (1/K)</t>
  </si>
  <si>
    <t>I0(Tc)</t>
  </si>
  <si>
    <t>Eg(Tc)</t>
  </si>
  <si>
    <t>Tc(K)</t>
  </si>
  <si>
    <t>Tc(ºC)</t>
  </si>
  <si>
    <t>Methodology</t>
  </si>
  <si>
    <t>Considered independent of operating conditions</t>
  </si>
  <si>
    <t>Eq. (7.27)</t>
  </si>
  <si>
    <t>Eq. (7.29)</t>
  </si>
  <si>
    <t>Eq. (7.28)</t>
  </si>
  <si>
    <t>IL(Gef,Tc)</t>
  </si>
  <si>
    <t>Rp(Gef)</t>
  </si>
  <si>
    <t>Gef</t>
  </si>
  <si>
    <t>VT(Tc)</t>
  </si>
  <si>
    <t>kB(J/K)</t>
  </si>
  <si>
    <t>kB(eV/K)</t>
  </si>
  <si>
    <t xml:space="preserve">q(C) </t>
  </si>
  <si>
    <t>Eq. (7.30)</t>
  </si>
  <si>
    <t>Eq. (7.31)</t>
  </si>
  <si>
    <t>Data</t>
  </si>
  <si>
    <t>Other parameters</t>
  </si>
  <si>
    <t>SDM parameter</t>
  </si>
  <si>
    <t>Conditions</t>
  </si>
  <si>
    <t>nNsVT</t>
  </si>
  <si>
    <t>Np,m</t>
  </si>
  <si>
    <t>Ns,m</t>
  </si>
  <si>
    <t>Azimuth (ºS)</t>
  </si>
  <si>
    <t>Tilt (º)</t>
  </si>
  <si>
    <t>Module SDM</t>
  </si>
  <si>
    <t>Array SDM</t>
  </si>
  <si>
    <t>Operating</t>
  </si>
  <si>
    <t>Array layout</t>
  </si>
  <si>
    <t>Ns,m*Ns*n*VT</t>
  </si>
  <si>
    <t>Ambient conditions</t>
  </si>
  <si>
    <r>
      <t>G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β</t>
    </r>
    <r>
      <rPr>
        <sz val="11"/>
        <color theme="1"/>
        <rFont val="Calibri"/>
        <family val="2"/>
        <scheme val="minor"/>
      </rPr>
      <t>,</t>
    </r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)</t>
    </r>
  </si>
  <si>
    <t>θZ (º)</t>
  </si>
  <si>
    <t>AOI(º)</t>
  </si>
  <si>
    <t>Gef (W/m2)</t>
  </si>
  <si>
    <t>Tamb(ºC)</t>
  </si>
  <si>
    <t>Effective conditions</t>
  </si>
  <si>
    <t>D(β,α)</t>
  </si>
  <si>
    <t>Module</t>
  </si>
  <si>
    <t>Thermal model</t>
  </si>
  <si>
    <t>Insulated back</t>
  </si>
  <si>
    <t>a</t>
  </si>
  <si>
    <t>b</t>
  </si>
  <si>
    <t>deltaT</t>
  </si>
  <si>
    <t>ws(m/s)</t>
  </si>
  <si>
    <t>AOI model</t>
  </si>
  <si>
    <t>αr</t>
  </si>
  <si>
    <t>FIAMB</t>
  </si>
  <si>
    <t>FIAMD</t>
  </si>
  <si>
    <t>Tilt(rad)</t>
  </si>
  <si>
    <t>Same</t>
  </si>
  <si>
    <t>Ifinal_guess (A)</t>
  </si>
  <si>
    <t>V(initial guess) (V)</t>
  </si>
  <si>
    <t>V(final)</t>
  </si>
  <si>
    <t>Eq. 7.2</t>
  </si>
  <si>
    <t>Eq. 7.3</t>
  </si>
  <si>
    <t>Eq. 7.5</t>
  </si>
  <si>
    <t>Eq. 7.4</t>
  </si>
  <si>
    <t>Operating conds.</t>
  </si>
  <si>
    <t>G(β,α)(W/m2)</t>
  </si>
  <si>
    <t>Module parameters</t>
  </si>
  <si>
    <t>NMOT[°C]</t>
  </si>
  <si>
    <t>β(%/°C)</t>
  </si>
  <si>
    <t>Operating conditions</t>
  </si>
  <si>
    <t>ºC</t>
  </si>
  <si>
    <t>Vmp,STC</t>
  </si>
  <si>
    <t>Vbat</t>
  </si>
  <si>
    <t>Tc</t>
  </si>
  <si>
    <t>NSB</t>
  </si>
  <si>
    <t>Full cells</t>
  </si>
  <si>
    <t>FGS</t>
  </si>
  <si>
    <t>Type of cell</t>
  </si>
  <si>
    <t>c</t>
  </si>
  <si>
    <t>NTB</t>
  </si>
  <si>
    <t>FES</t>
  </si>
  <si>
    <t>Half cells</t>
  </si>
  <si>
    <t>Top sub-matrix</t>
  </si>
  <si>
    <t>Bottom sub-matrix</t>
  </si>
  <si>
    <t>Combined loss</t>
  </si>
  <si>
    <t>Gain vs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</si>
</sst>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\ _€_-;\-* #,##0.00\ _€_-;_-* &quot;-&quot;??\ _€_-;_-@_-"/>
    <numFmt numFmtId="164" formatCode="0.000E+00"/>
    <numFmt numFmtId="165" formatCode="0.0E+00"/>
    <numFmt numFmtId="166" formatCode="0.0000"/>
    <numFmt numFmtId="167" formatCode="0.000"/>
    <numFmt numFmtId="168" formatCode="0.0"/>
    <numFmt numFmtId="169" formatCode="0.00000"/>
    <numFmt numFmtId="170" formatCode="0.0%"/>
    <numFmt numFmtId="171" formatCode="0.0000E+00"/>
    <numFmt numFmtId="172" formatCode="_-* #,##0\ _€_-;\-* #,##0\ _€_-;_-* &quot;-&quot;??\ _€_-;_-@_-"/>
    <numFmt numFmtId="173" formatCode="_-* #,##0.0000\ _€_-;\-* #,##0.0000\ _€_-;_-* &quot;-&quot;??\ _€_-;_-@_-"/>
    <numFmt numFmtId="174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" applyFont="1"/>
    <xf numFmtId="0" fontId="2" fillId="0" borderId="0" xfId="0" applyFont="1"/>
    <xf numFmtId="1" fontId="0" fillId="0" borderId="0" xfId="0" applyNumberFormat="1"/>
    <xf numFmtId="169" fontId="0" fillId="0" borderId="0" xfId="0" applyNumberFormat="1"/>
    <xf numFmtId="166" fontId="0" fillId="0" borderId="0" xfId="0" applyNumberFormat="1"/>
    <xf numFmtId="11" fontId="0" fillId="0" borderId="0" xfId="0" applyNumberFormat="1"/>
    <xf numFmtId="170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Font="1"/>
    <xf numFmtId="166" fontId="0" fillId="0" borderId="0" xfId="0" applyNumberFormat="1" applyFont="1" applyAlignment="1">
      <alignment horizontal="center"/>
    </xf>
    <xf numFmtId="0" fontId="4" fillId="0" borderId="0" xfId="0" applyFont="1"/>
    <xf numFmtId="171" fontId="0" fillId="0" borderId="0" xfId="0" applyNumberFormat="1"/>
    <xf numFmtId="164" fontId="0" fillId="0" borderId="0" xfId="0" quotePrefix="1" applyNumberFormat="1"/>
    <xf numFmtId="0" fontId="5" fillId="0" borderId="0" xfId="0" applyFont="1"/>
    <xf numFmtId="0" fontId="0" fillId="0" borderId="0" xfId="0" applyAlignment="1">
      <alignment horizontal="justify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justify" vertical="center" wrapText="1"/>
    </xf>
    <xf numFmtId="43" fontId="0" fillId="0" borderId="0" xfId="2" applyFont="1"/>
    <xf numFmtId="172" fontId="0" fillId="0" borderId="0" xfId="2" applyNumberFormat="1" applyFont="1"/>
    <xf numFmtId="10" fontId="0" fillId="0" borderId="0" xfId="1" applyNumberFormat="1" applyFont="1"/>
    <xf numFmtId="1" fontId="4" fillId="0" borderId="0" xfId="0" applyNumberFormat="1" applyFont="1"/>
    <xf numFmtId="167" fontId="4" fillId="0" borderId="0" xfId="0" applyNumberFormat="1" applyFont="1"/>
    <xf numFmtId="2" fontId="4" fillId="0" borderId="0" xfId="0" applyNumberFormat="1" applyFont="1"/>
    <xf numFmtId="171" fontId="4" fillId="0" borderId="0" xfId="0" applyNumberFormat="1" applyFont="1"/>
    <xf numFmtId="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2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2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73" fontId="0" fillId="0" borderId="0" xfId="2" applyNumberFormat="1" applyFont="1"/>
    <xf numFmtId="43" fontId="0" fillId="0" borderId="0" xfId="0" applyNumberFormat="1"/>
    <xf numFmtId="174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168" fontId="1" fillId="0" borderId="0" xfId="2" applyNumberFormat="1" applyFont="1" applyAlignment="1">
      <alignment horizontal="center"/>
    </xf>
    <xf numFmtId="168" fontId="2" fillId="0" borderId="0" xfId="2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0" fillId="0" borderId="0" xfId="0" quotePrefix="1" applyNumberForma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73" fontId="1" fillId="0" borderId="0" xfId="2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43" fontId="0" fillId="0" borderId="0" xfId="0" applyNumberFormat="1" applyFont="1" applyAlignment="1">
      <alignment horizontal="right"/>
    </xf>
    <xf numFmtId="0" fontId="7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11" xfId="0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20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8" fontId="2" fillId="0" borderId="0" xfId="0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'P7.8'!$K$6:$K$35</c:f>
              <c:numCache>
                <c:formatCode>0.0</c:formatCode>
                <c:ptCount val="3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</c:numCache>
            </c:numRef>
          </c:xVal>
          <c:yVal>
            <c:numRef>
              <c:f>'P7.8'!$L$6:$L$35</c:f>
              <c:numCache>
                <c:formatCode>0.00</c:formatCode>
                <c:ptCount val="30"/>
                <c:pt idx="0">
                  <c:v>28.583073320519169</c:v>
                </c:pt>
                <c:pt idx="1">
                  <c:v>28.54878866865047</c:v>
                </c:pt>
                <c:pt idx="2">
                  <c:v>28.514501078010206</c:v>
                </c:pt>
                <c:pt idx="3">
                  <c:v>28.480204768768449</c:v>
                </c:pt>
                <c:pt idx="4">
                  <c:v>28.445882593888918</c:v>
                </c:pt>
                <c:pt idx="5">
                  <c:v>28.411483683538059</c:v>
                </c:pt>
                <c:pt idx="6">
                  <c:v>28.376857123751279</c:v>
                </c:pt>
                <c:pt idx="7">
                  <c:v>28.341555204652629</c:v>
                </c:pt>
                <c:pt idx="8">
                  <c:v>28.304249731125498</c:v>
                </c:pt>
                <c:pt idx="9">
                  <c:v>28.261000450040239</c:v>
                </c:pt>
                <c:pt idx="10">
                  <c:v>28.200118262031566</c:v>
                </c:pt>
                <c:pt idx="11">
                  <c:v>28.086927298008732</c:v>
                </c:pt>
                <c:pt idx="12">
                  <c:v>27.818566377783021</c:v>
                </c:pt>
                <c:pt idx="13">
                  <c:v>27.138419871996838</c:v>
                </c:pt>
                <c:pt idx="14">
                  <c:v>25.335000000000001</c:v>
                </c:pt>
                <c:pt idx="15">
                  <c:v>21.055</c:v>
                </c:pt>
                <c:pt idx="16">
                  <c:v>12.81</c:v>
                </c:pt>
                <c:pt idx="17">
                  <c:v>0.09</c:v>
                </c:pt>
                <c:pt idx="19">
                  <c:v>26.760382913035279</c:v>
                </c:pt>
                <c:pt idx="20">
                  <c:v>26.686221181936553</c:v>
                </c:pt>
                <c:pt idx="21">
                  <c:v>26.608397679872315</c:v>
                </c:pt>
                <c:pt idx="22">
                  <c:v>26.514144135335382</c:v>
                </c:pt>
                <c:pt idx="23">
                  <c:v>26.43152885613323</c:v>
                </c:pt>
                <c:pt idx="24">
                  <c:v>26.345735092690923</c:v>
                </c:pt>
                <c:pt idx="25">
                  <c:v>26.258408706244076</c:v>
                </c:pt>
                <c:pt idx="26">
                  <c:v>26.159815567456963</c:v>
                </c:pt>
                <c:pt idx="27">
                  <c:v>26.056443074803841</c:v>
                </c:pt>
                <c:pt idx="28">
                  <c:v>25.939819238557234</c:v>
                </c:pt>
                <c:pt idx="29">
                  <c:v>25.834772416258666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0-4D01-9759-9FA88360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12336"/>
        <c:axId val="447009840"/>
      </c:scatterChart>
      <c:scatterChart>
        <c:scatterStyle val="smoothMarker"/>
        <c:varyColors val="0"/>
        <c:ser>
          <c:idx val="1"/>
          <c:order val="1"/>
          <c:tx>
            <c:v>P(W)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'P7.8'!$K$6:$K$35</c:f>
              <c:numCache>
                <c:formatCode>0.0</c:formatCode>
                <c:ptCount val="3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</c:numCache>
            </c:numRef>
          </c:xVal>
          <c:yVal>
            <c:numRef>
              <c:f>'P7.8'!$O$6:$O$35</c:f>
              <c:numCache>
                <c:formatCode>0</c:formatCode>
                <c:ptCount val="30"/>
                <c:pt idx="0">
                  <c:v>0</c:v>
                </c:pt>
                <c:pt idx="1">
                  <c:v>570.97683918170139</c:v>
                </c:pt>
                <c:pt idx="2">
                  <c:v>1140.5826715357855</c:v>
                </c:pt>
                <c:pt idx="3">
                  <c:v>1708.8169760246071</c:v>
                </c:pt>
                <c:pt idx="4">
                  <c:v>2275.6778661707522</c:v>
                </c:pt>
                <c:pt idx="5">
                  <c:v>2841.1587354463381</c:v>
                </c:pt>
                <c:pt idx="6">
                  <c:v>3405.2369910951793</c:v>
                </c:pt>
                <c:pt idx="7">
                  <c:v>3967.8367393069157</c:v>
                </c:pt>
                <c:pt idx="8">
                  <c:v>4528.7065845480156</c:v>
                </c:pt>
                <c:pt idx="9">
                  <c:v>5087.0233651877015</c:v>
                </c:pt>
                <c:pt idx="10">
                  <c:v>5640.1199642451047</c:v>
                </c:pt>
                <c:pt idx="11">
                  <c:v>6179.4571117433516</c:v>
                </c:pt>
                <c:pt idx="12">
                  <c:v>6678.2235231085915</c:v>
                </c:pt>
                <c:pt idx="13">
                  <c:v>7055.4956572447318</c:v>
                </c:pt>
                <c:pt idx="14">
                  <c:v>7091.627373576539</c:v>
                </c:pt>
                <c:pt idx="15">
                  <c:v>6318.1816575517323</c:v>
                </c:pt>
                <c:pt idx="16">
                  <c:v>4099.4072749508432</c:v>
                </c:pt>
                <c:pt idx="17">
                  <c:v>30.651224328195056</c:v>
                </c:pt>
                <c:pt idx="19">
                  <c:v>7118.0172772681053</c:v>
                </c:pt>
                <c:pt idx="20">
                  <c:v>7124.9773862430811</c:v>
                </c:pt>
                <c:pt idx="21">
                  <c:v>7130.817433309815</c:v>
                </c:pt>
                <c:pt idx="22">
                  <c:v>7135.6929487233247</c:v>
                </c:pt>
                <c:pt idx="23">
                  <c:v>7139.0877294131233</c:v>
                </c:pt>
                <c:pt idx="24">
                  <c:v>7141.1712678238027</c:v>
                </c:pt>
                <c:pt idx="25">
                  <c:v>7141.8446249228364</c:v>
                </c:pt>
                <c:pt idx="26">
                  <c:v>7141.2330694935272</c:v>
                </c:pt>
                <c:pt idx="27">
                  <c:v>7139.1494434010756</c:v>
                </c:pt>
                <c:pt idx="28">
                  <c:v>7135.7179466049902</c:v>
                </c:pt>
                <c:pt idx="29">
                  <c:v>7130.2973653069675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0-4D01-9759-9FA88360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87456"/>
        <c:axId val="362590784"/>
      </c:scatterChart>
      <c:valAx>
        <c:axId val="4470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09840"/>
        <c:crosses val="autoZero"/>
        <c:crossBetween val="midCat"/>
      </c:valAx>
      <c:valAx>
        <c:axId val="44700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2336"/>
        <c:crosses val="autoZero"/>
        <c:crossBetween val="midCat"/>
      </c:valAx>
      <c:valAx>
        <c:axId val="36259078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87456"/>
        <c:crosses val="max"/>
        <c:crossBetween val="midCat"/>
      </c:valAx>
      <c:valAx>
        <c:axId val="362587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625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6266100819314"/>
          <c:y val="9.3170749489647139E-2"/>
          <c:w val="0.10593359614724514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579120</xdr:colOff>
      <xdr:row>4</xdr:row>
      <xdr:rowOff>152400</xdr:rowOff>
    </xdr:from>
    <xdr:to>
      <xdr:col>20</xdr:col>
      <xdr:colOff>648151</xdr:colOff>
      <xdr:row>8</xdr:row>
      <xdr:rowOff>173460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883920"/>
          <a:ext cx="3238952" cy="752580"/>
        </a:xfrm>
        <a:prstGeom prst="rect">
          <a:avLst/>
        </a:prstGeom>
      </xdr:spPr>
    </xdr:pic>
    <xdr:clientData/>
  </xdr:twoCellAnchor>
  <xdr:twoCellAnchor editAs="oneCell">
    <xdr:from>
      <xdr:col>16</xdr:col>
      <xdr:colOff>685800</xdr:colOff>
      <xdr:row>0</xdr:row>
      <xdr:rowOff>121921</xdr:rowOff>
    </xdr:from>
    <xdr:to>
      <xdr:col>18</xdr:col>
      <xdr:colOff>735604</xdr:colOff>
      <xdr:row>4</xdr:row>
      <xdr:rowOff>136361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9480" y="121921"/>
          <a:ext cx="1634764" cy="745960"/>
        </a:xfrm>
        <a:prstGeom prst="rect">
          <a:avLst/>
        </a:prstGeom>
      </xdr:spPr>
    </xdr:pic>
    <xdr:clientData/>
  </xdr:twoCellAnchor>
  <xdr:twoCellAnchor editAs="oneCell">
    <xdr:from>
      <xdr:col>16</xdr:col>
      <xdr:colOff>724797</xdr:colOff>
      <xdr:row>9</xdr:row>
      <xdr:rowOff>173915</xdr:rowOff>
    </xdr:from>
    <xdr:to>
      <xdr:col>19</xdr:col>
      <xdr:colOff>494552</xdr:colOff>
      <xdr:row>12</xdr:row>
      <xdr:rowOff>57583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0185" y="1787562"/>
          <a:ext cx="2136438" cy="421550"/>
        </a:xfrm>
        <a:prstGeom prst="rect">
          <a:avLst/>
        </a:prstGeom>
      </xdr:spPr>
    </xdr:pic>
    <xdr:clientData/>
  </xdr:twoCellAnchor>
  <xdr:twoCellAnchor editAs="oneCell">
    <xdr:from>
      <xdr:col>16</xdr:col>
      <xdr:colOff>784413</xdr:colOff>
      <xdr:row>12</xdr:row>
      <xdr:rowOff>117439</xdr:rowOff>
    </xdr:from>
    <xdr:to>
      <xdr:col>18</xdr:col>
      <xdr:colOff>681318</xdr:colOff>
      <xdr:row>15</xdr:row>
      <xdr:rowOff>63285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39801" y="2268968"/>
          <a:ext cx="1474693" cy="483729"/>
        </a:xfrm>
        <a:prstGeom prst="rect">
          <a:avLst/>
        </a:prstGeom>
      </xdr:spPr>
    </xdr:pic>
    <xdr:clientData/>
  </xdr:twoCellAnchor>
  <xdr:twoCellAnchor editAs="oneCell">
    <xdr:from>
      <xdr:col>17</xdr:col>
      <xdr:colOff>30479</xdr:colOff>
      <xdr:row>17</xdr:row>
      <xdr:rowOff>23772</xdr:rowOff>
    </xdr:from>
    <xdr:to>
      <xdr:col>21</xdr:col>
      <xdr:colOff>416218</xdr:colOff>
      <xdr:row>20</xdr:row>
      <xdr:rowOff>152400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6639" y="3132732"/>
          <a:ext cx="3555659" cy="677268"/>
        </a:xfrm>
        <a:prstGeom prst="rect">
          <a:avLst/>
        </a:prstGeom>
      </xdr:spPr>
    </xdr:pic>
    <xdr:clientData/>
  </xdr:twoCellAnchor>
  <xdr:twoCellAnchor editAs="oneCell">
    <xdr:from>
      <xdr:col>17</xdr:col>
      <xdr:colOff>30479</xdr:colOff>
      <xdr:row>26</xdr:row>
      <xdr:rowOff>31392</xdr:rowOff>
    </xdr:from>
    <xdr:to>
      <xdr:col>20</xdr:col>
      <xdr:colOff>130095</xdr:colOff>
      <xdr:row>30</xdr:row>
      <xdr:rowOff>90170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16639" y="4420512"/>
          <a:ext cx="2477057" cy="790299"/>
        </a:xfrm>
        <a:prstGeom prst="rect">
          <a:avLst/>
        </a:prstGeom>
      </xdr:spPr>
    </xdr:pic>
    <xdr:clientData/>
  </xdr:twoCellAnchor>
  <xdr:twoCellAnchor editAs="oneCell">
    <xdr:from>
      <xdr:col>16</xdr:col>
      <xdr:colOff>248452</xdr:colOff>
      <xdr:row>21</xdr:row>
      <xdr:rowOff>94769</xdr:rowOff>
    </xdr:from>
    <xdr:to>
      <xdr:col>23</xdr:col>
      <xdr:colOff>718255</xdr:colOff>
      <xdr:row>23</xdr:row>
      <xdr:rowOff>111471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03840" y="3859945"/>
          <a:ext cx="5992062" cy="3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566057</xdr:colOff>
      <xdr:row>75</xdr:row>
      <xdr:rowOff>32658</xdr:rowOff>
    </xdr:from>
    <xdr:to>
      <xdr:col>7</xdr:col>
      <xdr:colOff>246419</xdr:colOff>
      <xdr:row>80</xdr:row>
      <xdr:rowOff>82817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0714" y="13541829"/>
          <a:ext cx="4633362" cy="975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39</xdr:row>
      <xdr:rowOff>106680</xdr:rowOff>
    </xdr:from>
    <xdr:to>
      <xdr:col>16</xdr:col>
      <xdr:colOff>228600</xdr:colOff>
      <xdr:row>54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opLeftCell="M46" zoomScale="85" zoomScaleNormal="85" workbookViewId="0">
      <selection activeCell="Z33" sqref="Z33:AE73"/>
    </sheetView>
  </sheetViews>
  <sheetFormatPr baseColWidth="10" defaultRowHeight="15" x14ac:dyDescent="0.25"/>
  <cols>
    <col min="3" max="4" width="12" bestFit="1" customWidth="1"/>
    <col min="7" max="7" width="13.28515625" customWidth="1"/>
    <col min="9" max="9" width="12" bestFit="1" customWidth="1"/>
  </cols>
  <sheetData>
    <row r="1" spans="1:28" x14ac:dyDescent="0.25">
      <c r="B1" t="s">
        <v>29</v>
      </c>
      <c r="N1" t="s">
        <v>38</v>
      </c>
    </row>
    <row r="2" spans="1:28" x14ac:dyDescent="0.25">
      <c r="B2" s="10" t="s">
        <v>20</v>
      </c>
      <c r="E2" s="10" t="s">
        <v>21</v>
      </c>
      <c r="H2" s="10" t="s">
        <v>22</v>
      </c>
      <c r="K2" s="10" t="s">
        <v>26</v>
      </c>
      <c r="N2" s="10" t="s">
        <v>20</v>
      </c>
      <c r="X2" t="s">
        <v>87</v>
      </c>
      <c r="Y2" t="s">
        <v>88</v>
      </c>
      <c r="Z2" t="s">
        <v>89</v>
      </c>
      <c r="AA2" t="s">
        <v>25</v>
      </c>
      <c r="AB2" t="s">
        <v>86</v>
      </c>
    </row>
    <row r="3" spans="1:28" x14ac:dyDescent="0.25">
      <c r="B3" t="s">
        <v>0</v>
      </c>
      <c r="C3" s="1">
        <v>43.718000000000004</v>
      </c>
      <c r="D3" s="2">
        <f>C3/C9</f>
        <v>0.60719444444444448</v>
      </c>
      <c r="E3" t="s">
        <v>0</v>
      </c>
      <c r="F3" s="1">
        <v>48.508000000000003</v>
      </c>
      <c r="G3" s="2">
        <f>F3/F9</f>
        <v>0.67372222222222222</v>
      </c>
      <c r="H3" t="s">
        <v>0</v>
      </c>
      <c r="I3">
        <v>90.867000000000004</v>
      </c>
      <c r="J3" s="2">
        <f>I3/I9</f>
        <v>0.82606363636363644</v>
      </c>
      <c r="K3" t="s">
        <v>0</v>
      </c>
      <c r="L3">
        <v>80.081000000000003</v>
      </c>
      <c r="M3" s="2">
        <f>L3/L9</f>
        <v>0.72800909090909094</v>
      </c>
      <c r="N3" t="s">
        <v>0</v>
      </c>
      <c r="O3" s="1">
        <v>20.09</v>
      </c>
      <c r="P3" s="2">
        <f>O3/O9</f>
        <v>0.55805555555555553</v>
      </c>
      <c r="X3">
        <v>0</v>
      </c>
      <c r="Y3" s="2">
        <v>4.83</v>
      </c>
      <c r="Z3" s="2">
        <f t="shared" ref="Z3:Z8" si="0">$O$20-$O$21*(EXP((X3+Y3*$O$26)/$O$14)-1)-(X3+Y3*$O$26)/$O$24</f>
        <v>4.829742808131444</v>
      </c>
      <c r="AA3">
        <f t="shared" ref="AA3:AA8" si="1">Z3-Y3</f>
        <v>-2.5719186855610587E-4</v>
      </c>
      <c r="AB3" s="2">
        <f>Y3*X3</f>
        <v>0</v>
      </c>
    </row>
    <row r="4" spans="1:28" x14ac:dyDescent="0.25">
      <c r="B4" t="s">
        <v>1</v>
      </c>
      <c r="C4" s="1">
        <v>5.9989999999999997</v>
      </c>
      <c r="E4" t="s">
        <v>1</v>
      </c>
      <c r="F4" s="1">
        <v>5.8520000000000003</v>
      </c>
      <c r="H4" t="s">
        <v>1</v>
      </c>
      <c r="I4">
        <v>1.177</v>
      </c>
      <c r="K4" t="s">
        <v>1</v>
      </c>
      <c r="L4">
        <v>1.091</v>
      </c>
      <c r="N4" t="s">
        <v>1</v>
      </c>
      <c r="O4" s="1">
        <v>4.83</v>
      </c>
      <c r="X4">
        <v>20.09</v>
      </c>
      <c r="Y4" s="2">
        <v>0</v>
      </c>
      <c r="Z4" s="2">
        <f t="shared" si="0"/>
        <v>-2.8358589984320559E-3</v>
      </c>
      <c r="AA4">
        <f t="shared" si="1"/>
        <v>-2.8358589984320559E-3</v>
      </c>
      <c r="AB4" s="2">
        <f t="shared" ref="AB4:AB12" si="2">Y4*X4</f>
        <v>0</v>
      </c>
    </row>
    <row r="5" spans="1:28" x14ac:dyDescent="0.25">
      <c r="B5" t="s">
        <v>2</v>
      </c>
      <c r="C5" s="6">
        <v>36.82</v>
      </c>
      <c r="D5" s="9">
        <f>C5/C3</f>
        <v>0.84221602086097258</v>
      </c>
      <c r="E5" t="s">
        <v>2</v>
      </c>
      <c r="F5" s="6">
        <v>25.561</v>
      </c>
      <c r="G5" s="9">
        <f>F5/F3</f>
        <v>0.52694400923558993</v>
      </c>
      <c r="H5" t="s">
        <v>2</v>
      </c>
      <c r="I5">
        <v>69.165999999999997</v>
      </c>
      <c r="J5" s="9">
        <f>I5/I3</f>
        <v>0.76117842561105786</v>
      </c>
      <c r="K5" t="s">
        <v>2</v>
      </c>
      <c r="L5">
        <v>53.805</v>
      </c>
      <c r="M5" s="9">
        <f>L5/L3</f>
        <v>0.67188221925300629</v>
      </c>
      <c r="N5" t="s">
        <v>2</v>
      </c>
      <c r="O5" s="6">
        <v>15.96</v>
      </c>
      <c r="P5" s="9">
        <f>O5/O3</f>
        <v>0.79442508710801396</v>
      </c>
      <c r="X5">
        <f>X4*0.7</f>
        <v>14.062999999999999</v>
      </c>
      <c r="Y5" s="2">
        <v>4.63</v>
      </c>
      <c r="Z5" s="2">
        <f t="shared" si="0"/>
        <v>4.6300466345182789</v>
      </c>
      <c r="AA5">
        <f t="shared" si="1"/>
        <v>4.6634518279020654E-5</v>
      </c>
      <c r="AB5" s="2">
        <f t="shared" si="2"/>
        <v>65.111689999999996</v>
      </c>
    </row>
    <row r="6" spans="1:28" x14ac:dyDescent="0.25">
      <c r="B6" t="s">
        <v>3</v>
      </c>
      <c r="C6" s="6">
        <v>5.6559999999999997</v>
      </c>
      <c r="D6" s="7" t="s">
        <v>18</v>
      </c>
      <c r="E6" t="s">
        <v>3</v>
      </c>
      <c r="F6" s="6">
        <v>4.0179999999999998</v>
      </c>
      <c r="G6" s="7" t="s">
        <v>18</v>
      </c>
      <c r="H6" t="s">
        <v>3</v>
      </c>
      <c r="I6">
        <v>0.98099999999999998</v>
      </c>
      <c r="K6" t="s">
        <v>3</v>
      </c>
      <c r="L6">
        <v>0.78600000000000003</v>
      </c>
      <c r="N6" t="s">
        <v>3</v>
      </c>
      <c r="O6" s="6">
        <v>4.38</v>
      </c>
      <c r="P6" s="7" t="s">
        <v>18</v>
      </c>
      <c r="X6">
        <v>14.5</v>
      </c>
      <c r="Y6" s="2">
        <v>4.59</v>
      </c>
      <c r="Z6" s="2">
        <f t="shared" si="0"/>
        <v>4.5877920257540188</v>
      </c>
      <c r="AA6">
        <f t="shared" si="1"/>
        <v>-2.2079742459810703E-3</v>
      </c>
      <c r="AB6" s="2">
        <f t="shared" si="2"/>
        <v>66.554999999999993</v>
      </c>
    </row>
    <row r="7" spans="1:28" x14ac:dyDescent="0.25">
      <c r="B7" t="s">
        <v>28</v>
      </c>
      <c r="C7" s="1">
        <v>-0.18</v>
      </c>
      <c r="D7" s="8">
        <f>C7/C3</f>
        <v>-4.1172972231117615E-3</v>
      </c>
      <c r="E7" t="s">
        <v>28</v>
      </c>
      <c r="F7" s="1">
        <v>-0.24099999999999999</v>
      </c>
      <c r="G7" s="8">
        <f>F7/F3</f>
        <v>-4.9682526593551575E-3</v>
      </c>
      <c r="H7" t="s">
        <v>28</v>
      </c>
      <c r="I7">
        <v>-0.245</v>
      </c>
      <c r="K7" t="s">
        <v>28</v>
      </c>
      <c r="L7">
        <v>-0.27500000000000002</v>
      </c>
      <c r="N7" t="s">
        <v>28</v>
      </c>
      <c r="O7" s="1">
        <v>-8.2100000000000006E-2</v>
      </c>
      <c r="P7" s="8">
        <f>O7/O3</f>
        <v>-4.0866102538576407E-3</v>
      </c>
      <c r="X7">
        <v>15</v>
      </c>
      <c r="Y7" s="2">
        <v>4.5199999999999996</v>
      </c>
      <c r="Z7" s="2">
        <f t="shared" si="0"/>
        <v>4.5170651051403752</v>
      </c>
      <c r="AA7">
        <f t="shared" si="1"/>
        <v>-2.9348948596243929E-3</v>
      </c>
      <c r="AB7" s="2">
        <f t="shared" si="2"/>
        <v>67.8</v>
      </c>
    </row>
    <row r="8" spans="1:28" x14ac:dyDescent="0.25">
      <c r="B8" t="s">
        <v>27</v>
      </c>
      <c r="C8" s="1">
        <v>2E-3</v>
      </c>
      <c r="D8" s="8">
        <f>C8/C4</f>
        <v>3.3338889814969166E-4</v>
      </c>
      <c r="E8" t="s">
        <v>27</v>
      </c>
      <c r="F8" s="1">
        <v>2E-3</v>
      </c>
      <c r="G8" s="8">
        <f>F8/F4</f>
        <v>3.4176349965823647E-4</v>
      </c>
      <c r="H8" t="s">
        <v>27</v>
      </c>
      <c r="I8">
        <v>4.0000000000000002E-4</v>
      </c>
      <c r="K8" t="s">
        <v>27</v>
      </c>
      <c r="L8">
        <v>4.0000000000000002E-4</v>
      </c>
      <c r="N8" t="s">
        <v>27</v>
      </c>
      <c r="O8" s="1">
        <v>0</v>
      </c>
      <c r="P8" s="8">
        <f>O8/O4</f>
        <v>0</v>
      </c>
      <c r="X8">
        <v>15.5</v>
      </c>
      <c r="Y8" s="2">
        <v>4.41</v>
      </c>
      <c r="Z8" s="2">
        <f t="shared" si="0"/>
        <v>4.4123789070052286</v>
      </c>
      <c r="AA8">
        <f t="shared" si="1"/>
        <v>2.37890700522847E-3</v>
      </c>
      <c r="AB8" s="2">
        <f t="shared" si="2"/>
        <v>68.355000000000004</v>
      </c>
    </row>
    <row r="9" spans="1:28" x14ac:dyDescent="0.25">
      <c r="B9" t="s">
        <v>4</v>
      </c>
      <c r="C9" s="1">
        <v>72</v>
      </c>
      <c r="E9" t="s">
        <v>4</v>
      </c>
      <c r="F9" s="1">
        <v>72</v>
      </c>
      <c r="H9" t="s">
        <v>4</v>
      </c>
      <c r="I9">
        <v>110</v>
      </c>
      <c r="K9" t="s">
        <v>4</v>
      </c>
      <c r="L9">
        <v>110</v>
      </c>
      <c r="N9" t="s">
        <v>4</v>
      </c>
      <c r="O9" s="1">
        <v>36</v>
      </c>
      <c r="X9">
        <v>15.6</v>
      </c>
      <c r="Y9" s="2">
        <v>4.3899999999999997</v>
      </c>
      <c r="Z9" s="2">
        <f t="shared" ref="Z9:Z12" si="3">$O$20-$O$21*(EXP((X9+Y9*$O$26)/$O$14)-1)-(X9+Y9*$O$26)/$O$24</f>
        <v>4.3853432673597821</v>
      </c>
      <c r="AA9">
        <f t="shared" ref="AA9:AA12" si="4">Z9-Y9</f>
        <v>-4.6567326402175979E-3</v>
      </c>
      <c r="AB9" s="2">
        <f t="shared" si="2"/>
        <v>68.483999999999995</v>
      </c>
    </row>
    <row r="10" spans="1:28" x14ac:dyDescent="0.25">
      <c r="B10" t="s">
        <v>10</v>
      </c>
      <c r="C10" s="1">
        <v>298.14999999999998</v>
      </c>
      <c r="D10" t="s">
        <v>11</v>
      </c>
      <c r="E10" t="s">
        <v>10</v>
      </c>
      <c r="F10" s="1">
        <v>298.14999999999998</v>
      </c>
      <c r="G10" t="s">
        <v>11</v>
      </c>
      <c r="H10" t="s">
        <v>10</v>
      </c>
      <c r="I10" s="1">
        <v>298.14999999999998</v>
      </c>
      <c r="J10" t="s">
        <v>11</v>
      </c>
      <c r="K10" t="s">
        <v>10</v>
      </c>
      <c r="L10" s="1">
        <v>298.14999999999998</v>
      </c>
      <c r="M10" t="s">
        <v>11</v>
      </c>
      <c r="N10" t="s">
        <v>10</v>
      </c>
      <c r="O10" s="1">
        <v>298.14999999999998</v>
      </c>
      <c r="P10" t="s">
        <v>11</v>
      </c>
      <c r="R10" t="s">
        <v>33</v>
      </c>
      <c r="X10">
        <v>15.7</v>
      </c>
      <c r="Y10" s="2">
        <v>4.3600000000000003</v>
      </c>
      <c r="Z10" s="2">
        <f t="shared" si="3"/>
        <v>4.3571314626193152</v>
      </c>
      <c r="AA10">
        <f t="shared" si="4"/>
        <v>-2.8685373806851544E-3</v>
      </c>
      <c r="AB10" s="2">
        <f t="shared" si="2"/>
        <v>68.451999999999998</v>
      </c>
    </row>
    <row r="11" spans="1:28" x14ac:dyDescent="0.25">
      <c r="B11" t="s">
        <v>6</v>
      </c>
      <c r="C11" s="3">
        <v>1.3806490000000001E-23</v>
      </c>
      <c r="D11" t="s">
        <v>9</v>
      </c>
      <c r="E11" t="s">
        <v>6</v>
      </c>
      <c r="F11" s="3">
        <v>1.3806490000000001E-23</v>
      </c>
      <c r="G11" t="s">
        <v>9</v>
      </c>
      <c r="H11" t="s">
        <v>6</v>
      </c>
      <c r="I11" s="3">
        <v>1.3806490000000001E-23</v>
      </c>
      <c r="J11" t="s">
        <v>9</v>
      </c>
      <c r="K11" t="s">
        <v>6</v>
      </c>
      <c r="L11" s="3">
        <v>1.3806490000000001E-23</v>
      </c>
      <c r="M11" t="s">
        <v>9</v>
      </c>
      <c r="N11" t="s">
        <v>6</v>
      </c>
      <c r="O11" s="3">
        <v>1.3806490000000001E-23</v>
      </c>
      <c r="P11" t="s">
        <v>9</v>
      </c>
      <c r="X11">
        <v>15.8</v>
      </c>
      <c r="Y11" s="2">
        <v>4.33</v>
      </c>
      <c r="Z11" s="2">
        <f t="shared" si="3"/>
        <v>4.3264876520280433</v>
      </c>
      <c r="AA11">
        <f t="shared" si="4"/>
        <v>-3.5123479719567641E-3</v>
      </c>
      <c r="AB11" s="2">
        <f t="shared" si="2"/>
        <v>68.414000000000001</v>
      </c>
    </row>
    <row r="12" spans="1:28" x14ac:dyDescent="0.25">
      <c r="B12" t="s">
        <v>7</v>
      </c>
      <c r="C12" s="3">
        <v>1.6021766339999999E-19</v>
      </c>
      <c r="D12" t="s">
        <v>8</v>
      </c>
      <c r="E12" t="s">
        <v>7</v>
      </c>
      <c r="F12" s="3">
        <v>1.6021766339999999E-19</v>
      </c>
      <c r="G12" t="s">
        <v>8</v>
      </c>
      <c r="H12" t="s">
        <v>7</v>
      </c>
      <c r="I12" s="3">
        <v>1.6021766339999999E-19</v>
      </c>
      <c r="J12" t="s">
        <v>8</v>
      </c>
      <c r="K12" t="s">
        <v>7</v>
      </c>
      <c r="L12" s="3">
        <v>1.6021766339999999E-19</v>
      </c>
      <c r="M12" t="s">
        <v>8</v>
      </c>
      <c r="N12" t="s">
        <v>7</v>
      </c>
      <c r="O12" s="3">
        <v>1.6021766339999999E-19</v>
      </c>
      <c r="P12" t="s">
        <v>8</v>
      </c>
      <c r="X12">
        <v>15.9</v>
      </c>
      <c r="Y12" s="2">
        <v>4.29</v>
      </c>
      <c r="Z12" s="2">
        <f t="shared" si="3"/>
        <v>4.2946686934880098</v>
      </c>
      <c r="AA12">
        <f t="shared" si="4"/>
        <v>4.6686934880098008E-3</v>
      </c>
      <c r="AB12" s="2">
        <f t="shared" si="2"/>
        <v>68.210999999999999</v>
      </c>
    </row>
    <row r="13" spans="1:28" x14ac:dyDescent="0.25">
      <c r="B13" t="s">
        <v>44</v>
      </c>
      <c r="C13" s="1">
        <v>1.1200000000000001</v>
      </c>
      <c r="E13" t="s">
        <v>44</v>
      </c>
      <c r="F13" s="1">
        <v>1.1200000000000001</v>
      </c>
      <c r="H13" t="s">
        <v>44</v>
      </c>
      <c r="I13" s="1">
        <v>0.85</v>
      </c>
      <c r="K13" t="s">
        <v>44</v>
      </c>
      <c r="L13" s="1">
        <v>0.85</v>
      </c>
      <c r="N13" t="s">
        <v>39</v>
      </c>
      <c r="O13" s="1">
        <v>2</v>
      </c>
      <c r="X13">
        <v>16</v>
      </c>
      <c r="Y13" s="2">
        <v>4.2587823295722993</v>
      </c>
      <c r="Z13" s="2">
        <f>$O$20-$O$21*(EXP((X13+Y13*$O$26)/$O$14)-1)-(X13+Y13*$O$26)/$O$24</f>
        <v>4.2588170822549065</v>
      </c>
      <c r="AA13">
        <f>Z13-Y13</f>
        <v>3.4752682607219754E-5</v>
      </c>
      <c r="AB13" s="2">
        <f>Y13*X13</f>
        <v>68.140517273156789</v>
      </c>
    </row>
    <row r="14" spans="1:28" x14ac:dyDescent="0.25">
      <c r="B14" t="s">
        <v>13</v>
      </c>
      <c r="C14" s="2">
        <f>C11*C10*C25*C9/C12</f>
        <v>1.9423589815540903</v>
      </c>
      <c r="E14" t="s">
        <v>13</v>
      </c>
      <c r="F14" s="2">
        <f>F11*F10*F25*F9/F12</f>
        <v>2.4048254057336358</v>
      </c>
      <c r="H14" t="s">
        <v>13</v>
      </c>
      <c r="I14" s="2">
        <f>I11*I10*I25*I9/I12</f>
        <v>4.2392755549791659</v>
      </c>
      <c r="K14" t="s">
        <v>13</v>
      </c>
      <c r="L14" s="2">
        <f>L11*L10*L25*L9/L12</f>
        <v>4.2392755549791659</v>
      </c>
      <c r="N14" t="s">
        <v>13</v>
      </c>
      <c r="O14" s="2">
        <f>O11*O10*O25*O9/O12</f>
        <v>1.0442491857974132</v>
      </c>
      <c r="X14">
        <v>16.5</v>
      </c>
      <c r="Y14" s="2">
        <v>4.04</v>
      </c>
      <c r="Z14" s="2">
        <f>$O$20-$O$21*(EXP((X14+Y14*$O$26)/$O$14)-1)-(X14+Y14*$O$26)/$O$24</f>
        <v>4.0423350677853032</v>
      </c>
      <c r="AA14">
        <f>Z14-Y14</f>
        <v>2.3350677853031243E-3</v>
      </c>
      <c r="AB14" s="2">
        <f>Y14*X14</f>
        <v>66.66</v>
      </c>
    </row>
    <row r="15" spans="1:28" x14ac:dyDescent="0.25">
      <c r="A15" t="s">
        <v>19</v>
      </c>
      <c r="B15" t="s">
        <v>15</v>
      </c>
      <c r="C15" s="2">
        <f>C3/C14</f>
        <v>22.507682882090638</v>
      </c>
      <c r="E15" t="s">
        <v>15</v>
      </c>
      <c r="F15" s="2">
        <f>F3/F14</f>
        <v>20.171110919048925</v>
      </c>
      <c r="H15" t="s">
        <v>15</v>
      </c>
      <c r="I15" s="2">
        <f>I3/I14</f>
        <v>21.434558528113083</v>
      </c>
      <c r="K15" t="s">
        <v>15</v>
      </c>
      <c r="L15" s="2">
        <f>L3/L14</f>
        <v>18.890255884862754</v>
      </c>
      <c r="N15" t="s">
        <v>15</v>
      </c>
      <c r="O15" s="2">
        <f>O3/O14</f>
        <v>19.238703054059652</v>
      </c>
    </row>
    <row r="16" spans="1:28" x14ac:dyDescent="0.25">
      <c r="B16" t="s">
        <v>5</v>
      </c>
      <c r="C16" s="2">
        <f>(C15-LN(C15+0.72))/(C15+1)</f>
        <v>0.82366000018758234</v>
      </c>
      <c r="E16" t="s">
        <v>5</v>
      </c>
      <c r="F16" s="2">
        <f>(F15-LN(F15+0.72))/(F15+1)</f>
        <v>0.80920586694455066</v>
      </c>
      <c r="H16" t="s">
        <v>5</v>
      </c>
      <c r="I16" s="2">
        <f>(I15-LN(I15+0.72))/(I15+1)</f>
        <v>0.81733345575733141</v>
      </c>
      <c r="K16" t="s">
        <v>5</v>
      </c>
      <c r="L16" s="2">
        <f>(L15-LN(L15+0.72))/(L15+1)</f>
        <v>0.80010047573889209</v>
      </c>
      <c r="N16" t="s">
        <v>5</v>
      </c>
      <c r="O16" s="2">
        <f>(O15-LN(O15+0.72))/(O15+1)</f>
        <v>0.80267187670804818</v>
      </c>
    </row>
    <row r="17" spans="2:18" x14ac:dyDescent="0.25">
      <c r="B17" t="s">
        <v>14</v>
      </c>
      <c r="C17" s="2">
        <f>C6*C5/C4/C3</f>
        <v>0.79406131255036849</v>
      </c>
      <c r="E17" t="s">
        <v>14</v>
      </c>
      <c r="F17" s="2">
        <f>F6*F5/F4/F3</f>
        <v>0.36180126949907726</v>
      </c>
      <c r="H17" t="s">
        <v>14</v>
      </c>
      <c r="I17" s="2">
        <f>I6*I5/I4/I3</f>
        <v>0.63442313978287823</v>
      </c>
      <c r="K17" t="s">
        <v>14</v>
      </c>
      <c r="L17" s="2">
        <f>L6*L5/L4/L3</f>
        <v>0.48405080140500734</v>
      </c>
      <c r="N17" t="s">
        <v>14</v>
      </c>
      <c r="O17" s="2">
        <f>O6*O5/O4/O3</f>
        <v>0.72041032743956557</v>
      </c>
      <c r="R17" t="s">
        <v>37</v>
      </c>
    </row>
    <row r="18" spans="2:18" x14ac:dyDescent="0.25">
      <c r="B18" t="s">
        <v>16</v>
      </c>
      <c r="C18" s="2">
        <f>1-C17/C16</f>
        <v>3.5935565197378727E-2</v>
      </c>
      <c r="E18" t="s">
        <v>16</v>
      </c>
      <c r="F18" s="2">
        <f>1-F17/F16</f>
        <v>0.5528934177588346</v>
      </c>
      <c r="H18" t="s">
        <v>16</v>
      </c>
      <c r="I18" s="2">
        <f>1-I17/I16</f>
        <v>0.22378909695427884</v>
      </c>
      <c r="K18" t="s">
        <v>16</v>
      </c>
      <c r="L18" s="2">
        <f>1-L17/L16</f>
        <v>0.39501248145367385</v>
      </c>
      <c r="N18" t="s">
        <v>16</v>
      </c>
      <c r="O18" s="2">
        <f>1-O17/O16</f>
        <v>0.10248465363687231</v>
      </c>
      <c r="R18" t="s">
        <v>36</v>
      </c>
    </row>
    <row r="19" spans="2:18" x14ac:dyDescent="0.25">
      <c r="P19" t="s">
        <v>40</v>
      </c>
    </row>
    <row r="20" spans="2:18" x14ac:dyDescent="0.25">
      <c r="B20" t="s">
        <v>17</v>
      </c>
      <c r="C20" s="2">
        <f>C4*(1+C26/C22)</f>
        <v>6.0004209561823068</v>
      </c>
      <c r="E20" t="s">
        <v>17</v>
      </c>
      <c r="F20" s="2">
        <f>F4*(1+F26/F22)</f>
        <v>5.9987858652568002</v>
      </c>
      <c r="H20" t="s">
        <v>17</v>
      </c>
      <c r="I20" s="2">
        <f>I4*(1+I26/I22)</f>
        <v>1.2108381731076503</v>
      </c>
      <c r="K20" t="s">
        <v>17</v>
      </c>
      <c r="L20" s="2">
        <f>L4*(1+L26/L22)</f>
        <v>1.2358620453332398</v>
      </c>
      <c r="N20" t="s">
        <v>17</v>
      </c>
      <c r="O20" s="2">
        <f>O4*(1+O26/O22)</f>
        <v>4.8456583319276145</v>
      </c>
      <c r="P20" s="2">
        <f>O20/O13</f>
        <v>2.4228291659638073</v>
      </c>
    </row>
    <row r="21" spans="2:18" x14ac:dyDescent="0.25">
      <c r="B21" t="s">
        <v>12</v>
      </c>
      <c r="C21" s="4">
        <f>(C4-(C3-C4*C26)/C22)*EXP(-C3/C14)</f>
        <v>1.0001000926015789E-9</v>
      </c>
      <c r="E21" t="s">
        <v>12</v>
      </c>
      <c r="F21" s="4">
        <f>(F4-(F3-F4*F26)/F22)*EXP(-F3/F14)</f>
        <v>9.9985533808419964E-9</v>
      </c>
      <c r="H21" t="s">
        <v>12</v>
      </c>
      <c r="I21" s="4">
        <f>(I4-(I3-I4*I26)/I22)*EXP(-I3/I14)</f>
        <v>5.0529947674868478E-10</v>
      </c>
      <c r="K21" t="s">
        <v>12</v>
      </c>
      <c r="L21" s="4">
        <f>(L4-(L3-L4*L26)/L22)*EXP(-L3/L14)</f>
        <v>5.2238444102418925E-9</v>
      </c>
      <c r="N21" t="s">
        <v>12</v>
      </c>
      <c r="O21" s="4">
        <f>(O4-(O3-O4*O26)/O22)*EXP(-O3/O14)</f>
        <v>2.0621846693361171E-8</v>
      </c>
      <c r="P21" s="4">
        <f>O21/O13</f>
        <v>1.0310923346680585E-8</v>
      </c>
    </row>
    <row r="22" spans="2:18" x14ac:dyDescent="0.25">
      <c r="B22" t="s">
        <v>32</v>
      </c>
      <c r="C22">
        <v>1000</v>
      </c>
      <c r="E22" t="s">
        <v>32</v>
      </c>
      <c r="F22">
        <v>200</v>
      </c>
      <c r="H22" t="s">
        <v>32</v>
      </c>
      <c r="I22">
        <v>500</v>
      </c>
      <c r="K22" t="s">
        <v>32</v>
      </c>
      <c r="L22">
        <v>200</v>
      </c>
      <c r="N22" t="s">
        <v>41</v>
      </c>
      <c r="O22" s="6">
        <f>6.462*O9/O13</f>
        <v>116.316</v>
      </c>
    </row>
    <row r="23" spans="2:18" x14ac:dyDescent="0.25">
      <c r="B23" t="s">
        <v>69</v>
      </c>
      <c r="C23" s="11">
        <f>C5/(0.2*(C4-C6))</f>
        <v>536.73469387755108</v>
      </c>
      <c r="E23" t="s">
        <v>69</v>
      </c>
      <c r="F23" s="11">
        <f>F5/(0.2*(F4-F6))</f>
        <v>69.686477644492882</v>
      </c>
      <c r="H23" t="s">
        <v>69</v>
      </c>
      <c r="I23" s="11">
        <f>I5/(0.2*(I4-I6))</f>
        <v>1764.4387755102034</v>
      </c>
      <c r="K23" t="s">
        <v>69</v>
      </c>
      <c r="L23" s="11">
        <f>L5/(0.2*(L4-L6))</f>
        <v>882.04918032786895</v>
      </c>
      <c r="N23" t="s">
        <v>69</v>
      </c>
      <c r="O23" s="11">
        <f>O5/(0.2*(O4-O6))</f>
        <v>177.33333333333326</v>
      </c>
    </row>
    <row r="24" spans="2:18" x14ac:dyDescent="0.25">
      <c r="B24" t="s">
        <v>81</v>
      </c>
      <c r="C24" s="11">
        <f>(C5-C14)*(C5-C6*C26)/((C4-C6)*(C5-C6*C26)-C6*C14)</f>
        <v>1045.3743203649408</v>
      </c>
      <c r="E24" t="s">
        <v>81</v>
      </c>
      <c r="F24" s="11">
        <f>(F5-F14)*(F5-F6*F26)/((F4-F6)*(F5-F6*F26)-F6*F14)</f>
        <v>502.85821527566816</v>
      </c>
      <c r="H24" t="s">
        <v>81</v>
      </c>
      <c r="I24" s="11">
        <f>(I5-I14)*(I5-I6*I26)/((I4-I6)*(I5-I6*I26)-I6*I14)</f>
        <v>538.92224217169814</v>
      </c>
      <c r="K24" t="s">
        <v>81</v>
      </c>
      <c r="L24" s="11">
        <f>(L5-L14)*(L5-L6*L26)/((L4-L6)*(L5-L6*L26)-L6*L14)</f>
        <v>243.18376863026791</v>
      </c>
      <c r="N24" t="s">
        <v>81</v>
      </c>
      <c r="O24" s="11">
        <f>(O5-O14)*(O5-O6*O26)/((O4-O6)*(O5-O6*O26)-O6*O14)</f>
        <v>114.43705534573161</v>
      </c>
    </row>
    <row r="25" spans="2:18" x14ac:dyDescent="0.25">
      <c r="B25" t="s">
        <v>30</v>
      </c>
      <c r="C25" s="1">
        <v>1.05</v>
      </c>
      <c r="D25" t="s">
        <v>25</v>
      </c>
      <c r="E25" t="s">
        <v>30</v>
      </c>
      <c r="F25" s="1">
        <v>1.3</v>
      </c>
      <c r="G25" t="s">
        <v>25</v>
      </c>
      <c r="H25" t="s">
        <v>30</v>
      </c>
      <c r="I25" s="1">
        <v>1.5</v>
      </c>
      <c r="J25" t="s">
        <v>25</v>
      </c>
      <c r="K25" t="s">
        <v>30</v>
      </c>
      <c r="L25" s="1">
        <v>1.5</v>
      </c>
      <c r="M25" t="s">
        <v>25</v>
      </c>
      <c r="N25" t="s">
        <v>42</v>
      </c>
      <c r="O25" s="5">
        <v>1.129</v>
      </c>
      <c r="P25" t="s">
        <v>25</v>
      </c>
    </row>
    <row r="26" spans="2:18" x14ac:dyDescent="0.25">
      <c r="B26" t="s">
        <v>24</v>
      </c>
      <c r="C26" s="2">
        <f>(C3-C5+C14*LN(1-C6/C4))/C6</f>
        <v>0.2368655079691189</v>
      </c>
      <c r="D26" s="9">
        <f>(C26-C$29)/C$29</f>
        <v>0.18432753984559444</v>
      </c>
      <c r="E26" t="s">
        <v>24</v>
      </c>
      <c r="F26" s="2">
        <f>(F3-F5+F14*LN(1-F6/F4))/F6</f>
        <v>5.0166051010526571</v>
      </c>
      <c r="G26" s="9">
        <f>(F26-F$29)/F$29</f>
        <v>3.3210202105314222E-3</v>
      </c>
      <c r="H26" t="s">
        <v>24</v>
      </c>
      <c r="I26" s="2">
        <f>(I3-I5+I14*LN(1-I6/I4))/I6</f>
        <v>14.374754931032371</v>
      </c>
      <c r="J26" s="9">
        <f>(I26-I$29)/I$29</f>
        <v>0.43747549310323708</v>
      </c>
      <c r="K26" t="s">
        <v>24</v>
      </c>
      <c r="L26" s="2">
        <f>(L3-L5+L14*LN(1-L6/L4))/L6</f>
        <v>26.555828658705778</v>
      </c>
      <c r="M26" s="9">
        <f>(L26-L$29)/L$29</f>
        <v>0.3277914329352889</v>
      </c>
      <c r="N26" t="s">
        <v>24</v>
      </c>
      <c r="O26" s="2">
        <f>(O3-O5+O14*LN(1-O6/O4))/O6</f>
        <v>0.37708375496736457</v>
      </c>
      <c r="P26" s="9">
        <f>(O26-O$29)/O$29</f>
        <v>0.3728111073516987</v>
      </c>
      <c r="R26" t="s">
        <v>35</v>
      </c>
    </row>
    <row r="27" spans="2:18" x14ac:dyDescent="0.25">
      <c r="B27" t="s">
        <v>23</v>
      </c>
      <c r="C27" s="2">
        <f>(1-C17/C16)*C3/C4</f>
        <v>0.26188215357542977</v>
      </c>
      <c r="D27" s="9">
        <f t="shared" ref="D27:D28" si="5">(C27-C$29)/C$29</f>
        <v>0.30941076787714877</v>
      </c>
      <c r="E27" t="s">
        <v>23</v>
      </c>
      <c r="F27" s="2">
        <f>(1-F17/F16)*F3/F4</f>
        <v>4.5830064778956849</v>
      </c>
      <c r="G27" s="9">
        <f t="shared" ref="G27:G28" si="6">(F27-F$29)/F$29</f>
        <v>-8.3398704420863015E-2</v>
      </c>
      <c r="H27" t="s">
        <v>23</v>
      </c>
      <c r="I27" s="2">
        <f>(1-I17/I16)*I3/I4</f>
        <v>17.277012636316446</v>
      </c>
      <c r="J27" s="9">
        <f t="shared" ref="J27:J28" si="7">(I27-I$29)/I$29</f>
        <v>0.72770126363164456</v>
      </c>
      <c r="K27" t="s">
        <v>23</v>
      </c>
      <c r="L27" s="2">
        <f>(1-L17/L16)*L3/L4</f>
        <v>28.994495442063847</v>
      </c>
      <c r="M27" s="9">
        <f t="shared" ref="M27:M28" si="8">(L27-L$29)/L$29</f>
        <v>0.44972477210319239</v>
      </c>
      <c r="N27" t="s">
        <v>23</v>
      </c>
      <c r="O27" s="2">
        <f>(1-O17/O16)*O3/O4</f>
        <v>0.42627674773597618</v>
      </c>
      <c r="P27" s="9">
        <f t="shared" ref="P27:P28" si="9">(O27-O$29)/O$29</f>
        <v>0.55190311539237003</v>
      </c>
    </row>
    <row r="28" spans="2:18" x14ac:dyDescent="0.25">
      <c r="B28" t="s">
        <v>34</v>
      </c>
      <c r="C28" s="2">
        <f>(C3-C5+C14*LN(1+C6/C4))/C6</f>
        <v>1.4476667465475845</v>
      </c>
      <c r="D28" s="9">
        <f t="shared" si="5"/>
        <v>6.2383337327379227</v>
      </c>
      <c r="E28" t="s">
        <v>34</v>
      </c>
      <c r="F28" s="2">
        <f>(F3-F5+F14*LN(1+F6/F4))/F6</f>
        <v>6.0239028390393941</v>
      </c>
      <c r="G28" s="9">
        <f t="shared" si="6"/>
        <v>0.20478056780787882</v>
      </c>
      <c r="H28" t="s">
        <v>34</v>
      </c>
      <c r="I28" s="2">
        <f>(I3-I5+I14*LN(1+I6/I4))/I6</f>
        <v>24.74098278844826</v>
      </c>
      <c r="J28" s="9">
        <f t="shared" si="7"/>
        <v>1.474098278844826</v>
      </c>
      <c r="K28" t="s">
        <v>34</v>
      </c>
      <c r="L28" s="2">
        <f>(L3-L5+L14*LN(1+L6/L4))/L6</f>
        <v>36.356420287249883</v>
      </c>
      <c r="M28" s="9">
        <f t="shared" si="8"/>
        <v>0.8178210143624941</v>
      </c>
      <c r="N28" t="s">
        <v>34</v>
      </c>
      <c r="O28" s="2">
        <f>(O3-O5+O14*LN(1+O6/O4))/O6</f>
        <v>1.0968045038267653</v>
      </c>
      <c r="P28" s="9">
        <f t="shared" si="9"/>
        <v>2.9930264446875103</v>
      </c>
    </row>
    <row r="29" spans="2:18" x14ac:dyDescent="0.25">
      <c r="B29" t="s">
        <v>31</v>
      </c>
      <c r="C29">
        <v>0.2</v>
      </c>
      <c r="D29" s="9"/>
      <c r="E29" t="s">
        <v>31</v>
      </c>
      <c r="F29">
        <v>5</v>
      </c>
      <c r="H29" t="s">
        <v>31</v>
      </c>
      <c r="I29">
        <v>10</v>
      </c>
      <c r="K29" t="s">
        <v>31</v>
      </c>
      <c r="L29">
        <v>20</v>
      </c>
      <c r="N29" t="s">
        <v>43</v>
      </c>
      <c r="O29" s="2">
        <f>0.01526*O9/O13</f>
        <v>0.27467999999999998</v>
      </c>
      <c r="P29" s="9"/>
    </row>
    <row r="31" spans="2:18" x14ac:dyDescent="0.25">
      <c r="B31" s="10" t="s">
        <v>63</v>
      </c>
    </row>
    <row r="33" spans="1:30" x14ac:dyDescent="0.25">
      <c r="B33" t="s">
        <v>64</v>
      </c>
      <c r="C33" t="s">
        <v>53</v>
      </c>
      <c r="H33" s="10" t="s">
        <v>64</v>
      </c>
      <c r="I33" t="s">
        <v>66</v>
      </c>
      <c r="N33" s="10" t="s">
        <v>64</v>
      </c>
      <c r="O33" t="s">
        <v>72</v>
      </c>
      <c r="T33" s="10" t="s">
        <v>64</v>
      </c>
      <c r="U33" t="s">
        <v>66</v>
      </c>
      <c r="Z33" s="10" t="s">
        <v>64</v>
      </c>
      <c r="AA33" s="24" t="s">
        <v>85</v>
      </c>
    </row>
    <row r="34" spans="1:30" x14ac:dyDescent="0.25">
      <c r="B34" t="s">
        <v>60</v>
      </c>
      <c r="C34" s="10" t="s">
        <v>54</v>
      </c>
      <c r="H34" s="10" t="s">
        <v>60</v>
      </c>
      <c r="I34" t="s">
        <v>65</v>
      </c>
      <c r="N34" s="10" t="s">
        <v>60</v>
      </c>
      <c r="O34" t="s">
        <v>73</v>
      </c>
      <c r="T34" s="10" t="s">
        <v>60</v>
      </c>
      <c r="U34" t="s">
        <v>83</v>
      </c>
      <c r="Z34" s="10" t="s">
        <v>60</v>
      </c>
      <c r="AA34" s="24" t="s">
        <v>82</v>
      </c>
    </row>
    <row r="35" spans="1:30" x14ac:dyDescent="0.25">
      <c r="B35" t="s">
        <v>49</v>
      </c>
      <c r="C35" s="5">
        <f>1.678*0.991</f>
        <v>1.662898</v>
      </c>
      <c r="D35" t="s">
        <v>52</v>
      </c>
      <c r="H35" s="10" t="s">
        <v>49</v>
      </c>
      <c r="I35" s="5">
        <f>1.692*1.029</f>
        <v>1.7410679999999998</v>
      </c>
      <c r="J35" t="s">
        <v>52</v>
      </c>
      <c r="N35" s="10" t="s">
        <v>49</v>
      </c>
      <c r="O35" s="5">
        <f>2.063*1.026</f>
        <v>2.116638</v>
      </c>
      <c r="P35" t="s">
        <v>52</v>
      </c>
      <c r="T35" s="10" t="s">
        <v>49</v>
      </c>
      <c r="U35" s="5">
        <f>2.008*1.002</f>
        <v>2.012016</v>
      </c>
      <c r="V35" t="s">
        <v>52</v>
      </c>
      <c r="Z35" s="10" t="s">
        <v>49</v>
      </c>
      <c r="AA35" s="5">
        <f>1.686*1.016</f>
        <v>1.7129760000000001</v>
      </c>
      <c r="AB35" t="s">
        <v>52</v>
      </c>
    </row>
    <row r="36" spans="1:30" x14ac:dyDescent="0.25">
      <c r="A36" t="s">
        <v>79</v>
      </c>
      <c r="B36" t="s">
        <v>50</v>
      </c>
      <c r="C36">
        <v>35</v>
      </c>
      <c r="D36" t="s">
        <v>51</v>
      </c>
      <c r="H36" s="10" t="s">
        <v>50</v>
      </c>
      <c r="I36">
        <v>30</v>
      </c>
      <c r="J36" t="s">
        <v>51</v>
      </c>
      <c r="N36" s="10" t="s">
        <v>50</v>
      </c>
      <c r="O36">
        <v>35</v>
      </c>
      <c r="P36" t="s">
        <v>51</v>
      </c>
      <c r="T36" s="10" t="s">
        <v>50</v>
      </c>
      <c r="U36">
        <v>40</v>
      </c>
      <c r="V36" t="s">
        <v>51</v>
      </c>
      <c r="Z36" s="10" t="s">
        <v>50</v>
      </c>
      <c r="AA36">
        <v>40</v>
      </c>
      <c r="AB36" t="s">
        <v>51</v>
      </c>
    </row>
    <row r="37" spans="1:30" x14ac:dyDescent="0.25">
      <c r="A37" s="7">
        <v>1000</v>
      </c>
      <c r="B37" t="s">
        <v>0</v>
      </c>
      <c r="C37" s="1">
        <v>40.22</v>
      </c>
      <c r="D37" s="2">
        <f>C37/C46</f>
        <v>0.67033333333333334</v>
      </c>
      <c r="H37" s="10" t="s">
        <v>0</v>
      </c>
      <c r="I37" s="1">
        <v>42.77</v>
      </c>
      <c r="J37" s="2">
        <f>I37/I46</f>
        <v>0.71283333333333343</v>
      </c>
      <c r="N37" s="10" t="s">
        <v>0</v>
      </c>
      <c r="O37">
        <v>53.2</v>
      </c>
      <c r="P37" s="2">
        <f>O37/O46</f>
        <v>0.73888888888888893</v>
      </c>
      <c r="T37" s="10" t="s">
        <v>0</v>
      </c>
      <c r="U37" s="24">
        <v>49.3</v>
      </c>
      <c r="V37" s="2">
        <f>U37/U46</f>
        <v>0.68472222222222223</v>
      </c>
      <c r="Z37" s="10" t="s">
        <v>0</v>
      </c>
      <c r="AA37" s="24">
        <v>41.2</v>
      </c>
      <c r="AB37" s="2">
        <f>AA37/AA46</f>
        <v>0.68666666666666676</v>
      </c>
    </row>
    <row r="38" spans="1:30" x14ac:dyDescent="0.25">
      <c r="A38" t="s">
        <v>80</v>
      </c>
      <c r="B38" t="s">
        <v>1</v>
      </c>
      <c r="C38" s="1">
        <v>10.16</v>
      </c>
      <c r="E38" s="3"/>
      <c r="H38" s="10" t="s">
        <v>1</v>
      </c>
      <c r="I38" s="1">
        <v>11.63</v>
      </c>
      <c r="K38" s="3"/>
      <c r="N38" s="10" t="s">
        <v>1</v>
      </c>
      <c r="O38">
        <v>10.43</v>
      </c>
      <c r="T38" s="10" t="s">
        <v>1</v>
      </c>
      <c r="U38" s="24">
        <v>10.119999999999999</v>
      </c>
      <c r="W38" s="3"/>
      <c r="Z38" s="10" t="s">
        <v>1</v>
      </c>
      <c r="AA38" s="24">
        <v>10.57</v>
      </c>
      <c r="AC38" s="3"/>
    </row>
    <row r="39" spans="1:30" x14ac:dyDescent="0.25">
      <c r="A39" s="7">
        <v>25</v>
      </c>
      <c r="B39" t="s">
        <v>2</v>
      </c>
      <c r="C39" s="6">
        <v>33.340000000000003</v>
      </c>
      <c r="D39" s="9">
        <f>C39/C37</f>
        <v>0.82894082545997028</v>
      </c>
      <c r="H39" s="10" t="s">
        <v>2</v>
      </c>
      <c r="I39" s="6">
        <v>34.770000000000003</v>
      </c>
      <c r="J39" s="9">
        <f>I39/I37</f>
        <v>0.81295300444236618</v>
      </c>
      <c r="M39" s="9"/>
      <c r="N39" s="10" t="s">
        <v>2</v>
      </c>
      <c r="O39">
        <v>46.3</v>
      </c>
      <c r="P39" s="9">
        <f>O39/O37</f>
        <v>0.87030075187969913</v>
      </c>
      <c r="T39" s="10" t="s">
        <v>2</v>
      </c>
      <c r="U39" s="24">
        <v>41.1</v>
      </c>
      <c r="V39" s="9">
        <f>U39/U37</f>
        <v>0.83367139959432057</v>
      </c>
      <c r="Z39" s="10" t="s">
        <v>2</v>
      </c>
      <c r="AA39" s="24">
        <v>34.9</v>
      </c>
      <c r="AB39" s="9">
        <f>AA39/AA37</f>
        <v>0.84708737864077666</v>
      </c>
    </row>
    <row r="40" spans="1:30" x14ac:dyDescent="0.25">
      <c r="B40" t="s">
        <v>3</v>
      </c>
      <c r="C40" s="6">
        <v>9.6</v>
      </c>
      <c r="H40" s="10" t="s">
        <v>3</v>
      </c>
      <c r="I40" s="6">
        <v>10.93</v>
      </c>
      <c r="N40" s="10" t="s">
        <v>3</v>
      </c>
      <c r="O40">
        <v>9.7200000000000006</v>
      </c>
      <c r="T40" s="10" t="s">
        <v>3</v>
      </c>
      <c r="U40" s="24">
        <v>9.49</v>
      </c>
      <c r="Z40" s="10" t="s">
        <v>3</v>
      </c>
      <c r="AA40" s="24">
        <v>9.89</v>
      </c>
    </row>
    <row r="41" spans="1:30" x14ac:dyDescent="0.25">
      <c r="B41" t="s">
        <v>55</v>
      </c>
      <c r="C41" s="11">
        <f>C39*C40</f>
        <v>320.06400000000002</v>
      </c>
      <c r="D41" s="7" t="s">
        <v>48</v>
      </c>
      <c r="H41" t="s">
        <v>55</v>
      </c>
      <c r="I41" s="11">
        <f>I39*I40</f>
        <v>380.03610000000003</v>
      </c>
      <c r="J41" s="17" t="s">
        <v>48</v>
      </c>
      <c r="N41" t="s">
        <v>55</v>
      </c>
      <c r="O41" s="11">
        <f>O39*O40</f>
        <v>450.036</v>
      </c>
      <c r="P41" s="17" t="s">
        <v>48</v>
      </c>
      <c r="T41" t="s">
        <v>55</v>
      </c>
      <c r="U41" s="11">
        <f>U39*U40</f>
        <v>390.03900000000004</v>
      </c>
      <c r="V41" s="17" t="s">
        <v>48</v>
      </c>
      <c r="Z41" t="s">
        <v>55</v>
      </c>
      <c r="AA41" s="11">
        <f>AA39*AA40</f>
        <v>345.161</v>
      </c>
      <c r="AB41" s="17" t="s">
        <v>48</v>
      </c>
    </row>
    <row r="42" spans="1:30" x14ac:dyDescent="0.25">
      <c r="B42" t="s">
        <v>28</v>
      </c>
      <c r="C42" s="13">
        <f>D42*C37/100</f>
        <v>-0.11623579999999999</v>
      </c>
      <c r="D42" s="8">
        <v>-0.28899999999999998</v>
      </c>
      <c r="H42" s="10" t="s">
        <v>28</v>
      </c>
      <c r="I42" s="13">
        <f>J42*I37/100</f>
        <v>-0.11975600000000002</v>
      </c>
      <c r="J42" s="18">
        <v>-0.28000000000000003</v>
      </c>
      <c r="N42" s="10" t="s">
        <v>28</v>
      </c>
      <c r="O42">
        <v>-0.12501999999999999</v>
      </c>
      <c r="P42" s="18">
        <f>O42/O37*100</f>
        <v>-0.23499999999999996</v>
      </c>
      <c r="T42" s="10" t="s">
        <v>28</v>
      </c>
      <c r="U42" s="13">
        <f>V42*U37/100</f>
        <v>-0.14296999999999999</v>
      </c>
      <c r="V42" s="18">
        <v>-0.28999999999999998</v>
      </c>
      <c r="Z42" s="10" t="s">
        <v>28</v>
      </c>
      <c r="AA42" s="13">
        <f>AB42*AA37/100</f>
        <v>-0.10712000000000002</v>
      </c>
      <c r="AB42" s="18">
        <v>-0.26</v>
      </c>
    </row>
    <row r="43" spans="1:30" x14ac:dyDescent="0.25">
      <c r="B43" t="s">
        <v>27</v>
      </c>
      <c r="C43" s="12">
        <f>D43*C38/100</f>
        <v>5.1815999999999997E-3</v>
      </c>
      <c r="D43" s="8">
        <v>5.0999999999999997E-2</v>
      </c>
      <c r="H43" s="10" t="s">
        <v>27</v>
      </c>
      <c r="I43" s="12">
        <f>J43*I38/100</f>
        <v>5.5824000000000004E-3</v>
      </c>
      <c r="J43" s="18">
        <v>4.8000000000000001E-2</v>
      </c>
      <c r="N43" s="10" t="s">
        <v>27</v>
      </c>
      <c r="O43">
        <v>3.0247E-3</v>
      </c>
      <c r="P43" s="18">
        <f>O43/O38*100</f>
        <v>2.9000000000000001E-2</v>
      </c>
      <c r="T43" s="10" t="s">
        <v>27</v>
      </c>
      <c r="U43" s="12">
        <f>V43*U38/100</f>
        <v>4.8576000000000001E-3</v>
      </c>
      <c r="V43" s="18">
        <v>4.8000000000000001E-2</v>
      </c>
      <c r="Z43" s="10" t="s">
        <v>27</v>
      </c>
      <c r="AA43" s="12">
        <f>AB43*AA38/100</f>
        <v>3.1709999999999998E-3</v>
      </c>
      <c r="AB43" s="18">
        <v>0.03</v>
      </c>
    </row>
    <row r="44" spans="1:30" x14ac:dyDescent="0.25">
      <c r="B44" s="19" t="s">
        <v>67</v>
      </c>
      <c r="C44" s="12">
        <f>D44*C41/100</f>
        <v>-1.1522303999999999</v>
      </c>
      <c r="D44" s="20">
        <v>-0.36</v>
      </c>
      <c r="H44" s="10" t="s">
        <v>67</v>
      </c>
      <c r="I44" s="12">
        <f>J44*I41/100</f>
        <v>-1.2921227400000002</v>
      </c>
      <c r="J44" s="18">
        <v>-0.34</v>
      </c>
      <c r="N44" s="10" t="s">
        <v>67</v>
      </c>
      <c r="O44" s="12">
        <f>P44*O41/100</f>
        <v>-1.2240979200000002</v>
      </c>
      <c r="P44">
        <v>-0.27200000000000002</v>
      </c>
      <c r="T44" s="10" t="s">
        <v>67</v>
      </c>
      <c r="U44" s="12">
        <f>V44*U41/100</f>
        <v>-1.3651365000000002</v>
      </c>
      <c r="V44" s="18">
        <v>-0.35</v>
      </c>
      <c r="Z44" s="10" t="s">
        <v>67</v>
      </c>
      <c r="AA44" s="12">
        <f>AB44*AA41/100</f>
        <v>-1.2425796</v>
      </c>
      <c r="AB44" s="18">
        <v>-0.36</v>
      </c>
    </row>
    <row r="45" spans="1:30" x14ac:dyDescent="0.25">
      <c r="B45" t="s">
        <v>56</v>
      </c>
      <c r="C45">
        <v>45</v>
      </c>
      <c r="H45" s="10" t="s">
        <v>56</v>
      </c>
      <c r="I45">
        <v>45</v>
      </c>
      <c r="N45" s="10" t="s">
        <v>56</v>
      </c>
      <c r="O45">
        <v>45.2</v>
      </c>
      <c r="T45" s="10" t="s">
        <v>56</v>
      </c>
      <c r="U45">
        <v>45</v>
      </c>
      <c r="Z45" s="10" t="s">
        <v>56</v>
      </c>
      <c r="AA45">
        <v>42</v>
      </c>
    </row>
    <row r="46" spans="1:30" x14ac:dyDescent="0.25">
      <c r="B46" t="s">
        <v>4</v>
      </c>
      <c r="C46" s="1">
        <v>60</v>
      </c>
      <c r="H46" s="10" t="s">
        <v>4</v>
      </c>
      <c r="I46" s="1">
        <v>60</v>
      </c>
      <c r="N46" s="10" t="s">
        <v>4</v>
      </c>
      <c r="O46">
        <v>72</v>
      </c>
      <c r="T46" s="10" t="s">
        <v>4</v>
      </c>
      <c r="U46" s="1">
        <v>72</v>
      </c>
      <c r="Z46" s="10" t="s">
        <v>4</v>
      </c>
      <c r="AA46" s="1">
        <v>60</v>
      </c>
    </row>
    <row r="47" spans="1:30" x14ac:dyDescent="0.25">
      <c r="B47" t="s">
        <v>10</v>
      </c>
      <c r="C47" s="1">
        <v>298.14999999999998</v>
      </c>
      <c r="D47" t="s">
        <v>11</v>
      </c>
      <c r="E47" t="s">
        <v>56</v>
      </c>
      <c r="F47" s="1">
        <f>273.15+C45</f>
        <v>318.14999999999998</v>
      </c>
      <c r="H47" t="s">
        <v>10</v>
      </c>
      <c r="I47" s="1">
        <f>273.15+25</f>
        <v>298.14999999999998</v>
      </c>
      <c r="J47" t="s">
        <v>11</v>
      </c>
      <c r="K47" t="s">
        <v>56</v>
      </c>
      <c r="L47" s="1">
        <f>273.15+I45</f>
        <v>318.14999999999998</v>
      </c>
      <c r="N47" t="s">
        <v>10</v>
      </c>
      <c r="O47" s="1">
        <f>273.15+25</f>
        <v>298.14999999999998</v>
      </c>
      <c r="P47" t="s">
        <v>11</v>
      </c>
      <c r="Q47" t="s">
        <v>56</v>
      </c>
      <c r="R47" s="1">
        <f>273.15+O45</f>
        <v>318.34999999999997</v>
      </c>
      <c r="T47" t="s">
        <v>10</v>
      </c>
      <c r="U47" s="1">
        <f>273.15+25</f>
        <v>298.14999999999998</v>
      </c>
      <c r="V47" t="s">
        <v>11</v>
      </c>
      <c r="W47" t="s">
        <v>56</v>
      </c>
      <c r="X47" s="1">
        <f>273.15+U45</f>
        <v>318.14999999999998</v>
      </c>
      <c r="Z47" t="s">
        <v>10</v>
      </c>
      <c r="AA47" s="1">
        <f>273.15+25</f>
        <v>298.14999999999998</v>
      </c>
      <c r="AB47" t="s">
        <v>11</v>
      </c>
      <c r="AC47" t="s">
        <v>56</v>
      </c>
      <c r="AD47" s="1">
        <f>273.15+AA45</f>
        <v>315.14999999999998</v>
      </c>
    </row>
    <row r="48" spans="1:30" x14ac:dyDescent="0.25">
      <c r="B48" t="s">
        <v>6</v>
      </c>
      <c r="C48" s="3">
        <v>1.3806490000000001E-23</v>
      </c>
      <c r="D48" t="s">
        <v>9</v>
      </c>
      <c r="H48" t="s">
        <v>6</v>
      </c>
      <c r="I48" s="3">
        <v>1.3806490000000001E-23</v>
      </c>
      <c r="J48" t="s">
        <v>9</v>
      </c>
      <c r="N48" t="s">
        <v>6</v>
      </c>
      <c r="O48" s="3">
        <v>1.3806490000000001E-23</v>
      </c>
      <c r="P48" t="s">
        <v>9</v>
      </c>
      <c r="T48" t="s">
        <v>6</v>
      </c>
      <c r="U48" s="3">
        <v>1.3806490000000001E-23</v>
      </c>
      <c r="V48" t="s">
        <v>9</v>
      </c>
      <c r="Z48" t="s">
        <v>6</v>
      </c>
      <c r="AA48" s="3">
        <v>1.3806490000000001E-23</v>
      </c>
      <c r="AB48" t="s">
        <v>9</v>
      </c>
    </row>
    <row r="49" spans="1:30" x14ac:dyDescent="0.25">
      <c r="B49" t="s">
        <v>7</v>
      </c>
      <c r="C49" s="3">
        <v>1.6021766339999999E-19</v>
      </c>
      <c r="D49" t="s">
        <v>8</v>
      </c>
      <c r="H49" t="s">
        <v>7</v>
      </c>
      <c r="I49" s="3">
        <v>1.6021766339999999E-19</v>
      </c>
      <c r="J49" t="s">
        <v>8</v>
      </c>
      <c r="N49" t="s">
        <v>7</v>
      </c>
      <c r="O49" s="3">
        <v>1.6021766339999999E-19</v>
      </c>
      <c r="P49" t="s">
        <v>8</v>
      </c>
      <c r="T49" t="s">
        <v>7</v>
      </c>
      <c r="U49" s="3">
        <v>1.6021766339999999E-19</v>
      </c>
      <c r="V49" t="s">
        <v>8</v>
      </c>
      <c r="Z49" t="s">
        <v>7</v>
      </c>
      <c r="AA49" s="3">
        <v>1.6021766339999999E-19</v>
      </c>
      <c r="AB49" t="s">
        <v>8</v>
      </c>
    </row>
    <row r="50" spans="1:30" x14ac:dyDescent="0.25">
      <c r="B50" t="s">
        <v>44</v>
      </c>
      <c r="C50" s="1">
        <v>1.1200000000000001</v>
      </c>
      <c r="H50" s="21" t="s">
        <v>44</v>
      </c>
      <c r="I50" s="1">
        <v>1.1200000000000001</v>
      </c>
      <c r="N50" s="21" t="s">
        <v>44</v>
      </c>
      <c r="O50" s="1">
        <v>1.1200000000000001</v>
      </c>
      <c r="T50" s="21" t="s">
        <v>44</v>
      </c>
      <c r="U50" s="1">
        <v>1.1200000000000001</v>
      </c>
      <c r="Z50" s="21" t="s">
        <v>44</v>
      </c>
      <c r="AA50" s="1">
        <v>1.1200000000000001</v>
      </c>
    </row>
    <row r="51" spans="1:30" x14ac:dyDescent="0.25">
      <c r="A51" t="s">
        <v>57</v>
      </c>
      <c r="B51" t="s">
        <v>58</v>
      </c>
      <c r="C51">
        <v>-2.677E-4</v>
      </c>
      <c r="D51" t="s">
        <v>61</v>
      </c>
      <c r="E51" t="s">
        <v>47</v>
      </c>
      <c r="F51" t="s">
        <v>76</v>
      </c>
      <c r="H51" s="21" t="s">
        <v>58</v>
      </c>
      <c r="I51">
        <v>-2.677E-4</v>
      </c>
      <c r="J51" t="s">
        <v>61</v>
      </c>
      <c r="K51" t="s">
        <v>47</v>
      </c>
      <c r="L51" t="s">
        <v>76</v>
      </c>
      <c r="N51" s="21" t="s">
        <v>58</v>
      </c>
      <c r="O51">
        <v>-2.677E-4</v>
      </c>
      <c r="P51" t="s">
        <v>74</v>
      </c>
      <c r="Q51" t="s">
        <v>47</v>
      </c>
      <c r="R51" t="s">
        <v>76</v>
      </c>
      <c r="T51" s="21" t="s">
        <v>58</v>
      </c>
      <c r="U51">
        <v>-2.677E-4</v>
      </c>
      <c r="V51" t="s">
        <v>61</v>
      </c>
      <c r="W51" t="s">
        <v>47</v>
      </c>
      <c r="X51" t="s">
        <v>76</v>
      </c>
      <c r="Z51" s="21" t="s">
        <v>58</v>
      </c>
      <c r="AA51">
        <v>-2.677E-4</v>
      </c>
      <c r="AB51" t="s">
        <v>61</v>
      </c>
      <c r="AC51" t="s">
        <v>47</v>
      </c>
      <c r="AD51" t="s">
        <v>76</v>
      </c>
    </row>
    <row r="52" spans="1:30" x14ac:dyDescent="0.25">
      <c r="B52" t="s">
        <v>13</v>
      </c>
      <c r="C52" s="2">
        <f>C48*C47*C62*C46/C49</f>
        <v>1.541554747265151</v>
      </c>
      <c r="D52" s="2">
        <v>1.49854351108337</v>
      </c>
      <c r="E52" s="9">
        <f>(C52-D52)/D52</f>
        <v>2.8702026910574E-2</v>
      </c>
      <c r="F52" s="23">
        <f>C48*F47*C62*C46/C49</f>
        <v>1.6449627464108929</v>
      </c>
      <c r="H52" s="16" t="s">
        <v>13</v>
      </c>
      <c r="I52" s="2">
        <f>I48*I47*I62*I46/I49</f>
        <v>1.541554747265151</v>
      </c>
      <c r="J52" s="2">
        <v>1.5710577101527201</v>
      </c>
      <c r="K52" s="9">
        <f>(I52-J52)/J52</f>
        <v>-1.8779044650562973E-2</v>
      </c>
      <c r="L52" s="23">
        <f>I48*L47*I62*I46/I49</f>
        <v>1.6449627464108929</v>
      </c>
      <c r="N52" s="16" t="s">
        <v>13</v>
      </c>
      <c r="O52" s="2">
        <f>O48*O47*O62*O46/O49</f>
        <v>1.8498656967181812</v>
      </c>
      <c r="P52">
        <v>1.8093399999999999</v>
      </c>
      <c r="Q52" s="9">
        <f>(O52-P52)/P52</f>
        <v>2.2398054936154228E-2</v>
      </c>
      <c r="R52" s="23">
        <f>O48*R47*O62*O46/O49</f>
        <v>1.9751961916828205</v>
      </c>
      <c r="T52" s="16" t="s">
        <v>13</v>
      </c>
      <c r="U52" s="2">
        <f>U48*U47*U62*U46/U49</f>
        <v>1.8498656967181812</v>
      </c>
      <c r="V52" s="2">
        <v>1.84</v>
      </c>
      <c r="W52" s="9">
        <f>(U52-V52)/V52</f>
        <v>5.3617916946636741E-3</v>
      </c>
      <c r="X52" s="23">
        <f>U48*X47*U62*U46/U49</f>
        <v>1.9739552956930715</v>
      </c>
      <c r="Z52" s="16" t="s">
        <v>13</v>
      </c>
      <c r="AA52" s="2">
        <f>AA48*AA47*AA62*AA46/AA49</f>
        <v>1.541554747265151</v>
      </c>
      <c r="AB52" s="2">
        <v>1.4623970505164501</v>
      </c>
      <c r="AC52" s="9">
        <f>(AA52-AB52)/AB52</f>
        <v>5.4128731127258557E-2</v>
      </c>
      <c r="AD52" s="23">
        <f>AA48*AD47*AA62*AA46/AA49</f>
        <v>1.6294515465390318</v>
      </c>
    </row>
    <row r="53" spans="1:30" x14ac:dyDescent="0.25">
      <c r="B53" t="s">
        <v>15</v>
      </c>
      <c r="C53" s="2">
        <f>C37/C52</f>
        <v>26.090542727304168</v>
      </c>
      <c r="F53" t="s">
        <v>84</v>
      </c>
      <c r="H53" t="s">
        <v>15</v>
      </c>
      <c r="I53" s="2">
        <f>I37/I52</f>
        <v>27.744716868393819</v>
      </c>
      <c r="L53" t="s">
        <v>84</v>
      </c>
      <c r="N53" t="s">
        <v>15</v>
      </c>
      <c r="O53" s="2">
        <f>O37/O52</f>
        <v>28.758844544434396</v>
      </c>
      <c r="R53" t="s">
        <v>84</v>
      </c>
      <c r="T53" t="s">
        <v>15</v>
      </c>
      <c r="U53" s="2">
        <f>U37/U52</f>
        <v>26.650583384222099</v>
      </c>
      <c r="X53" t="s">
        <v>84</v>
      </c>
      <c r="Z53" t="s">
        <v>15</v>
      </c>
      <c r="AA53" s="2">
        <f>AA37/AA52</f>
        <v>26.726264554075879</v>
      </c>
      <c r="AD53" t="s">
        <v>84</v>
      </c>
    </row>
    <row r="54" spans="1:30" x14ac:dyDescent="0.25">
      <c r="B54" t="s">
        <v>5</v>
      </c>
      <c r="C54" s="2">
        <f>(C53-LN(C53+0.72))/(C53+1)</f>
        <v>0.84168662700191532</v>
      </c>
      <c r="F54">
        <f>C37*0.06</f>
        <v>2.4131999999999998</v>
      </c>
      <c r="H54" t="s">
        <v>5</v>
      </c>
      <c r="I54" s="2">
        <f>(I53-LN(I53+0.72))/(I53+1)</f>
        <v>0.8487142755447481</v>
      </c>
      <c r="L54">
        <f>I37*0.06</f>
        <v>2.5662000000000003</v>
      </c>
      <c r="N54" t="s">
        <v>5</v>
      </c>
      <c r="O54" s="2">
        <f>(O53-LN(O53+0.72))/(O53+1)</f>
        <v>0.85269344495382959</v>
      </c>
      <c r="R54">
        <f>O37*0.06</f>
        <v>3.1920000000000002</v>
      </c>
      <c r="T54" t="s">
        <v>5</v>
      </c>
      <c r="U54" s="2">
        <f>(U53-LN(U53+0.72))/(U53+1)</f>
        <v>0.84414546421408398</v>
      </c>
      <c r="X54">
        <f>U37*0.06</f>
        <v>2.9579999999999997</v>
      </c>
      <c r="Z54" t="s">
        <v>5</v>
      </c>
      <c r="AA54" s="2">
        <f>(AA53-LN(AA53+0.72))/(AA53+1)</f>
        <v>0.84447129296965018</v>
      </c>
      <c r="AD54">
        <f>AA37*0.06</f>
        <v>2.472</v>
      </c>
    </row>
    <row r="55" spans="1:30" x14ac:dyDescent="0.25">
      <c r="B55" t="s">
        <v>14</v>
      </c>
      <c r="C55" s="2">
        <f>C40*C39/C38/C37</f>
        <v>0.78325117366296393</v>
      </c>
      <c r="H55" t="s">
        <v>14</v>
      </c>
      <c r="I55" s="2">
        <f>I40*I39/I38/I37</f>
        <v>0.76402204114832861</v>
      </c>
      <c r="N55" t="s">
        <v>14</v>
      </c>
      <c r="O55" s="2">
        <f>O40*O39/O38/O37</f>
        <v>0.81105688478146476</v>
      </c>
      <c r="T55" t="s">
        <v>14</v>
      </c>
      <c r="U55" s="2">
        <f>U40*U39/U38/U37</f>
        <v>0.7817728836116703</v>
      </c>
      <c r="Z55" t="s">
        <v>14</v>
      </c>
      <c r="AA55" s="2">
        <f>AA40*AA39/AA38/AA37</f>
        <v>0.79259169108394334</v>
      </c>
    </row>
    <row r="56" spans="1:30" x14ac:dyDescent="0.25">
      <c r="B56" t="s">
        <v>16</v>
      </c>
      <c r="C56" s="2">
        <f>1-C55/C54</f>
        <v>6.9426614923297825E-2</v>
      </c>
      <c r="H56" t="s">
        <v>16</v>
      </c>
      <c r="I56" s="2">
        <f>1-I55/I54</f>
        <v>9.9788865153775941E-2</v>
      </c>
      <c r="N56" t="s">
        <v>16</v>
      </c>
      <c r="O56" s="2">
        <f>1-O55/O54</f>
        <v>4.8829459659584074E-2</v>
      </c>
      <c r="T56" t="s">
        <v>16</v>
      </c>
      <c r="U56" s="2">
        <f>1-U55/U54</f>
        <v>7.3888427109519261E-2</v>
      </c>
      <c r="Z56" t="s">
        <v>16</v>
      </c>
      <c r="AA56" s="2">
        <f>1-AA55/AA54</f>
        <v>6.143441738945099E-2</v>
      </c>
    </row>
    <row r="57" spans="1:30" x14ac:dyDescent="0.25">
      <c r="B57" t="s">
        <v>17</v>
      </c>
      <c r="C57" s="2">
        <f>C38*(1+C63/C59)</f>
        <v>10.166545784687791</v>
      </c>
      <c r="D57" s="2">
        <v>10.1673686947547</v>
      </c>
      <c r="E57" s="9">
        <f>(C57-D57)/D57</f>
        <v>-8.0936384979617533E-5</v>
      </c>
      <c r="H57" t="s">
        <v>17</v>
      </c>
      <c r="I57" s="2">
        <f>I38*(1+I63/I59)</f>
        <v>11.648584418097851</v>
      </c>
      <c r="J57" s="2">
        <v>11.649254507568299</v>
      </c>
      <c r="K57" s="9">
        <f>(I57-J57)/J57</f>
        <v>-5.752209036320628E-5</v>
      </c>
      <c r="N57" t="s">
        <v>17</v>
      </c>
      <c r="O57" s="2">
        <f>O38*(1+O63/O59)</f>
        <v>10.444178045895955</v>
      </c>
      <c r="P57">
        <v>10.4374</v>
      </c>
      <c r="Q57" s="9">
        <f>(O57-P57)/P57</f>
        <v>6.4939984056894642E-4</v>
      </c>
      <c r="T57" t="s">
        <v>17</v>
      </c>
      <c r="U57" s="2">
        <f>U38*(1+U63/U59)</f>
        <v>10.134022088331159</v>
      </c>
      <c r="V57" s="2">
        <v>10.132047107845199</v>
      </c>
      <c r="W57" s="9">
        <f>(U57-V57)/V57</f>
        <v>1.9492413181048654E-4</v>
      </c>
      <c r="Z57" t="s">
        <v>17</v>
      </c>
      <c r="AA57" s="2">
        <f>AA38*(1+AA63/AA59)</f>
        <v>10.584276264573896</v>
      </c>
      <c r="AB57" s="2">
        <v>10.582878130637599</v>
      </c>
      <c r="AC57" s="9">
        <f>(AA57-AB57)/AB57</f>
        <v>1.3211282592862057E-4</v>
      </c>
    </row>
    <row r="58" spans="1:30" x14ac:dyDescent="0.25">
      <c r="B58" t="s">
        <v>12</v>
      </c>
      <c r="C58" s="14">
        <f>(C38-(C37-C38*C63)/C59)*EXP(-C37/C52)</f>
        <v>4.6964181491530484E-11</v>
      </c>
      <c r="D58" s="14">
        <v>2.21702004727107E-11</v>
      </c>
      <c r="E58" s="9">
        <f>(C58-D58)/D58</f>
        <v>1.1183471727889287</v>
      </c>
      <c r="H58" t="s">
        <v>12</v>
      </c>
      <c r="I58" s="22">
        <f>(I38-(I37-I38*I63)/I59)*EXP(-I37/I52)</f>
        <v>1.0214926311549638E-11</v>
      </c>
      <c r="J58" s="22">
        <v>1.7138746796974999E-11</v>
      </c>
      <c r="K58" s="9">
        <f>(I58-J58)/J58</f>
        <v>-0.40398639220502519</v>
      </c>
      <c r="N58" t="s">
        <v>12</v>
      </c>
      <c r="O58" s="22">
        <f>(O38-(O37-O38*O63)/O59)*EXP(-O37/O52)</f>
        <v>3.2632037084372388E-12</v>
      </c>
      <c r="P58" s="14">
        <v>1.71E-12</v>
      </c>
      <c r="Q58" s="9">
        <f>(O58-P58)/P58</f>
        <v>0.90830626224399935</v>
      </c>
      <c r="T58" t="s">
        <v>12</v>
      </c>
      <c r="U58" s="22">
        <f>(U38-(U37-U38*U63)/U59)*EXP(-U37/U52)</f>
        <v>2.6449466724123891E-11</v>
      </c>
      <c r="V58" s="22">
        <v>2.2992653373336598E-11</v>
      </c>
      <c r="W58" s="9">
        <f>(U58-V58)/V58</f>
        <v>0.15034425538706994</v>
      </c>
      <c r="Z58" t="s">
        <v>12</v>
      </c>
      <c r="AA58" s="22">
        <f>(AA38-(AA37-AA38*AA63)/AA59)*EXP(-AA37/AA52)</f>
        <v>2.5500346415011818E-11</v>
      </c>
      <c r="AB58" s="22">
        <v>5.9791283998269998E-12</v>
      </c>
      <c r="AC58" s="9">
        <f>(AA58-AB58)/AB58</f>
        <v>3.2648935948172055</v>
      </c>
    </row>
    <row r="59" spans="1:30" x14ac:dyDescent="0.25">
      <c r="B59" t="s">
        <v>45</v>
      </c>
      <c r="C59">
        <v>390</v>
      </c>
      <c r="D59" s="2">
        <v>329.95563473418702</v>
      </c>
      <c r="E59" s="9">
        <f>(C59-D59)/D59</f>
        <v>0.18197708705349086</v>
      </c>
      <c r="H59" s="21" t="s">
        <v>45</v>
      </c>
      <c r="I59">
        <v>210</v>
      </c>
      <c r="J59" s="11">
        <v>174.83007562949899</v>
      </c>
      <c r="K59" s="9">
        <f>(I59-J59)/J59</f>
        <v>0.20116632818390662</v>
      </c>
      <c r="N59" s="21" t="s">
        <v>45</v>
      </c>
      <c r="O59">
        <v>146</v>
      </c>
      <c r="P59">
        <v>137.863</v>
      </c>
      <c r="Q59" s="9">
        <f>(O59-P59)/P59</f>
        <v>5.9022362780441456E-2</v>
      </c>
      <c r="T59" s="21" t="s">
        <v>45</v>
      </c>
      <c r="U59">
        <v>233</v>
      </c>
      <c r="V59" s="11"/>
      <c r="W59" s="9"/>
      <c r="Z59" s="21" t="s">
        <v>45</v>
      </c>
      <c r="AA59">
        <v>155</v>
      </c>
      <c r="AB59" s="11"/>
      <c r="AC59" s="9"/>
    </row>
    <row r="60" spans="1:30" x14ac:dyDescent="0.25">
      <c r="B60" t="s">
        <v>70</v>
      </c>
      <c r="C60" s="11">
        <f>C39/(0.2*(C38-C40))</f>
        <v>297.67857142857122</v>
      </c>
      <c r="D60" s="2"/>
      <c r="E60" s="9">
        <f>(C60-D59)/D59</f>
        <v>-9.78224340118279E-2</v>
      </c>
      <c r="H60" t="s">
        <v>70</v>
      </c>
      <c r="I60" s="11">
        <f>I39/(0.2*(I38-I40))</f>
        <v>248.35714285714252</v>
      </c>
      <c r="J60" s="11"/>
      <c r="K60" s="9">
        <f>(I60-J59)/J59</f>
        <v>0.42056303506647535</v>
      </c>
      <c r="N60" t="s">
        <v>70</v>
      </c>
      <c r="O60" s="11">
        <f>O39/(0.2*(O38-O40))</f>
        <v>326.05633802816942</v>
      </c>
      <c r="P60" s="11"/>
      <c r="Q60" s="9">
        <f>(O60-P59)/P59</f>
        <v>1.3650750239597964</v>
      </c>
      <c r="T60" t="s">
        <v>70</v>
      </c>
      <c r="U60" s="11">
        <f>U39/(0.2*(U38-U40))</f>
        <v>326.19047619047672</v>
      </c>
      <c r="V60" s="11"/>
      <c r="W60" s="9"/>
      <c r="Z60" t="s">
        <v>70</v>
      </c>
      <c r="AA60" s="11">
        <f>AA39/(0.2*(AA38-AA40))</f>
        <v>256.61764705882359</v>
      </c>
      <c r="AB60" s="11"/>
      <c r="AC60" s="9"/>
    </row>
    <row r="61" spans="1:30" x14ac:dyDescent="0.25">
      <c r="B61" t="s">
        <v>81</v>
      </c>
      <c r="C61" s="11">
        <f>(C39-C52)*(C39-C40*C63)/((C38-C40)*(C39-C40*C63)-C40*C52)</f>
        <v>390.15694183940218</v>
      </c>
      <c r="D61" s="2"/>
      <c r="E61" s="9"/>
      <c r="H61" t="s">
        <v>81</v>
      </c>
      <c r="I61" s="11">
        <f>(I39-I52)*(I39-I40*I63)/((I38-I40)*(I39-I40*I63)-I40*I52)</f>
        <v>209.95691155685313</v>
      </c>
      <c r="J61" s="11"/>
      <c r="K61" s="9"/>
      <c r="N61" t="s">
        <v>81</v>
      </c>
      <c r="O61" s="11">
        <f>(O39-O52)*(O39-O40*O63)/((O38-O40)*(O39-O40*O63)-O40*O52)</f>
        <v>145.85102362549992</v>
      </c>
      <c r="P61" s="11"/>
      <c r="Q61" s="9"/>
      <c r="T61" t="s">
        <v>81</v>
      </c>
      <c r="U61" s="11">
        <f>(U39-U52)*(U39-U40*U63)/((U38-U40)*(U39-U40*U63)-U40*U52)</f>
        <v>232.99298818979824</v>
      </c>
      <c r="V61" s="11">
        <v>219.96678214785601</v>
      </c>
      <c r="W61" s="9">
        <f>(U61-V61)/V61</f>
        <v>5.9218968949531436E-2</v>
      </c>
      <c r="Z61" t="s">
        <v>81</v>
      </c>
      <c r="AA61" s="11">
        <f>(AA39-AA52)*(AA39-AA40*AA63)/((AA38-AA40)*(AA39-AA40*AA63)-AA40*AA52)</f>
        <v>154.72245447476811</v>
      </c>
      <c r="AB61" s="11">
        <v>135.921147978021</v>
      </c>
      <c r="AC61" s="9">
        <f>(AA61-AB61)/AB61</f>
        <v>0.13832510081350521</v>
      </c>
    </row>
    <row r="62" spans="1:30" x14ac:dyDescent="0.25">
      <c r="B62" t="s">
        <v>46</v>
      </c>
      <c r="C62" s="1">
        <v>1</v>
      </c>
      <c r="D62" s="2">
        <f>D52/C46/C48/C47*C49</f>
        <v>0.97209879424776413</v>
      </c>
      <c r="E62" s="9">
        <f>(C62-D62)/D62</f>
        <v>2.8702026910574004E-2</v>
      </c>
      <c r="H62" s="21" t="s">
        <v>46</v>
      </c>
      <c r="I62" s="1">
        <v>1</v>
      </c>
      <c r="J62" s="2">
        <f>J52/I46/I48/I47*I49</f>
        <v>1.0191384463898607</v>
      </c>
      <c r="K62" s="9">
        <f>(I62-J62)/J62</f>
        <v>-1.8779044650563126E-2</v>
      </c>
      <c r="N62" s="21" t="s">
        <v>46</v>
      </c>
      <c r="O62" s="1">
        <v>1</v>
      </c>
      <c r="P62" s="2">
        <f>P52/O46/O48/O47*O49</f>
        <v>0.97809262759449123</v>
      </c>
      <c r="Q62" s="9">
        <f>(O62-P62)/P62</f>
        <v>2.2398054936154148E-2</v>
      </c>
      <c r="T62" s="21" t="s">
        <v>46</v>
      </c>
      <c r="U62" s="1">
        <v>1</v>
      </c>
      <c r="V62" s="2">
        <f>V52/U46/U48/U47*U49</f>
        <v>0.99466680379246797</v>
      </c>
      <c r="W62" s="9">
        <f>(U62-V62)/V62</f>
        <v>5.3617916946635882E-3</v>
      </c>
      <c r="Z62" s="21" t="s">
        <v>46</v>
      </c>
      <c r="AA62" s="1">
        <v>1</v>
      </c>
      <c r="AB62" s="2">
        <f>AB52/AA46/AA48/AA47*AA49</f>
        <v>0.94865073920395426</v>
      </c>
      <c r="AC62" s="9">
        <f>(AA62-AB62)/AB62</f>
        <v>5.4128731127258363E-2</v>
      </c>
    </row>
    <row r="63" spans="1:30" x14ac:dyDescent="0.25">
      <c r="B63" t="s">
        <v>24</v>
      </c>
      <c r="C63" s="5">
        <f>(C37-C39+C52*LN(1-C40/C38))/C40</f>
        <v>0.25126535711009063</v>
      </c>
      <c r="D63" s="5">
        <v>0.239305346970971</v>
      </c>
      <c r="E63" s="9">
        <f>(C63-D63)/D63</f>
        <v>4.9978031374996554E-2</v>
      </c>
      <c r="H63" t="s">
        <v>24</v>
      </c>
      <c r="I63" s="5">
        <f>(I37-I39+I52*LN(1-I40/I38))/I40</f>
        <v>0.33557418749340012</v>
      </c>
      <c r="J63" s="5">
        <v>0.289446860863872</v>
      </c>
      <c r="K63" s="9">
        <f>(I63-J63)/J63</f>
        <v>0.15936371357373949</v>
      </c>
      <c r="N63" s="21" t="s">
        <v>24</v>
      </c>
      <c r="O63" s="5">
        <f>(O37-O39+O52*LN(1-O40/O38))/O40</f>
        <v>0.19846545549467637</v>
      </c>
      <c r="P63">
        <v>9.75573E-2</v>
      </c>
      <c r="Q63" s="9">
        <f>(O63-P63)/P63</f>
        <v>1.0343475628648637</v>
      </c>
      <c r="T63" t="s">
        <v>24</v>
      </c>
      <c r="U63" s="5">
        <f>(U37-U39+U52*LN(1-U40/U38))/U40</f>
        <v>0.32284057126090915</v>
      </c>
      <c r="V63" s="5">
        <v>0.26185410381628399</v>
      </c>
      <c r="W63" s="9">
        <f>(U63-V63)/V63</f>
        <v>0.23290246956531593</v>
      </c>
      <c r="Z63" t="s">
        <v>24</v>
      </c>
      <c r="AA63" s="5">
        <f>(AA37-AA39+AA52*LN(1-AA40/AA38))/AA40</f>
        <v>0.20934919668439725</v>
      </c>
      <c r="AB63" s="5">
        <v>0.16560173114478499</v>
      </c>
      <c r="AC63" s="9">
        <f>(AA63-AB63)/AB63</f>
        <v>0.26417275494157733</v>
      </c>
    </row>
    <row r="64" spans="1:30" x14ac:dyDescent="0.25">
      <c r="B64" t="s">
        <v>23</v>
      </c>
      <c r="C64" s="5">
        <f>(1-C55/C54)*C37/C38</f>
        <v>0.27483646183218879</v>
      </c>
      <c r="D64" s="9"/>
      <c r="H64" t="s">
        <v>23</v>
      </c>
      <c r="I64" s="5">
        <f>(1-I55/I54)*I37/I38</f>
        <v>0.36697934330412696</v>
      </c>
      <c r="J64" s="9"/>
      <c r="N64" t="s">
        <v>23</v>
      </c>
      <c r="O64" s="5">
        <f>(1-O55/O54)*O37/O38</f>
        <v>0.24906301571331477</v>
      </c>
      <c r="P64" s="9"/>
      <c r="T64" t="s">
        <v>23</v>
      </c>
      <c r="U64" s="5">
        <f>(1-U55/U54)*U37/U38</f>
        <v>0.35995053917977266</v>
      </c>
      <c r="V64" s="9"/>
      <c r="Z64" t="s">
        <v>23</v>
      </c>
      <c r="AA64" s="5">
        <f>(1-AA55/AA54)*AA37/AA38</f>
        <v>0.23946054838650715</v>
      </c>
      <c r="AB64" s="9"/>
    </row>
    <row r="65" spans="1:31" x14ac:dyDescent="0.25">
      <c r="B65" t="s">
        <v>68</v>
      </c>
      <c r="C65" s="5">
        <f>(C37-C39+C52*LN(1+C40/C38))/C40</f>
        <v>0.82348376511305488</v>
      </c>
      <c r="H65" t="s">
        <v>68</v>
      </c>
      <c r="I65" s="5">
        <f>(I37-I39+I52*LN(1+I40/I38))/I40</f>
        <v>0.82538147019749797</v>
      </c>
      <c r="J65" s="9"/>
      <c r="N65" t="s">
        <v>68</v>
      </c>
      <c r="O65" s="5">
        <f>(O37-O39+O52*LN(1+O40/O38))/O40</f>
        <v>0.8352026640660376</v>
      </c>
      <c r="P65" s="9"/>
      <c r="T65" t="s">
        <v>68</v>
      </c>
      <c r="U65" s="5">
        <f>(U37-U39+U52*LN(1+U40/U38))/U40</f>
        <v>0.99301730359703833</v>
      </c>
      <c r="V65" s="9"/>
      <c r="Z65" t="s">
        <v>68</v>
      </c>
      <c r="AA65" s="5">
        <f>(AA37-AA39+AA52*LN(1+AA40/AA38))/AA40</f>
        <v>0.7399517548298512</v>
      </c>
      <c r="AB65" s="9"/>
    </row>
    <row r="66" spans="1:31" x14ac:dyDescent="0.25">
      <c r="A66" t="s">
        <v>78</v>
      </c>
      <c r="B66" t="s">
        <v>71</v>
      </c>
      <c r="C66" s="5">
        <f>(C68-C70+C52*LN(1-C71/C69))/C71</f>
        <v>9.1877588733993862E-2</v>
      </c>
      <c r="H66" t="s">
        <v>71</v>
      </c>
      <c r="I66" s="5">
        <f>(I68-I70+I52*LN(1-I71/I69))/I71</f>
        <v>0.44364652359963397</v>
      </c>
      <c r="N66" t="s">
        <v>71</v>
      </c>
      <c r="O66" s="5">
        <f>(R68-R70+O52*LN(1-R71/R69))/R71</f>
        <v>0.19846545549467703</v>
      </c>
      <c r="T66" t="s">
        <v>71</v>
      </c>
      <c r="U66" s="5">
        <f>(U68-U70+U52*LN(1-U71/U69))/U71</f>
        <v>0.48951579990160654</v>
      </c>
      <c r="Z66" t="s">
        <v>71</v>
      </c>
      <c r="AA66" s="5">
        <f>(AA68-AA70+AA52*LN(1-AA71/AA69))/AA71</f>
        <v>0.60465839204886307</v>
      </c>
    </row>
    <row r="67" spans="1:31" x14ac:dyDescent="0.25">
      <c r="A67" s="7">
        <v>800</v>
      </c>
      <c r="B67" s="10" t="s">
        <v>56</v>
      </c>
      <c r="C67" t="s">
        <v>59</v>
      </c>
      <c r="D67" t="s">
        <v>62</v>
      </c>
      <c r="E67" t="s">
        <v>25</v>
      </c>
      <c r="F67" t="s">
        <v>75</v>
      </c>
      <c r="G67" t="s">
        <v>25</v>
      </c>
      <c r="H67" s="10" t="s">
        <v>56</v>
      </c>
      <c r="I67" t="s">
        <v>59</v>
      </c>
      <c r="J67" t="s">
        <v>62</v>
      </c>
      <c r="K67" t="s">
        <v>25</v>
      </c>
      <c r="L67" t="s">
        <v>75</v>
      </c>
      <c r="M67" t="s">
        <v>25</v>
      </c>
      <c r="N67" s="10" t="s">
        <v>56</v>
      </c>
      <c r="O67" t="s">
        <v>59</v>
      </c>
      <c r="P67" t="s">
        <v>62</v>
      </c>
      <c r="Q67" t="s">
        <v>25</v>
      </c>
      <c r="R67" t="s">
        <v>75</v>
      </c>
      <c r="S67" t="s">
        <v>25</v>
      </c>
      <c r="T67" s="10" t="s">
        <v>56</v>
      </c>
      <c r="U67" t="s">
        <v>59</v>
      </c>
      <c r="V67" t="s">
        <v>62</v>
      </c>
      <c r="W67" t="s">
        <v>25</v>
      </c>
      <c r="X67" t="s">
        <v>75</v>
      </c>
      <c r="Y67" t="s">
        <v>25</v>
      </c>
      <c r="Z67" s="10" t="s">
        <v>56</v>
      </c>
      <c r="AA67" t="s">
        <v>59</v>
      </c>
      <c r="AB67" t="s">
        <v>62</v>
      </c>
      <c r="AC67" t="s">
        <v>25</v>
      </c>
      <c r="AD67" t="s">
        <v>75</v>
      </c>
      <c r="AE67" t="s">
        <v>25</v>
      </c>
    </row>
    <row r="68" spans="1:31" x14ac:dyDescent="0.25">
      <c r="B68" t="s">
        <v>0</v>
      </c>
      <c r="C68" s="6">
        <v>37.15</v>
      </c>
      <c r="D68" s="6">
        <v>37.340288000000001</v>
      </c>
      <c r="E68" s="15">
        <f>(C68-D68)/C68</f>
        <v>-5.1221534320323682E-3</v>
      </c>
      <c r="F68" s="6">
        <f>C$37+(C$37*D$42/100*(C$45-25)+C$52*LN(800/1000))-C$63*(0-0)</f>
        <v>37.551295999149971</v>
      </c>
      <c r="G68" s="15">
        <f>(C68-F68)/C68</f>
        <v>-1.0802045737549736E-2</v>
      </c>
      <c r="H68" t="s">
        <v>0</v>
      </c>
      <c r="I68" s="6">
        <v>40.369999999999997</v>
      </c>
      <c r="J68" s="6">
        <v>40.057302999999997</v>
      </c>
      <c r="K68" s="15">
        <f>(I68-J68)/I68</f>
        <v>7.7457765667574936E-3</v>
      </c>
      <c r="L68" s="6">
        <f>I$37+(I$37*J$42/100*(I$45-25)+I$52*LN(800/1000))-I$63*(0-0)</f>
        <v>40.030891999149979</v>
      </c>
      <c r="M68" s="15">
        <f>(I68-L68)/I68</f>
        <v>8.4000000210556914E-3</v>
      </c>
      <c r="N68" t="s">
        <v>0</v>
      </c>
      <c r="O68">
        <v>50</v>
      </c>
      <c r="P68" s="6"/>
      <c r="Q68" s="15">
        <f>(O68-P68)/O68</f>
        <v>1</v>
      </c>
      <c r="R68" s="6">
        <f>O$37+(O$37*P$42/100*(O$45-25)+O$52*LN(800/1000))-O$63*(0-0)</f>
        <v>50.261810398979975</v>
      </c>
      <c r="S68" s="15">
        <f>(O68-R68)/O68</f>
        <v>-5.2362079795994984E-3</v>
      </c>
      <c r="T68" t="s">
        <v>0</v>
      </c>
      <c r="U68" s="24">
        <v>48</v>
      </c>
      <c r="V68" s="6"/>
      <c r="W68" s="15">
        <f>(U68-V68)/U68</f>
        <v>1</v>
      </c>
      <c r="X68" s="6">
        <f>U$37+(U$37*V$42/100*(U$45-25)+U$52*LN(800/1000))-U$63*(0-0)</f>
        <v>46.02781439897997</v>
      </c>
      <c r="Y68" s="15">
        <f>(U68-X68)/U68</f>
        <v>4.1087200021250624E-2</v>
      </c>
      <c r="Z68" t="s">
        <v>0</v>
      </c>
      <c r="AA68" s="24">
        <v>48</v>
      </c>
      <c r="AB68" s="6"/>
      <c r="AC68" s="15">
        <f>(AA68-AB68)/AA68</f>
        <v>1</v>
      </c>
      <c r="AD68" s="6">
        <f>AA$37+(AA$37*AB$42/100*(AA$45-25)+AA$52*LN(800/1000))-AA$63*(0-0)</f>
        <v>39.034971999149974</v>
      </c>
      <c r="AE68" s="15">
        <f>(AA68-AD68)/AA68</f>
        <v>0.18677141668437555</v>
      </c>
    </row>
    <row r="69" spans="1:31" x14ac:dyDescent="0.25">
      <c r="B69" t="s">
        <v>1</v>
      </c>
      <c r="C69" s="1">
        <v>8.14</v>
      </c>
      <c r="D69" s="2">
        <v>8.2125459999999997</v>
      </c>
      <c r="E69" s="15">
        <f>(C69-D69)/C69</f>
        <v>-8.912285012284903E-3</v>
      </c>
      <c r="F69" s="2">
        <f>C38*(1+D$43/100*(C45-25))*800/1000</f>
        <v>8.2109056000000002</v>
      </c>
      <c r="G69" s="15">
        <f>(C69-F69)/C69</f>
        <v>-8.7107616707616312E-3</v>
      </c>
      <c r="H69" t="s">
        <v>1</v>
      </c>
      <c r="I69" s="1">
        <v>9.39</v>
      </c>
      <c r="J69" s="2">
        <v>9.3990930000000006</v>
      </c>
      <c r="K69" s="15">
        <f>(I69-J69)/I69</f>
        <v>-9.6837060702875579E-4</v>
      </c>
      <c r="L69" s="2">
        <f>I38*(1+J$43/100*(I45-25))*800/1000</f>
        <v>9.3933184000000018</v>
      </c>
      <c r="M69" s="15">
        <f>(I69-L69)/I69</f>
        <v>-3.5339723109704745E-4</v>
      </c>
      <c r="N69" t="s">
        <v>1</v>
      </c>
      <c r="O69">
        <v>8.52</v>
      </c>
      <c r="P69" s="2"/>
      <c r="Q69" s="15">
        <f>(O69-P69)/O69</f>
        <v>1</v>
      </c>
      <c r="R69" s="2">
        <f>O38*(1+P$43/100*(O45-25))*800/1000</f>
        <v>8.392879151999999</v>
      </c>
      <c r="S69" s="15">
        <f>(O69-R69)/O69</f>
        <v>1.4920287323943729E-2</v>
      </c>
      <c r="T69" t="s">
        <v>1</v>
      </c>
      <c r="U69" s="24">
        <v>8.02</v>
      </c>
      <c r="V69" s="2"/>
      <c r="W69" s="15">
        <f>(U69-V69)/U69</f>
        <v>1</v>
      </c>
      <c r="X69" s="2">
        <f>U38*(1+V$43/100*(U45-25))*800/1000</f>
        <v>8.1737216000000004</v>
      </c>
      <c r="Y69" s="15">
        <f>(U69-X69)/U69</f>
        <v>-1.9167281795511321E-2</v>
      </c>
      <c r="Z69" t="s">
        <v>1</v>
      </c>
      <c r="AA69" s="24">
        <v>8.02</v>
      </c>
      <c r="AB69" s="2"/>
      <c r="AC69" s="15">
        <f>(AA69-AB69)/AA69</f>
        <v>1</v>
      </c>
      <c r="AD69" s="2">
        <f>AA38*(1+AB$43/100*(AA45-25))*800/1000</f>
        <v>8.4991256000000011</v>
      </c>
      <c r="AE69" s="15">
        <f>(AA69-AD69)/AA69</f>
        <v>-5.9741346633416646E-2</v>
      </c>
    </row>
    <row r="70" spans="1:31" x14ac:dyDescent="0.25">
      <c r="B70" t="s">
        <v>2</v>
      </c>
      <c r="C70" s="6">
        <v>33.31</v>
      </c>
      <c r="D70" s="6">
        <v>30.613157000000001</v>
      </c>
      <c r="E70" s="15">
        <f>(C70-D70)/C70</f>
        <v>8.0961963374362081E-2</v>
      </c>
      <c r="F70" s="6">
        <f>C$39+(C$37*D$42/100*(C$45-25)+C$52*LN(800/1000))-C$63*(F$71-C$40)</f>
        <v>31.134042361786776</v>
      </c>
      <c r="G70" s="15">
        <f>(C70-F70)/C70</f>
        <v>6.5324456265782843E-2</v>
      </c>
      <c r="H70" t="s">
        <v>2</v>
      </c>
      <c r="I70" s="6">
        <v>32.200000000000003</v>
      </c>
      <c r="J70" s="6">
        <v>32.273404999999997</v>
      </c>
      <c r="K70" s="15">
        <f>(I70-J70)/I70</f>
        <v>-2.2796583850929796E-3</v>
      </c>
      <c r="L70" s="6">
        <f>I$39+(I$37*J$42/100*(I$45-25)+I$52*LN(800/1000))-I$63*(L$71-I$40)</f>
        <v>32.736288270334306</v>
      </c>
      <c r="M70" s="15">
        <f>(I70-L70)/I70</f>
        <v>-1.6654915227773393E-2</v>
      </c>
      <c r="N70" t="s">
        <v>2</v>
      </c>
      <c r="O70">
        <v>43</v>
      </c>
      <c r="P70" s="6"/>
      <c r="Q70" s="15">
        <f>(O70-P70)/O70</f>
        <v>1</v>
      </c>
      <c r="R70" s="6">
        <f>O$39+(O$37*P$42/100*(O$45-25)+O$52*LN(800/1000))-O$63*(R$71-O$40)</f>
        <v>43.738586784138292</v>
      </c>
      <c r="S70" s="15">
        <f>(O70-R70)/O70</f>
        <v>-1.7176436840425392E-2</v>
      </c>
      <c r="T70" t="s">
        <v>2</v>
      </c>
      <c r="U70" s="24">
        <v>39.1</v>
      </c>
      <c r="V70" s="6"/>
      <c r="W70" s="15">
        <f>(U70-V70)/U70</f>
        <v>1</v>
      </c>
      <c r="X70" s="6">
        <f>U$39+(U$37*V$42/100*(U$45-25)+U$52*LN(800/1000))-U$63*(X$71-U$40)</f>
        <v>38.417036149309858</v>
      </c>
      <c r="Y70" s="15">
        <f>(U70-X70)/U70</f>
        <v>1.7467106155758139E-2</v>
      </c>
      <c r="Z70" t="s">
        <v>2</v>
      </c>
      <c r="AA70" s="24">
        <v>39.1</v>
      </c>
      <c r="AB70" s="6"/>
      <c r="AC70" s="15">
        <f>(AA70-AB70)/AA70</f>
        <v>1</v>
      </c>
      <c r="AD70" s="6">
        <f>AA$39+(AA$37*AB$42/100*(AA$45-25)+AA$52*LN(800/1000))-AA$63*(AD$71-AA$40)</f>
        <v>33.140617218886462</v>
      </c>
      <c r="AE70" s="15">
        <f>(AA70-AD70)/AA70</f>
        <v>0.1524138818699115</v>
      </c>
    </row>
    <row r="71" spans="1:31" x14ac:dyDescent="0.25">
      <c r="B71" t="s">
        <v>3</v>
      </c>
      <c r="C71" s="2">
        <v>7.11</v>
      </c>
      <c r="D71" s="2">
        <v>7.6923310000000003</v>
      </c>
      <c r="E71" s="15">
        <f>(C71-D71)/C71</f>
        <v>-8.1903094233473972E-2</v>
      </c>
      <c r="F71" s="2">
        <f>C40*(1+D$43/100*(C45-25))*800/1000</f>
        <v>7.7583359999999999</v>
      </c>
      <c r="G71" s="15">
        <f>(C71-F71)/C71</f>
        <v>-9.1186497890295301E-2</v>
      </c>
      <c r="H71" t="s">
        <v>3</v>
      </c>
      <c r="I71" s="2">
        <v>8.8000000000000007</v>
      </c>
      <c r="J71" s="2">
        <v>8.8034280000000003</v>
      </c>
      <c r="K71" s="15">
        <f>(I71-J71)/I71</f>
        <v>-3.8954545454540255E-4</v>
      </c>
      <c r="L71" s="2">
        <f>I40*(1+J$43/100*(I45-25))*800/1000</f>
        <v>8.8279423999999995</v>
      </c>
      <c r="M71" s="15">
        <f>(I71-L71)/I71</f>
        <v>-3.1752727272725922E-3</v>
      </c>
      <c r="N71" t="s">
        <v>3</v>
      </c>
      <c r="O71">
        <v>7.98</v>
      </c>
      <c r="P71" s="2"/>
      <c r="Q71" s="15">
        <f>(O71-P71)/O71</f>
        <v>1</v>
      </c>
      <c r="R71" s="2">
        <f>O40*(1+P$43/100*(O45-25))*800/1000</f>
        <v>7.8215518079999988</v>
      </c>
      <c r="S71" s="15">
        <f>(O71-R71)/O71</f>
        <v>1.9855663157894936E-2</v>
      </c>
      <c r="T71" t="s">
        <v>3</v>
      </c>
      <c r="U71" s="24">
        <v>7.54</v>
      </c>
      <c r="V71" s="2"/>
      <c r="W71" s="15">
        <f>(U71-V71)/U71</f>
        <v>1</v>
      </c>
      <c r="X71" s="2">
        <f>U40*(1+V$43/100*(U45-25))*800/1000</f>
        <v>7.6648832000000002</v>
      </c>
      <c r="Y71" s="15">
        <f>(U71-X71)/U71</f>
        <v>-1.6562758620689681E-2</v>
      </c>
      <c r="Z71" t="s">
        <v>3</v>
      </c>
      <c r="AA71" s="24">
        <v>7.54</v>
      </c>
      <c r="AB71" s="2"/>
      <c r="AC71" s="15">
        <f>(AA71-AB71)/AA71</f>
        <v>1</v>
      </c>
      <c r="AD71" s="2">
        <f>AA40*(1+AB$43/100*(AA45-25))*800/1000</f>
        <v>7.9523512000000007</v>
      </c>
      <c r="AE71" s="15">
        <f>(AA71-AD71)/AA71</f>
        <v>-5.468848806366057E-2</v>
      </c>
    </row>
    <row r="72" spans="1:31" x14ac:dyDescent="0.25">
      <c r="B72" t="s">
        <v>55</v>
      </c>
      <c r="C72" s="11">
        <v>237</v>
      </c>
      <c r="D72" s="11">
        <v>235.48654500000001</v>
      </c>
      <c r="E72" s="15">
        <f>(C72-D72)/C72</f>
        <v>6.3858860759493392E-3</v>
      </c>
      <c r="F72" s="11">
        <f>F71*F70</f>
        <v>241.54836168097538</v>
      </c>
      <c r="G72" s="15">
        <f>(C72-F72)/C72</f>
        <v>-1.9191399497786393E-2</v>
      </c>
      <c r="H72" t="s">
        <v>55</v>
      </c>
      <c r="I72" s="11">
        <v>283</v>
      </c>
      <c r="J72" s="11">
        <v>284.11660899999998</v>
      </c>
      <c r="K72" s="15">
        <f>(I72-J72)/I72</f>
        <v>-3.9456148409893381E-3</v>
      </c>
      <c r="L72" s="11">
        <f>L71*L70</f>
        <v>288.99406724030689</v>
      </c>
      <c r="M72" s="15">
        <f>(I72-L72)/I72</f>
        <v>-2.1180449612391839E-2</v>
      </c>
      <c r="N72" t="s">
        <v>55</v>
      </c>
      <c r="O72">
        <v>343</v>
      </c>
      <c r="P72" s="11"/>
      <c r="Q72" s="15">
        <f>(O72-P72)/O72</f>
        <v>1</v>
      </c>
      <c r="R72" s="11">
        <f>R71*R70</f>
        <v>342.10362254084168</v>
      </c>
      <c r="S72" s="15">
        <f>(O72-R72)/O72</f>
        <v>2.6133453619775976E-3</v>
      </c>
      <c r="T72" t="s">
        <v>55</v>
      </c>
      <c r="U72" s="11">
        <v>294</v>
      </c>
      <c r="V72" s="11"/>
      <c r="W72" s="15">
        <f>(U72-V72)/U72</f>
        <v>1</v>
      </c>
      <c r="X72" s="11">
        <f>X71*X70</f>
        <v>294.46209497463781</v>
      </c>
      <c r="Y72" s="15">
        <f>(U72-X72)/U72</f>
        <v>-1.5717516144143108E-3</v>
      </c>
      <c r="Z72" t="s">
        <v>55</v>
      </c>
      <c r="AA72" s="11">
        <v>294</v>
      </c>
      <c r="AB72" s="11"/>
      <c r="AC72" s="15">
        <f>(AA72-AB72)/AA72</f>
        <v>1</v>
      </c>
      <c r="AD72" s="11">
        <f>AD71*AD70</f>
        <v>263.54582710935244</v>
      </c>
      <c r="AE72" s="15">
        <f>(AA72-AD72)/AA72</f>
        <v>0.10358562207703251</v>
      </c>
    </row>
    <row r="73" spans="1:31" x14ac:dyDescent="0.25">
      <c r="F73" s="11">
        <f>C41*800/1000*(1+D44/100*(C45-25))</f>
        <v>237.61551360000001</v>
      </c>
      <c r="G73" s="15">
        <f>(C72-F73)/C72</f>
        <v>-2.5971037974684137E-3</v>
      </c>
      <c r="L73" s="11">
        <f>I41*800/1000*(1+J44/100*(I45-25))</f>
        <v>283.35491616000002</v>
      </c>
      <c r="M73" s="15">
        <f>(I72-L73)/I72</f>
        <v>-1.2541207067138379E-3</v>
      </c>
      <c r="R73" s="11">
        <f>O41*800/1000*(1+P44/100*(O45-25))</f>
        <v>340.24737761279999</v>
      </c>
      <c r="S73" s="15">
        <f>(O72-R73)/O72</f>
        <v>8.025138155102059E-3</v>
      </c>
      <c r="X73" s="11">
        <f>U41*800/1000*(1+V44/100*(U45-25))</f>
        <v>290.18901600000004</v>
      </c>
      <c r="Y73" s="15">
        <f>(U72-X73)/U72</f>
        <v>1.2962530612244769E-2</v>
      </c>
      <c r="AD73" s="11">
        <f>AA41*800/1000*(1+AB44/100*(AA45-25))</f>
        <v>259.22971744</v>
      </c>
      <c r="AE73" s="15">
        <f>(AA72-AD73)/AA72</f>
        <v>0.11826626721088435</v>
      </c>
    </row>
    <row r="74" spans="1:31" x14ac:dyDescent="0.25">
      <c r="B74" t="s">
        <v>77</v>
      </c>
    </row>
    <row r="75" spans="1:31" x14ac:dyDescent="0.25">
      <c r="B75" s="3">
        <f>(C68-C42*($C45-$A$39)-C37)/(C46*C48*($C$47-$A$39+C45)/C49*LN($A$67/$A$37))</f>
        <v>2.0303989973666789</v>
      </c>
      <c r="H75" s="3">
        <f>(I68-I42*($C45-$A$39)-I37)/(I46*I48*($C$47-$A$39+I45)/I49*LN($A$67/$A$37))</f>
        <v>1.3294726717820102E-2</v>
      </c>
      <c r="N75" s="3">
        <f>(O68-O42*($C45-$A$39)-O37)/(O46*O48*($C$47-$A$39+O45)/O49*LN($A$67/$A$37))</f>
        <v>1.5872861276068959</v>
      </c>
      <c r="T75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9" workbookViewId="0">
      <selection activeCell="D16" sqref="D16"/>
    </sheetView>
  </sheetViews>
  <sheetFormatPr baseColWidth="10" defaultRowHeight="15" x14ac:dyDescent="0.25"/>
  <sheetData>
    <row r="1" spans="1:12" ht="15.75" thickBot="1" x14ac:dyDescent="0.3"/>
    <row r="2" spans="1:12" ht="15.75" thickBot="1" x14ac:dyDescent="0.3">
      <c r="C2" t="s">
        <v>82</v>
      </c>
      <c r="F2" s="94" t="s">
        <v>90</v>
      </c>
      <c r="G2" s="95"/>
      <c r="H2" s="78" t="s">
        <v>85</v>
      </c>
      <c r="I2" s="79"/>
      <c r="J2" s="78" t="s">
        <v>91</v>
      </c>
      <c r="K2" s="79"/>
      <c r="L2" s="25"/>
    </row>
    <row r="3" spans="1:12" ht="15.75" thickBot="1" x14ac:dyDescent="0.3">
      <c r="F3" s="96" t="s">
        <v>92</v>
      </c>
      <c r="G3" s="97"/>
      <c r="H3" s="80" t="s">
        <v>82</v>
      </c>
      <c r="I3" s="81"/>
      <c r="J3" s="78" t="s">
        <v>83</v>
      </c>
      <c r="K3" s="79"/>
      <c r="L3" s="25"/>
    </row>
    <row r="4" spans="1:12" ht="27.6" customHeight="1" thickTop="1" thickBot="1" x14ac:dyDescent="0.3">
      <c r="A4" t="s">
        <v>151</v>
      </c>
      <c r="B4" t="s">
        <v>147</v>
      </c>
      <c r="C4" t="s">
        <v>148</v>
      </c>
      <c r="F4" s="102" t="s">
        <v>93</v>
      </c>
      <c r="G4" s="103"/>
      <c r="H4" s="104"/>
      <c r="I4" s="105"/>
      <c r="J4" s="105"/>
      <c r="K4" s="106"/>
      <c r="L4" s="25"/>
    </row>
    <row r="5" spans="1:12" ht="28.9" customHeight="1" thickTop="1" thickBot="1" x14ac:dyDescent="0.3">
      <c r="A5" t="s">
        <v>149</v>
      </c>
      <c r="B5">
        <v>1000</v>
      </c>
      <c r="C5">
        <v>800</v>
      </c>
      <c r="F5" s="107" t="s">
        <v>94</v>
      </c>
      <c r="G5" s="108"/>
      <c r="H5" s="109" t="s">
        <v>95</v>
      </c>
      <c r="I5" s="110"/>
      <c r="J5" s="109" t="s">
        <v>96</v>
      </c>
      <c r="K5" s="110"/>
      <c r="L5" s="25"/>
    </row>
    <row r="6" spans="1:12" ht="15.75" thickBot="1" x14ac:dyDescent="0.3">
      <c r="A6" t="s">
        <v>150</v>
      </c>
      <c r="B6">
        <v>25</v>
      </c>
      <c r="C6">
        <v>42</v>
      </c>
      <c r="F6" s="94" t="s">
        <v>97</v>
      </c>
      <c r="G6" s="95"/>
      <c r="H6" s="78">
        <v>17.100000000000001</v>
      </c>
      <c r="I6" s="79"/>
      <c r="J6" s="78">
        <v>22.5</v>
      </c>
      <c r="K6" s="79"/>
      <c r="L6" s="25"/>
    </row>
    <row r="7" spans="1:12" x14ac:dyDescent="0.25">
      <c r="B7" t="s">
        <v>3</v>
      </c>
      <c r="C7" s="33">
        <f>H15*C5/B5*(1+H25*(C6-B6))</f>
        <v>7.9523512000000007</v>
      </c>
      <c r="F7" s="98" t="s">
        <v>98</v>
      </c>
      <c r="G7" s="99"/>
      <c r="H7" s="92" t="s">
        <v>99</v>
      </c>
      <c r="I7" s="93"/>
      <c r="J7" s="92" t="s">
        <v>101</v>
      </c>
      <c r="K7" s="93"/>
      <c r="L7" s="77"/>
    </row>
    <row r="8" spans="1:12" ht="15" customHeight="1" thickBot="1" x14ac:dyDescent="0.3">
      <c r="B8" t="s">
        <v>2</v>
      </c>
      <c r="C8" s="33">
        <f>H14+H16*H24*(C6-B6)+H16*0.06*LN(C5/B5)-C9*(C7-H15)</f>
        <v>32.932994360887754</v>
      </c>
      <c r="F8" s="100"/>
      <c r="G8" s="101"/>
      <c r="H8" s="86" t="s">
        <v>100</v>
      </c>
      <c r="I8" s="87"/>
      <c r="J8" s="86" t="s">
        <v>102</v>
      </c>
      <c r="K8" s="87"/>
      <c r="L8" s="77"/>
    </row>
    <row r="9" spans="1:12" ht="15.75" thickBot="1" x14ac:dyDescent="0.3">
      <c r="B9" t="s">
        <v>145</v>
      </c>
      <c r="C9" s="33">
        <f>1/H15*(H16-H14+C15*LN(1-H15/H17))</f>
        <v>0.20934919668439736</v>
      </c>
      <c r="F9" s="94" t="s">
        <v>103</v>
      </c>
      <c r="G9" s="95"/>
      <c r="H9" s="78" t="s">
        <v>104</v>
      </c>
      <c r="I9" s="79"/>
      <c r="J9" s="78" t="s">
        <v>105</v>
      </c>
      <c r="K9" s="79"/>
      <c r="L9" s="25"/>
    </row>
    <row r="10" spans="1:12" ht="28.9" customHeight="1" thickBot="1" x14ac:dyDescent="0.3">
      <c r="B10" t="s">
        <v>4</v>
      </c>
      <c r="C10">
        <v>60</v>
      </c>
      <c r="F10" s="96" t="s">
        <v>106</v>
      </c>
      <c r="G10" s="97"/>
      <c r="H10" s="80">
        <v>1000</v>
      </c>
      <c r="I10" s="81"/>
      <c r="J10" s="80">
        <v>1500</v>
      </c>
      <c r="K10" s="81"/>
      <c r="L10" s="25"/>
    </row>
    <row r="11" spans="1:12" ht="16.5" thickTop="1" thickBot="1" x14ac:dyDescent="0.3">
      <c r="B11" t="s">
        <v>46</v>
      </c>
      <c r="C11">
        <v>1</v>
      </c>
      <c r="F11" s="82" t="s">
        <v>107</v>
      </c>
      <c r="G11" s="83"/>
      <c r="H11" s="26" t="s">
        <v>108</v>
      </c>
      <c r="I11" s="26" t="s">
        <v>109</v>
      </c>
      <c r="J11" s="26" t="s">
        <v>108</v>
      </c>
      <c r="K11" s="26" t="s">
        <v>109</v>
      </c>
      <c r="L11" s="25"/>
    </row>
    <row r="12" spans="1:12" ht="27" thickTop="1" thickBot="1" x14ac:dyDescent="0.3">
      <c r="B12" t="s">
        <v>10</v>
      </c>
      <c r="C12" s="1">
        <f>273.15+25</f>
        <v>298.14999999999998</v>
      </c>
      <c r="F12" s="27" t="s">
        <v>110</v>
      </c>
      <c r="G12" s="28" t="s">
        <v>111</v>
      </c>
      <c r="H12" s="28">
        <v>345</v>
      </c>
      <c r="I12" s="28">
        <v>259</v>
      </c>
      <c r="J12" s="28">
        <v>390</v>
      </c>
      <c r="K12" s="28">
        <v>294</v>
      </c>
      <c r="L12" s="25"/>
    </row>
    <row r="13" spans="1:12" ht="26.25" thickBot="1" x14ac:dyDescent="0.3">
      <c r="B13" t="s">
        <v>6</v>
      </c>
      <c r="C13" s="3">
        <v>1.3806490000000001E-23</v>
      </c>
      <c r="F13" s="27" t="s">
        <v>112</v>
      </c>
      <c r="G13" s="28"/>
      <c r="H13" s="28" t="s">
        <v>113</v>
      </c>
      <c r="I13" s="28" t="s">
        <v>114</v>
      </c>
      <c r="J13" s="28" t="s">
        <v>113</v>
      </c>
      <c r="K13" s="28" t="s">
        <v>114</v>
      </c>
      <c r="L13" s="25"/>
    </row>
    <row r="14" spans="1:12" ht="39" thickBot="1" x14ac:dyDescent="0.3">
      <c r="B14" t="s">
        <v>7</v>
      </c>
      <c r="C14" s="3">
        <v>1.6021766339999999E-19</v>
      </c>
      <c r="F14" s="27" t="s">
        <v>115</v>
      </c>
      <c r="G14" s="28" t="s">
        <v>116</v>
      </c>
      <c r="H14" s="28">
        <v>34.9</v>
      </c>
      <c r="I14" s="28">
        <v>32.799999999999997</v>
      </c>
      <c r="J14" s="28">
        <v>41.1</v>
      </c>
      <c r="K14" s="28">
        <v>39.1</v>
      </c>
      <c r="L14" s="25"/>
    </row>
    <row r="15" spans="1:12" ht="39" thickBot="1" x14ac:dyDescent="0.3">
      <c r="B15" t="s">
        <v>13</v>
      </c>
      <c r="C15" s="3">
        <f>C11*C10*C13*C12/C14</f>
        <v>1.5415547472651507</v>
      </c>
      <c r="F15" s="27" t="s">
        <v>117</v>
      </c>
      <c r="G15" s="28" t="s">
        <v>118</v>
      </c>
      <c r="H15" s="28">
        <v>9.89</v>
      </c>
      <c r="I15" s="28">
        <v>7.89</v>
      </c>
      <c r="J15" s="28">
        <v>9.49</v>
      </c>
      <c r="K15" s="28">
        <v>7.54</v>
      </c>
      <c r="L15" s="25"/>
    </row>
    <row r="16" spans="1:12" ht="26.25" thickBot="1" x14ac:dyDescent="0.3">
      <c r="B16" t="s">
        <v>86</v>
      </c>
      <c r="C16" s="34">
        <f>C7*C8</f>
        <v>261.89473722539901</v>
      </c>
      <c r="D16" s="35">
        <f>(C18-C16)/C18</f>
        <v>-1.1176591603857191E-2</v>
      </c>
      <c r="F16" s="27" t="s">
        <v>119</v>
      </c>
      <c r="G16" s="28" t="s">
        <v>120</v>
      </c>
      <c r="H16" s="28">
        <v>41.2</v>
      </c>
      <c r="I16" s="28">
        <v>38.799999999999997</v>
      </c>
      <c r="J16" s="28">
        <v>49.3</v>
      </c>
      <c r="K16" s="28">
        <v>48</v>
      </c>
      <c r="L16" s="25"/>
    </row>
    <row r="17" spans="2:12" ht="26.25" thickBot="1" x14ac:dyDescent="0.3">
      <c r="B17" t="s">
        <v>146</v>
      </c>
      <c r="C17" s="11">
        <f>H12*C5/B5*(1+H23*(C6-B6))</f>
        <v>259.10879999999997</v>
      </c>
      <c r="D17" s="35">
        <f>(C18-C17)/C18</f>
        <v>-4.2007722007711895E-4</v>
      </c>
      <c r="F17" s="27" t="s">
        <v>121</v>
      </c>
      <c r="G17" s="28" t="s">
        <v>122</v>
      </c>
      <c r="H17" s="28">
        <v>10.57</v>
      </c>
      <c r="I17" s="28">
        <v>8.49</v>
      </c>
      <c r="J17" s="28">
        <v>10.119999999999999</v>
      </c>
      <c r="K17" s="28">
        <v>8.02</v>
      </c>
      <c r="L17" s="25"/>
    </row>
    <row r="18" spans="2:12" ht="26.25" thickBot="1" x14ac:dyDescent="0.3">
      <c r="B18" t="s">
        <v>152</v>
      </c>
      <c r="C18">
        <v>259</v>
      </c>
      <c r="F18" s="27" t="s">
        <v>123</v>
      </c>
      <c r="G18" s="28" t="s">
        <v>124</v>
      </c>
      <c r="H18" s="28">
        <v>201</v>
      </c>
      <c r="I18" s="28" t="s">
        <v>114</v>
      </c>
      <c r="J18" s="28">
        <v>194</v>
      </c>
      <c r="K18" s="28" t="s">
        <v>114</v>
      </c>
      <c r="L18" s="25"/>
    </row>
    <row r="19" spans="2:12" ht="26.25" thickBot="1" x14ac:dyDescent="0.3">
      <c r="F19" s="29" t="s">
        <v>125</v>
      </c>
      <c r="G19" s="30" t="s">
        <v>126</v>
      </c>
      <c r="H19" s="26">
        <v>20.100000000000001</v>
      </c>
      <c r="I19" s="26" t="s">
        <v>114</v>
      </c>
      <c r="J19" s="26">
        <v>19.399999999999999</v>
      </c>
      <c r="K19" s="28" t="s">
        <v>114</v>
      </c>
      <c r="L19" s="25"/>
    </row>
    <row r="20" spans="2:12" ht="16.5" thickTop="1" thickBot="1" x14ac:dyDescent="0.3">
      <c r="F20" s="82" t="s">
        <v>127</v>
      </c>
      <c r="G20" s="83"/>
      <c r="H20" s="84"/>
      <c r="I20" s="85"/>
      <c r="J20" s="86"/>
      <c r="K20" s="87"/>
      <c r="L20" s="25"/>
    </row>
    <row r="21" spans="2:12" ht="40.15" customHeight="1" thickTop="1" x14ac:dyDescent="0.25">
      <c r="F21" s="88" t="s">
        <v>128</v>
      </c>
      <c r="G21" s="31" t="s">
        <v>129</v>
      </c>
      <c r="H21" s="90" t="s">
        <v>131</v>
      </c>
      <c r="I21" s="91"/>
      <c r="J21" s="92" t="s">
        <v>132</v>
      </c>
      <c r="K21" s="93"/>
      <c r="L21" s="77"/>
    </row>
    <row r="22" spans="2:12" ht="15.75" thickBot="1" x14ac:dyDescent="0.3">
      <c r="F22" s="89"/>
      <c r="G22" s="28" t="s">
        <v>130</v>
      </c>
      <c r="H22" s="86"/>
      <c r="I22" s="87"/>
      <c r="J22" s="86"/>
      <c r="K22" s="87"/>
      <c r="L22" s="77"/>
    </row>
    <row r="23" spans="2:12" ht="40.5" thickBot="1" x14ac:dyDescent="0.3">
      <c r="F23" s="27" t="s">
        <v>133</v>
      </c>
      <c r="G23" s="28" t="s">
        <v>134</v>
      </c>
      <c r="H23" s="78">
        <v>-3.5999999999999999E-3</v>
      </c>
      <c r="I23" s="79"/>
      <c r="J23" s="78" t="s">
        <v>135</v>
      </c>
      <c r="K23" s="79"/>
      <c r="L23" s="25"/>
    </row>
    <row r="24" spans="2:12" ht="40.5" thickBot="1" x14ac:dyDescent="0.3">
      <c r="F24" s="27" t="s">
        <v>136</v>
      </c>
      <c r="G24" s="28" t="s">
        <v>137</v>
      </c>
      <c r="H24" s="78">
        <v>-2.5999999999999999E-3</v>
      </c>
      <c r="I24" s="79"/>
      <c r="J24" s="78" t="s">
        <v>138</v>
      </c>
      <c r="K24" s="79"/>
      <c r="L24" s="25"/>
    </row>
    <row r="25" spans="2:12" ht="40.5" thickBot="1" x14ac:dyDescent="0.3">
      <c r="F25" s="29" t="s">
        <v>139</v>
      </c>
      <c r="G25" s="26" t="s">
        <v>140</v>
      </c>
      <c r="H25" s="80">
        <v>2.9999999999999997E-4</v>
      </c>
      <c r="I25" s="81"/>
      <c r="J25" s="78" t="s">
        <v>141</v>
      </c>
      <c r="K25" s="79"/>
      <c r="L25" s="32"/>
    </row>
    <row r="26" spans="2:12" ht="15.75" thickTop="1" x14ac:dyDescent="0.25">
      <c r="F26" s="71" t="s">
        <v>142</v>
      </c>
      <c r="G26" s="72"/>
      <c r="H26" s="72"/>
      <c r="I26" s="72"/>
      <c r="J26" s="72"/>
      <c r="K26" s="72"/>
      <c r="L26" s="73"/>
    </row>
    <row r="27" spans="2:12" ht="28.9" customHeight="1" thickBot="1" x14ac:dyDescent="0.3">
      <c r="F27" s="74" t="s">
        <v>143</v>
      </c>
      <c r="G27" s="75"/>
      <c r="H27" s="75"/>
      <c r="I27" s="75"/>
      <c r="J27" s="75"/>
      <c r="K27" s="75"/>
      <c r="L27" s="76"/>
    </row>
  </sheetData>
  <mergeCells count="42">
    <mergeCell ref="F2:G2"/>
    <mergeCell ref="H2:I2"/>
    <mergeCell ref="J2:K2"/>
    <mergeCell ref="F3:G3"/>
    <mergeCell ref="H3:I3"/>
    <mergeCell ref="J3:K3"/>
    <mergeCell ref="L7:L8"/>
    <mergeCell ref="F4:G4"/>
    <mergeCell ref="H4:K4"/>
    <mergeCell ref="F5:G5"/>
    <mergeCell ref="H5:I5"/>
    <mergeCell ref="J5:K5"/>
    <mergeCell ref="F6:G6"/>
    <mergeCell ref="H6:I6"/>
    <mergeCell ref="J6:K6"/>
    <mergeCell ref="F7:G8"/>
    <mergeCell ref="H7:I7"/>
    <mergeCell ref="H8:I8"/>
    <mergeCell ref="J7:K7"/>
    <mergeCell ref="J8:K8"/>
    <mergeCell ref="F9:G9"/>
    <mergeCell ref="H9:I9"/>
    <mergeCell ref="J9:K9"/>
    <mergeCell ref="F10:G10"/>
    <mergeCell ref="H10:I10"/>
    <mergeCell ref="J10:K10"/>
    <mergeCell ref="F11:G11"/>
    <mergeCell ref="F20:G20"/>
    <mergeCell ref="H20:I20"/>
    <mergeCell ref="J20:K20"/>
    <mergeCell ref="F21:F22"/>
    <mergeCell ref="H21:I22"/>
    <mergeCell ref="J21:K22"/>
    <mergeCell ref="F26:L26"/>
    <mergeCell ref="F27:L27"/>
    <mergeCell ref="L21:L22"/>
    <mergeCell ref="H23:I23"/>
    <mergeCell ref="J23:K23"/>
    <mergeCell ref="H24:I24"/>
    <mergeCell ref="J24:K24"/>
    <mergeCell ref="H25:I25"/>
    <mergeCell ref="J25:K2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zoomScaleNormal="100" workbookViewId="0">
      <selection activeCell="D20" sqref="D20"/>
    </sheetView>
  </sheetViews>
  <sheetFormatPr baseColWidth="10" defaultRowHeight="15" x14ac:dyDescent="0.25"/>
  <cols>
    <col min="11" max="11" width="11.5703125" style="1"/>
  </cols>
  <sheetData>
    <row r="1" spans="1:11" x14ac:dyDescent="0.25">
      <c r="A1" s="10" t="s">
        <v>64</v>
      </c>
      <c r="B1" s="24" t="s">
        <v>85</v>
      </c>
      <c r="F1" s="7"/>
      <c r="G1" s="55" t="s">
        <v>159</v>
      </c>
      <c r="H1" s="7"/>
      <c r="I1" s="7"/>
      <c r="J1" s="7"/>
      <c r="K1" s="40"/>
    </row>
    <row r="2" spans="1:11" x14ac:dyDescent="0.25">
      <c r="A2" s="10" t="s">
        <v>60</v>
      </c>
      <c r="B2" s="24" t="s">
        <v>82</v>
      </c>
      <c r="F2" s="7"/>
      <c r="G2" s="17" t="s">
        <v>154</v>
      </c>
      <c r="H2" s="17" t="s">
        <v>155</v>
      </c>
      <c r="I2" s="17" t="s">
        <v>156</v>
      </c>
      <c r="J2" s="17" t="s">
        <v>25</v>
      </c>
      <c r="K2" s="54" t="s">
        <v>157</v>
      </c>
    </row>
    <row r="3" spans="1:11" x14ac:dyDescent="0.25">
      <c r="A3" s="10" t="s">
        <v>49</v>
      </c>
      <c r="B3" s="5">
        <f>1.686*1.016</f>
        <v>1.7129760000000001</v>
      </c>
      <c r="C3" t="s">
        <v>52</v>
      </c>
      <c r="F3" s="17" t="s">
        <v>1</v>
      </c>
      <c r="G3" s="41">
        <v>0</v>
      </c>
      <c r="H3" s="49">
        <v>10.569986469290271</v>
      </c>
      <c r="I3" s="42">
        <f>$B$25-$B$26*(EXP((G3+H3*$B$31)/$B$20)-1)-(G3+H3*$B$31)/$B$29</f>
        <v>10.570000018226265</v>
      </c>
      <c r="J3" s="51">
        <f>(I3-H3)/I3</f>
        <v>1.2818293255549217E-6</v>
      </c>
      <c r="K3" s="43">
        <f t="shared" ref="K3:K11" si="0">I3*G3</f>
        <v>0</v>
      </c>
    </row>
    <row r="4" spans="1:11" x14ac:dyDescent="0.25">
      <c r="A4" s="10" t="s">
        <v>50</v>
      </c>
      <c r="B4">
        <v>40</v>
      </c>
      <c r="C4" t="s">
        <v>51</v>
      </c>
      <c r="F4" s="17" t="s">
        <v>0</v>
      </c>
      <c r="G4" s="48">
        <v>41.2</v>
      </c>
      <c r="H4" s="7">
        <v>0</v>
      </c>
      <c r="I4" s="42">
        <f>$B$25-$B$26*(EXP((G4+H4*$B$31)/$B$20)-1)-(G4+H4*$B$31)/$B$29</f>
        <v>2.5501323275278764E-11</v>
      </c>
      <c r="J4" s="51"/>
      <c r="K4" s="43">
        <f t="shared" si="0"/>
        <v>1.0506545189414853E-9</v>
      </c>
    </row>
    <row r="5" spans="1:11" x14ac:dyDescent="0.25">
      <c r="A5" s="10" t="s">
        <v>0</v>
      </c>
      <c r="B5" s="24">
        <v>41.2</v>
      </c>
      <c r="C5" s="2">
        <f>B5/B14</f>
        <v>0.68666666666666676</v>
      </c>
      <c r="F5" s="7"/>
      <c r="G5" s="41">
        <f t="shared" ref="G5:G10" si="1">G6-$G$12*0.005</f>
        <v>31.806400000000004</v>
      </c>
      <c r="H5" s="42">
        <v>10.27093337709392</v>
      </c>
      <c r="I5" s="42">
        <f t="shared" ref="I5:I11" si="2">$B$25-$B$26*(EXP((G5+H5*$B$31)/$B$20)-1)-(G5+H5*$B$31)/$B$29</f>
        <v>10.270871845171985</v>
      </c>
      <c r="J5" s="51">
        <f t="shared" ref="J5:J11" si="3">(I5-H5)/I5</f>
        <v>-5.9909151688531693E-6</v>
      </c>
      <c r="K5" s="43">
        <f t="shared" si="0"/>
        <v>326.67945825627828</v>
      </c>
    </row>
    <row r="6" spans="1:11" x14ac:dyDescent="0.25">
      <c r="A6" s="10" t="s">
        <v>1</v>
      </c>
      <c r="B6" s="24">
        <v>10.57</v>
      </c>
      <c r="D6" s="3"/>
      <c r="F6" s="7"/>
      <c r="G6" s="41">
        <f t="shared" si="1"/>
        <v>31.971200000000003</v>
      </c>
      <c r="H6" s="42">
        <v>10.259460952900207</v>
      </c>
      <c r="I6" s="42">
        <f t="shared" si="2"/>
        <v>10.259383403163714</v>
      </c>
      <c r="J6" s="51">
        <f t="shared" si="3"/>
        <v>-7.5589081181867841E-6</v>
      </c>
      <c r="K6" s="43">
        <f t="shared" si="0"/>
        <v>328.00479865922773</v>
      </c>
    </row>
    <row r="7" spans="1:11" x14ac:dyDescent="0.25">
      <c r="A7" s="10" t="s">
        <v>2</v>
      </c>
      <c r="B7" s="24">
        <v>34.9</v>
      </c>
      <c r="C7" s="9">
        <f>B7/B5</f>
        <v>0.84708737864077666</v>
      </c>
      <c r="F7" s="7"/>
      <c r="G7" s="41">
        <f t="shared" si="1"/>
        <v>32.136000000000003</v>
      </c>
      <c r="H7" s="42">
        <v>10.246852789019727</v>
      </c>
      <c r="I7" s="42">
        <f t="shared" si="2"/>
        <v>10.246754673909459</v>
      </c>
      <c r="J7" s="51">
        <f t="shared" si="3"/>
        <v>-9.5752375644646473E-6</v>
      </c>
      <c r="K7" s="43">
        <f t="shared" si="0"/>
        <v>329.28970820075443</v>
      </c>
    </row>
    <row r="8" spans="1:11" x14ac:dyDescent="0.25">
      <c r="A8" s="10" t="s">
        <v>3</v>
      </c>
      <c r="B8" s="24">
        <v>9.89</v>
      </c>
      <c r="F8" s="7"/>
      <c r="G8" s="41">
        <f t="shared" si="1"/>
        <v>32.300800000000002</v>
      </c>
      <c r="H8" s="42">
        <v>10.232989619560325</v>
      </c>
      <c r="I8" s="42">
        <f t="shared" si="2"/>
        <v>10.232865018947662</v>
      </c>
      <c r="J8" s="51">
        <f t="shared" si="3"/>
        <v>-1.217651287615504E-5</v>
      </c>
      <c r="K8" s="43">
        <f t="shared" si="0"/>
        <v>330.52972640402464</v>
      </c>
    </row>
    <row r="9" spans="1:11" x14ac:dyDescent="0.25">
      <c r="A9" t="s">
        <v>55</v>
      </c>
      <c r="B9" s="11">
        <f>B7*B8</f>
        <v>345.161</v>
      </c>
      <c r="C9" s="17" t="s">
        <v>48</v>
      </c>
      <c r="F9" s="7"/>
      <c r="G9" s="41">
        <f t="shared" si="1"/>
        <v>32.465600000000002</v>
      </c>
      <c r="H9" s="42">
        <v>10.21774076928808</v>
      </c>
      <c r="I9" s="42">
        <f t="shared" si="2"/>
        <v>10.217581956581224</v>
      </c>
      <c r="J9" s="51">
        <f t="shared" si="3"/>
        <v>-1.5543081281885753E-5</v>
      </c>
      <c r="K9" s="43">
        <f t="shared" si="0"/>
        <v>331.71992876958342</v>
      </c>
    </row>
    <row r="10" spans="1:11" x14ac:dyDescent="0.25">
      <c r="A10" s="10" t="s">
        <v>28</v>
      </c>
      <c r="B10" s="13">
        <f>C10*B5/100</f>
        <v>-0.10712000000000002</v>
      </c>
      <c r="C10" s="18">
        <v>-0.26</v>
      </c>
      <c r="F10" s="7"/>
      <c r="G10" s="41">
        <f t="shared" si="1"/>
        <v>32.630400000000002</v>
      </c>
      <c r="H10" s="42">
        <v>10.200963335144484</v>
      </c>
      <c r="I10" s="42">
        <f t="shared" si="2"/>
        <v>10.200760201657141</v>
      </c>
      <c r="J10" s="51">
        <f t="shared" si="3"/>
        <v>-1.9913563629298006E-5</v>
      </c>
      <c r="K10" s="43">
        <f t="shared" si="0"/>
        <v>332.8548856841532</v>
      </c>
    </row>
    <row r="11" spans="1:11" x14ac:dyDescent="0.25">
      <c r="A11" s="10" t="s">
        <v>27</v>
      </c>
      <c r="B11" s="12">
        <f>C11*B6/100</f>
        <v>3.1709999999999998E-3</v>
      </c>
      <c r="C11" s="18">
        <v>0.03</v>
      </c>
      <c r="F11" s="7"/>
      <c r="G11" s="41">
        <f>G12-$G$12*0.005</f>
        <v>32.795200000000001</v>
      </c>
      <c r="H11" s="42">
        <v>10.182501380799618</v>
      </c>
      <c r="I11" s="42">
        <f t="shared" si="2"/>
        <v>10.182240671188543</v>
      </c>
      <c r="J11" s="51">
        <f t="shared" si="3"/>
        <v>-2.5604345791237774E-5</v>
      </c>
      <c r="K11" s="43">
        <f t="shared" si="0"/>
        <v>333.92861925976251</v>
      </c>
    </row>
    <row r="12" spans="1:11" x14ac:dyDescent="0.25">
      <c r="A12" s="10" t="s">
        <v>67</v>
      </c>
      <c r="B12" s="12">
        <f>C12*B9/100</f>
        <v>-1.2425796</v>
      </c>
      <c r="C12" s="18">
        <v>-0.36</v>
      </c>
      <c r="F12" t="s">
        <v>153</v>
      </c>
      <c r="G12" s="41">
        <f>B5*0.8</f>
        <v>32.96</v>
      </c>
      <c r="H12" s="42">
        <v>10.162185168575272</v>
      </c>
      <c r="I12" s="42">
        <f>$B$25-$B$26*(EXP((G12+H12*$B$31)/$B$20)-1)-(G12+H12*$B$31)/$B$29</f>
        <v>10.161849464368995</v>
      </c>
      <c r="J12" s="51">
        <f>(I12-H12)/I12</f>
        <v>-3.3035738962099348E-5</v>
      </c>
      <c r="K12" s="43">
        <f>I12*G12</f>
        <v>334.93455834560206</v>
      </c>
    </row>
    <row r="13" spans="1:11" x14ac:dyDescent="0.25">
      <c r="A13" s="10" t="s">
        <v>56</v>
      </c>
      <c r="B13">
        <v>42</v>
      </c>
      <c r="F13" s="7"/>
      <c r="G13" s="41">
        <f>G12+$G$12*0.005</f>
        <v>33.1248</v>
      </c>
      <c r="H13" s="42">
        <v>10.13983046045551</v>
      </c>
      <c r="I13" s="42">
        <f t="shared" ref="I13:I22" si="4">$B$25-$B$26*(EXP((G13+H13*$B$31)/$B$20)-1)-(G13+H13*$B$31)/$B$29</f>
        <v>10.139396827696498</v>
      </c>
      <c r="J13" s="51">
        <f t="shared" ref="J13:J22" si="5">(I13-H13)/I13</f>
        <v>-4.2767115873000084E-5</v>
      </c>
      <c r="K13" s="43">
        <f t="shared" ref="K13:K22" si="6">I13*G13</f>
        <v>335.86549203808096</v>
      </c>
    </row>
    <row r="14" spans="1:11" x14ac:dyDescent="0.25">
      <c r="A14" s="10" t="s">
        <v>4</v>
      </c>
      <c r="B14" s="1">
        <v>60</v>
      </c>
      <c r="F14" s="7"/>
      <c r="G14" s="41">
        <f t="shared" ref="G14:G21" si="7">G13+$G$12*0.005</f>
        <v>33.2896</v>
      </c>
      <c r="H14" s="42">
        <v>10.115237928934311</v>
      </c>
      <c r="I14" s="42">
        <f t="shared" si="4"/>
        <v>10.114676118073973</v>
      </c>
      <c r="J14" s="51">
        <f t="shared" si="5"/>
        <v>-5.5544127541003307E-5</v>
      </c>
      <c r="K14" s="43">
        <f t="shared" si="6"/>
        <v>336.71352210023531</v>
      </c>
    </row>
    <row r="15" spans="1:11" x14ac:dyDescent="0.25">
      <c r="A15" t="s">
        <v>10</v>
      </c>
      <c r="B15" s="1">
        <f>273.15+25</f>
        <v>298.14999999999998</v>
      </c>
      <c r="C15" t="s">
        <v>11</v>
      </c>
      <c r="D15" t="s">
        <v>56</v>
      </c>
      <c r="E15" s="1">
        <f>273.15+B13</f>
        <v>315.14999999999998</v>
      </c>
      <c r="F15" s="7"/>
      <c r="G15" s="41">
        <f t="shared" si="7"/>
        <v>33.4544</v>
      </c>
      <c r="H15" s="42">
        <v>10.088192729409627</v>
      </c>
      <c r="I15" s="42">
        <f t="shared" si="4"/>
        <v>10.087462778663667</v>
      </c>
      <c r="J15" s="51">
        <f t="shared" si="5"/>
        <v>-7.236217490724061E-5</v>
      </c>
      <c r="K15" s="43">
        <f t="shared" si="6"/>
        <v>337.47001478252577</v>
      </c>
    </row>
    <row r="16" spans="1:11" x14ac:dyDescent="0.25">
      <c r="A16" t="s">
        <v>6</v>
      </c>
      <c r="B16" s="3">
        <v>1.3806490000000001E-23</v>
      </c>
      <c r="C16" t="s">
        <v>9</v>
      </c>
      <c r="F16" s="7"/>
      <c r="G16" s="41">
        <f t="shared" si="7"/>
        <v>33.619199999999999</v>
      </c>
      <c r="H16" s="42">
        <v>10.058464299018887</v>
      </c>
      <c r="I16" s="42">
        <f t="shared" si="4"/>
        <v>10.057513343613278</v>
      </c>
      <c r="J16" s="51">
        <f t="shared" si="5"/>
        <v>-9.4551741878849894E-5</v>
      </c>
      <c r="K16" s="43">
        <f t="shared" si="6"/>
        <v>338.12555260160354</v>
      </c>
    </row>
    <row r="17" spans="1:11" x14ac:dyDescent="0.25">
      <c r="A17" t="s">
        <v>7</v>
      </c>
      <c r="B17" s="3">
        <v>1.6021766339999999E-19</v>
      </c>
      <c r="C17" t="s">
        <v>8</v>
      </c>
      <c r="F17" s="7"/>
      <c r="G17" s="41">
        <f t="shared" si="7"/>
        <v>33.783999999999999</v>
      </c>
      <c r="H17" s="42">
        <v>10.025806462528863</v>
      </c>
      <c r="I17" s="42">
        <f t="shared" si="4"/>
        <v>10.024564488061316</v>
      </c>
      <c r="J17" s="51">
        <f t="shared" si="5"/>
        <v>-1.2389310967334744E-4</v>
      </c>
      <c r="K17" s="43">
        <f t="shared" si="6"/>
        <v>338.66988666466347</v>
      </c>
    </row>
    <row r="18" spans="1:11" x14ac:dyDescent="0.25">
      <c r="A18" t="s">
        <v>44</v>
      </c>
      <c r="B18" s="1">
        <v>1.121</v>
      </c>
      <c r="F18" s="7"/>
      <c r="G18" s="41">
        <f t="shared" si="7"/>
        <v>33.948799999999999</v>
      </c>
      <c r="H18" s="42">
        <v>9.9899579444375064</v>
      </c>
      <c r="I18" s="42">
        <f t="shared" si="4"/>
        <v>9.988332138395192</v>
      </c>
      <c r="J18" s="51">
        <f t="shared" si="5"/>
        <v>-1.6277052262457631E-4</v>
      </c>
      <c r="K18" s="43">
        <f t="shared" si="6"/>
        <v>339.09189009995066</v>
      </c>
    </row>
    <row r="19" spans="1:11" x14ac:dyDescent="0.25">
      <c r="A19" t="s">
        <v>58</v>
      </c>
      <c r="B19">
        <v>-2.677E-4</v>
      </c>
      <c r="C19" t="s">
        <v>61</v>
      </c>
      <c r="D19" t="s">
        <v>47</v>
      </c>
      <c r="E19" t="s">
        <v>76</v>
      </c>
      <c r="F19" s="7"/>
      <c r="G19" s="41">
        <f t="shared" si="7"/>
        <v>34.113599999999998</v>
      </c>
      <c r="H19" s="42">
        <v>9.9506434080702473</v>
      </c>
      <c r="I19" s="42">
        <f t="shared" si="4"/>
        <v>9.9485106536611152</v>
      </c>
      <c r="J19" s="51">
        <f t="shared" si="5"/>
        <v>-2.1437926573936059E-4</v>
      </c>
      <c r="K19" s="43">
        <f t="shared" si="6"/>
        <v>339.3795130347338</v>
      </c>
    </row>
    <row r="20" spans="1:11" x14ac:dyDescent="0.25">
      <c r="A20" t="s">
        <v>13</v>
      </c>
      <c r="B20" s="2">
        <f>B16*B15*B30*B14/B17</f>
        <v>1.541554747265151</v>
      </c>
      <c r="C20" s="2">
        <v>1.4623970505164501</v>
      </c>
      <c r="D20" s="9">
        <f>(B20-C20)/C20</f>
        <v>5.4128731127258557E-2</v>
      </c>
      <c r="E20" s="23">
        <f>B16*E15*B30*B14/B17</f>
        <v>1.6294515465390318</v>
      </c>
      <c r="F20" s="17" t="s">
        <v>86</v>
      </c>
      <c r="G20" s="48">
        <f t="shared" si="7"/>
        <v>34.278399999999998</v>
      </c>
      <c r="H20" s="49">
        <v>9.9075751673254189</v>
      </c>
      <c r="I20" s="45">
        <f t="shared" si="4"/>
        <v>9.904772081092057</v>
      </c>
      <c r="J20" s="53">
        <f t="shared" si="5"/>
        <v>-2.8300360779758997E-4</v>
      </c>
      <c r="K20" s="50">
        <f t="shared" si="6"/>
        <v>339.51973930450595</v>
      </c>
    </row>
    <row r="21" spans="1:11" x14ac:dyDescent="0.25">
      <c r="A21" t="s">
        <v>15</v>
      </c>
      <c r="B21" s="2">
        <f>B5/B20</f>
        <v>26.726264554075879</v>
      </c>
      <c r="E21" t="s">
        <v>84</v>
      </c>
      <c r="G21" s="41">
        <f t="shared" si="7"/>
        <v>34.443199999999997</v>
      </c>
      <c r="H21" s="42">
        <v>9.8604557448596619</v>
      </c>
      <c r="I21" s="42">
        <f t="shared" si="4"/>
        <v>9.8567654753516685</v>
      </c>
      <c r="J21" s="51">
        <f t="shared" si="5"/>
        <v>-3.7438950102054529E-4</v>
      </c>
      <c r="K21" s="43">
        <f t="shared" si="6"/>
        <v>339.49854462063257</v>
      </c>
    </row>
    <row r="22" spans="1:11" x14ac:dyDescent="0.25">
      <c r="A22" t="s">
        <v>5</v>
      </c>
      <c r="B22" s="2">
        <f>(B21-LN(B21+0.72))/(B21+1)</f>
        <v>0.84447129296965018</v>
      </c>
      <c r="E22">
        <f>B5*0.06</f>
        <v>2.472</v>
      </c>
      <c r="G22" s="41">
        <f>G21+$G$12*0.005</f>
        <v>34.607999999999997</v>
      </c>
      <c r="H22" s="42">
        <v>9.8089814816800516</v>
      </c>
      <c r="I22" s="42">
        <f t="shared" si="4"/>
        <v>9.8041162502945784</v>
      </c>
      <c r="J22" s="51">
        <f t="shared" si="5"/>
        <v>-4.9624374714313908E-4</v>
      </c>
      <c r="K22" s="43">
        <f t="shared" si="6"/>
        <v>339.30085519019474</v>
      </c>
    </row>
    <row r="23" spans="1:11" x14ac:dyDescent="0.25">
      <c r="A23" t="s">
        <v>14</v>
      </c>
      <c r="B23" s="2">
        <f>B8*B7/B6/B5</f>
        <v>0.79259169108394334</v>
      </c>
      <c r="G23" s="41">
        <f t="shared" ref="G23:G25" si="8">G22+$G$12*0.005</f>
        <v>34.772799999999997</v>
      </c>
      <c r="H23" s="42">
        <v>9.7528474367376194</v>
      </c>
      <c r="I23" s="42">
        <f t="shared" ref="I23:I25" si="9">$B$25-$B$26*(EXP((G23+H23*$B$31)/$B$20)-1)-(G23+H23*$B$31)/$B$29</f>
        <v>9.7464255013647279</v>
      </c>
      <c r="J23" s="51">
        <f t="shared" ref="J23:J25" si="10">(I23-H23)/I23</f>
        <v>-6.5890160161716465E-4</v>
      </c>
      <c r="K23" s="43">
        <f t="shared" ref="K23:K25" si="11">I23*G23</f>
        <v>338.91050467385537</v>
      </c>
    </row>
    <row r="24" spans="1:11" x14ac:dyDescent="0.25">
      <c r="A24" t="s">
        <v>16</v>
      </c>
      <c r="B24" s="2">
        <f>1-B23/B22</f>
        <v>6.143441738945099E-2</v>
      </c>
      <c r="G24" s="41">
        <f t="shared" si="8"/>
        <v>34.937599999999996</v>
      </c>
      <c r="H24" s="42">
        <v>9.6917538500804881</v>
      </c>
      <c r="I24" s="42">
        <f t="shared" si="9"/>
        <v>9.6832691932627402</v>
      </c>
      <c r="J24" s="51">
        <f t="shared" si="10"/>
        <v>-8.7621821188769739E-4</v>
      </c>
      <c r="K24" s="43">
        <f t="shared" si="11"/>
        <v>338.31018576653628</v>
      </c>
    </row>
    <row r="25" spans="1:11" x14ac:dyDescent="0.25">
      <c r="A25" s="21" t="s">
        <v>17</v>
      </c>
      <c r="B25" s="38">
        <f>B6*(1+B31/B27)</f>
        <v>10.584301873742024</v>
      </c>
      <c r="C25" s="2">
        <v>10.582878130637599</v>
      </c>
      <c r="D25" s="9">
        <f>(B25-C25)/C25</f>
        <v>1.3453269392787377E-4</v>
      </c>
      <c r="G25" s="41">
        <f t="shared" si="8"/>
        <v>35.102399999999996</v>
      </c>
      <c r="H25" s="42">
        <v>9.6254144775656343</v>
      </c>
      <c r="I25" s="42">
        <f t="shared" si="9"/>
        <v>9.6141970478240335</v>
      </c>
      <c r="J25" s="51">
        <f t="shared" si="10"/>
        <v>-1.1667567957887451E-3</v>
      </c>
      <c r="K25" s="43">
        <f t="shared" si="11"/>
        <v>337.48139045153829</v>
      </c>
    </row>
    <row r="26" spans="1:11" x14ac:dyDescent="0.25">
      <c r="A26" s="21" t="s">
        <v>12</v>
      </c>
      <c r="B26" s="39">
        <f>(B6-(B5-B6*B31)/B27)*EXP(-B5/B20)</f>
        <v>2.5499231345916083E-11</v>
      </c>
      <c r="C26" s="22">
        <v>5.9791283998269998E-12</v>
      </c>
      <c r="D26" s="9">
        <f>(B26-C26)/C26</f>
        <v>3.2647071012313233</v>
      </c>
      <c r="J26" t="s">
        <v>158</v>
      </c>
      <c r="K26" s="15">
        <f>(K20-B9)/B9</f>
        <v>-1.6343853145326541E-2</v>
      </c>
    </row>
    <row r="27" spans="1:11" x14ac:dyDescent="0.25">
      <c r="A27" t="s">
        <v>45</v>
      </c>
      <c r="B27" s="11">
        <f>B29</f>
        <v>154.72245447476811</v>
      </c>
      <c r="C27" s="11"/>
      <c r="D27" s="9"/>
    </row>
    <row r="28" spans="1:11" x14ac:dyDescent="0.25">
      <c r="A28" t="s">
        <v>70</v>
      </c>
      <c r="B28" s="11">
        <f>B7/(0.2*(B6-B8))</f>
        <v>256.61764705882359</v>
      </c>
      <c r="C28" s="11"/>
      <c r="D28" s="9"/>
    </row>
    <row r="29" spans="1:11" x14ac:dyDescent="0.25">
      <c r="A29" s="21" t="s">
        <v>81</v>
      </c>
      <c r="B29" s="36">
        <f>(B7-B20)*(B7-B8*B31)/((B6-B8)*(B7-B8*B31)-B8*B20)</f>
        <v>154.72245447476811</v>
      </c>
      <c r="C29" s="11">
        <v>135.921147978021</v>
      </c>
      <c r="D29" s="9">
        <f>(B29-C29)/C29</f>
        <v>0.13832510081350521</v>
      </c>
    </row>
    <row r="30" spans="1:11" x14ac:dyDescent="0.25">
      <c r="A30" t="s">
        <v>46</v>
      </c>
      <c r="B30" s="1">
        <v>1</v>
      </c>
      <c r="C30" s="2">
        <f>C20/B14/B16/B15*B17</f>
        <v>0.94865073920395426</v>
      </c>
      <c r="D30" s="9">
        <f>(B30-C30)/C30</f>
        <v>5.4128731127258363E-2</v>
      </c>
    </row>
    <row r="31" spans="1:11" x14ac:dyDescent="0.25">
      <c r="A31" s="21" t="s">
        <v>24</v>
      </c>
      <c r="B31" s="37">
        <f>(B5-B7+B20*LN(1-B8/B6))/B8</f>
        <v>0.20934919668439725</v>
      </c>
      <c r="C31" s="5">
        <v>0.16560173114478499</v>
      </c>
      <c r="D31" s="9">
        <f>(B31-C31)/C31</f>
        <v>0.26417275494157733</v>
      </c>
    </row>
    <row r="32" spans="1:11" x14ac:dyDescent="0.25">
      <c r="A32" t="s">
        <v>23</v>
      </c>
      <c r="B32" s="5">
        <f>(1-B23/B22)*B5/B6</f>
        <v>0.23946054838650715</v>
      </c>
      <c r="C32" s="9"/>
    </row>
    <row r="33" spans="1:4" x14ac:dyDescent="0.25">
      <c r="A33" t="s">
        <v>68</v>
      </c>
      <c r="B33" s="5">
        <f>(B5-B7+B20*LN(1+B8/B6))/B8</f>
        <v>0.7399517548298512</v>
      </c>
      <c r="C33" s="9"/>
    </row>
    <row r="34" spans="1:4" x14ac:dyDescent="0.25">
      <c r="A34" t="s">
        <v>71</v>
      </c>
      <c r="B34" s="5">
        <f>(B36-B38+B20*LN(1-B39/B37))/B39</f>
        <v>0.24275283172843196</v>
      </c>
    </row>
    <row r="35" spans="1:4" x14ac:dyDescent="0.25">
      <c r="A35" s="10" t="s">
        <v>56</v>
      </c>
      <c r="B35" t="s">
        <v>59</v>
      </c>
      <c r="C35" t="s">
        <v>75</v>
      </c>
      <c r="D35" t="s">
        <v>25</v>
      </c>
    </row>
    <row r="36" spans="1:4" x14ac:dyDescent="0.25">
      <c r="A36" t="s">
        <v>0</v>
      </c>
      <c r="B36" s="24">
        <v>38.799999999999997</v>
      </c>
      <c r="C36" s="6">
        <f>B$5+(B$5*C$10/100*(B$13-25)+E$22*LN(800/1000))-B$31*(0-0)</f>
        <v>38.827349141151274</v>
      </c>
      <c r="D36" s="15">
        <f>(B36-C36)/B36</f>
        <v>-7.048747719401164E-4</v>
      </c>
    </row>
    <row r="37" spans="1:4" x14ac:dyDescent="0.25">
      <c r="A37" t="s">
        <v>1</v>
      </c>
      <c r="B37" s="24">
        <v>8.49</v>
      </c>
      <c r="C37" s="2">
        <f>B6*(1+C$11/100*(B13-25))*800/1000</f>
        <v>8.4991256000000011</v>
      </c>
      <c r="D37" s="15">
        <f>(B37-C37)/B37</f>
        <v>-1.0748645465254233E-3</v>
      </c>
    </row>
    <row r="38" spans="1:4" x14ac:dyDescent="0.25">
      <c r="A38" t="s">
        <v>2</v>
      </c>
      <c r="B38" s="24">
        <v>32.799999999999997</v>
      </c>
      <c r="C38" s="6">
        <f>B$7+(B$5*C$10/100*(B$13-25)+E22*LN(800/1000))-B$31*(C$39-B$8)</f>
        <v>32.932994360887754</v>
      </c>
      <c r="D38" s="15">
        <f>(B38-C38)/B38</f>
        <v>-4.0547061246267403E-3</v>
      </c>
    </row>
    <row r="39" spans="1:4" x14ac:dyDescent="0.25">
      <c r="A39" t="s">
        <v>3</v>
      </c>
      <c r="B39" s="24">
        <v>7.89</v>
      </c>
      <c r="C39" s="2">
        <f>B8*(1+C$11/100*(B13-25))*800/1000</f>
        <v>7.9523512000000007</v>
      </c>
      <c r="D39" s="15">
        <f>(B39-C39)/B39</f>
        <v>-7.902560202788473E-3</v>
      </c>
    </row>
    <row r="40" spans="1:4" x14ac:dyDescent="0.25">
      <c r="A40" t="s">
        <v>55</v>
      </c>
      <c r="B40" s="11">
        <v>259</v>
      </c>
      <c r="C40" s="11">
        <f>C39*C38</f>
        <v>261.89473722539901</v>
      </c>
      <c r="D40" s="15">
        <f>(B40-C40)/B40</f>
        <v>-1.1176591603857191E-2</v>
      </c>
    </row>
    <row r="41" spans="1:4" x14ac:dyDescent="0.25">
      <c r="C41" s="11">
        <f>B9*800/1000*(1+C12/100*(B13-25))</f>
        <v>259.22971744</v>
      </c>
      <c r="D41" s="15">
        <f>(B40-C41)/B40</f>
        <v>-8.869399227799294E-4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" sqref="F1:K19"/>
    </sheetView>
  </sheetViews>
  <sheetFormatPr baseColWidth="10" defaultRowHeight="15" x14ac:dyDescent="0.25"/>
  <sheetData>
    <row r="1" spans="1:12" x14ac:dyDescent="0.25">
      <c r="F1" s="7"/>
      <c r="G1" s="55" t="s">
        <v>159</v>
      </c>
      <c r="H1" s="7"/>
      <c r="I1" s="7"/>
      <c r="J1" s="7"/>
      <c r="K1" s="40"/>
    </row>
    <row r="2" spans="1:12" x14ac:dyDescent="0.25">
      <c r="A2" s="10" t="s">
        <v>182</v>
      </c>
      <c r="B2" s="10" t="s">
        <v>144</v>
      </c>
      <c r="C2" s="10" t="s">
        <v>56</v>
      </c>
      <c r="F2" s="7"/>
      <c r="G2" s="17" t="s">
        <v>154</v>
      </c>
      <c r="H2" s="17" t="s">
        <v>155</v>
      </c>
      <c r="I2" s="17" t="s">
        <v>156</v>
      </c>
      <c r="J2" s="17" t="s">
        <v>25</v>
      </c>
      <c r="K2" s="54" t="s">
        <v>157</v>
      </c>
    </row>
    <row r="3" spans="1:12" x14ac:dyDescent="0.25">
      <c r="A3" t="s">
        <v>172</v>
      </c>
      <c r="B3">
        <v>1000</v>
      </c>
      <c r="C3">
        <v>800</v>
      </c>
      <c r="F3" s="17" t="s">
        <v>1</v>
      </c>
      <c r="G3" s="41">
        <v>0</v>
      </c>
      <c r="H3" s="49">
        <v>8.5</v>
      </c>
      <c r="I3" s="42">
        <f>$C$8-$C$9*(EXP((G3+H3*$C$11)/$C$22)-1)-(G3+H3*$C$11)/$C$10</f>
        <v>8.5014246228759198</v>
      </c>
      <c r="J3" s="51">
        <f>(I3-H3)/I3</f>
        <v>1.6757460532984084E-4</v>
      </c>
      <c r="K3" s="43">
        <f t="shared" ref="K3:K4" si="0">I3*G3</f>
        <v>0</v>
      </c>
    </row>
    <row r="4" spans="1:12" x14ac:dyDescent="0.25">
      <c r="A4" t="s">
        <v>164</v>
      </c>
      <c r="B4">
        <v>25</v>
      </c>
      <c r="C4">
        <v>42</v>
      </c>
      <c r="F4" s="17" t="s">
        <v>0</v>
      </c>
      <c r="G4" s="48">
        <v>38.784294000000003</v>
      </c>
      <c r="H4" s="7">
        <v>0</v>
      </c>
      <c r="I4" s="58">
        <f t="shared" ref="I4" si="1">$C$8-$C$9*(EXP((G4+H4*$C$11)/$C$22)-1)-(G4+H4*$C$11)/$C$10</f>
        <v>-5.592798732995119E-6</v>
      </c>
      <c r="J4" s="51"/>
      <c r="K4" s="43">
        <f t="shared" si="0"/>
        <v>-2.169127503433102E-4</v>
      </c>
    </row>
    <row r="5" spans="1:12" x14ac:dyDescent="0.25">
      <c r="A5" t="s">
        <v>163</v>
      </c>
      <c r="B5">
        <f>B4+273.15</f>
        <v>298.14999999999998</v>
      </c>
      <c r="C5">
        <f>C4+273.15</f>
        <v>315.14999999999998</v>
      </c>
      <c r="F5" t="s">
        <v>153</v>
      </c>
      <c r="G5" s="41">
        <f>G4*0.8</f>
        <v>31.027435200000003</v>
      </c>
      <c r="H5" s="42">
        <v>8.1392075572342435</v>
      </c>
      <c r="I5" s="42">
        <f t="shared" ref="I5:I13" si="2">$C$8-$C$9*(EXP((G5+H5*$C$11)/$C$22)-1)-(G5+H5*$C$11)/$C$10</f>
        <v>8.1389293630537853</v>
      </c>
      <c r="J5" s="51">
        <f>(I5-H5)/I5</f>
        <v>-3.418068495851613E-5</v>
      </c>
      <c r="K5" s="43">
        <f>I5*G5</f>
        <v>252.53010340952864</v>
      </c>
    </row>
    <row r="6" spans="1:12" x14ac:dyDescent="0.25">
      <c r="A6" s="10" t="s">
        <v>181</v>
      </c>
      <c r="D6" s="10" t="s">
        <v>165</v>
      </c>
      <c r="F6" s="7"/>
      <c r="G6" s="41">
        <f t="shared" ref="G6:G19" si="3">G5+$G$5*0.005</f>
        <v>31.182572376000003</v>
      </c>
      <c r="H6" s="42">
        <v>8.1188601541830678</v>
      </c>
      <c r="I6" s="42">
        <f t="shared" si="2"/>
        <v>8.11850762637056</v>
      </c>
      <c r="J6" s="51">
        <f t="shared" ref="J6:J13" si="4">(I6-H6)/I6</f>
        <v>-4.3422735893324568E-5</v>
      </c>
      <c r="K6" s="43">
        <f t="shared" ref="K6:K13" si="5">I6*G6</f>
        <v>253.15595164440799</v>
      </c>
    </row>
    <row r="7" spans="1:12" x14ac:dyDescent="0.25">
      <c r="A7" t="s">
        <v>46</v>
      </c>
      <c r="B7">
        <v>1</v>
      </c>
      <c r="C7">
        <f>B7</f>
        <v>1</v>
      </c>
      <c r="D7" t="s">
        <v>166</v>
      </c>
      <c r="F7" s="7"/>
      <c r="G7" s="41">
        <f t="shared" si="3"/>
        <v>31.337709552000003</v>
      </c>
      <c r="H7" s="42">
        <v>8.0966871490466072</v>
      </c>
      <c r="I7" s="42">
        <f t="shared" si="2"/>
        <v>8.0962394497406613</v>
      </c>
      <c r="J7" s="51">
        <f t="shared" si="4"/>
        <v>-5.529719182900946E-5</v>
      </c>
      <c r="K7" s="43">
        <f t="shared" si="5"/>
        <v>253.71760033941717</v>
      </c>
    </row>
    <row r="8" spans="1:12" x14ac:dyDescent="0.25">
      <c r="A8" t="s">
        <v>170</v>
      </c>
      <c r="B8" s="2">
        <v>10.584301873742024</v>
      </c>
      <c r="C8" s="2">
        <f>B8/$B$3*C3*(1+$B$16*(C4-$B$4))</f>
        <v>8.5106254506384875</v>
      </c>
      <c r="D8" t="s">
        <v>167</v>
      </c>
      <c r="F8" s="7"/>
      <c r="G8" s="41">
        <f t="shared" si="3"/>
        <v>31.492846728000004</v>
      </c>
      <c r="H8" s="42">
        <v>8.0725318324027757</v>
      </c>
      <c r="I8" s="42">
        <f t="shared" si="2"/>
        <v>8.0719620969459367</v>
      </c>
      <c r="J8" s="51">
        <f t="shared" si="4"/>
        <v>-7.058202825984387E-5</v>
      </c>
      <c r="K8" s="43">
        <f t="shared" si="5"/>
        <v>254.20906511334388</v>
      </c>
    </row>
    <row r="9" spans="1:12" x14ac:dyDescent="0.25">
      <c r="A9" t="s">
        <v>161</v>
      </c>
      <c r="B9" s="14">
        <v>2.5499231345916083E-11</v>
      </c>
      <c r="C9" s="14">
        <f>$B$9*(C5/$B$5)^3*EXP(1/$B$18*($B$14/$B$5-C14/C5))</f>
        <v>3.823888292032321E-10</v>
      </c>
      <c r="D9" t="s">
        <v>168</v>
      </c>
      <c r="F9" s="7"/>
      <c r="G9" s="41">
        <f t="shared" si="3"/>
        <v>31.647983904000004</v>
      </c>
      <c r="H9" s="42">
        <v>8.0462269707560772</v>
      </c>
      <c r="I9" s="42">
        <f t="shared" si="2"/>
        <v>8.0455005346287329</v>
      </c>
      <c r="J9" s="51">
        <f t="shared" si="4"/>
        <v>-9.0290979935627494E-5</v>
      </c>
      <c r="K9" s="59">
        <f t="shared" si="5"/>
        <v>254.62387141955355</v>
      </c>
    </row>
    <row r="10" spans="1:12" x14ac:dyDescent="0.25">
      <c r="A10" t="s">
        <v>171</v>
      </c>
      <c r="B10" s="11">
        <v>154.72245447476811</v>
      </c>
      <c r="C10" s="11">
        <f>B10/C3*B3</f>
        <v>193.40306809346015</v>
      </c>
      <c r="D10" t="s">
        <v>178</v>
      </c>
      <c r="F10" s="7"/>
      <c r="G10" s="41">
        <f t="shared" si="3"/>
        <v>31.803121080000004</v>
      </c>
      <c r="H10" s="42">
        <v>8.0175947566697552</v>
      </c>
      <c r="I10" s="42">
        <f t="shared" si="2"/>
        <v>8.0166668590811678</v>
      </c>
      <c r="J10" s="51">
        <f t="shared" si="4"/>
        <v>-1.1574605816833301E-4</v>
      </c>
      <c r="K10" s="59">
        <f t="shared" si="5"/>
        <v>254.9550267773817</v>
      </c>
    </row>
    <row r="11" spans="1:12" x14ac:dyDescent="0.25">
      <c r="A11" t="s">
        <v>145</v>
      </c>
      <c r="B11" s="2">
        <v>0.20934919668439725</v>
      </c>
      <c r="C11" s="2">
        <f>B11</f>
        <v>0.20934919668439725</v>
      </c>
      <c r="F11" s="7"/>
      <c r="G11" s="41">
        <f t="shared" si="3"/>
        <v>31.958258256000004</v>
      </c>
      <c r="H11" s="42">
        <v>7.98644694080095</v>
      </c>
      <c r="I11" s="42">
        <f t="shared" si="2"/>
        <v>7.9852597522295801</v>
      </c>
      <c r="J11" s="51">
        <f t="shared" si="4"/>
        <v>-1.4867250511649597E-4</v>
      </c>
      <c r="K11" s="59">
        <f t="shared" si="5"/>
        <v>255.19499340299552</v>
      </c>
    </row>
    <row r="12" spans="1:12" x14ac:dyDescent="0.25">
      <c r="A12" s="10" t="s">
        <v>180</v>
      </c>
      <c r="F12" s="46"/>
      <c r="G12" s="44">
        <f t="shared" si="3"/>
        <v>32.113395432000004</v>
      </c>
      <c r="H12" s="42">
        <v>7.9525851959935467</v>
      </c>
      <c r="I12" s="42">
        <f t="shared" si="2"/>
        <v>7.951063973705141</v>
      </c>
      <c r="J12" s="53">
        <f t="shared" si="4"/>
        <v>-1.9132311014432812E-4</v>
      </c>
      <c r="K12" s="60">
        <f t="shared" si="5"/>
        <v>255.33566149272247</v>
      </c>
    </row>
    <row r="13" spans="1:12" x14ac:dyDescent="0.25">
      <c r="A13" t="s">
        <v>173</v>
      </c>
      <c r="B13" s="56">
        <f>$B$17*B5/$B$19</f>
        <v>2.569257912108585E-2</v>
      </c>
      <c r="C13" s="56">
        <f>$B$17*C5/$B$19</f>
        <v>2.7157525775650528E-2</v>
      </c>
      <c r="D13" t="s">
        <v>169</v>
      </c>
      <c r="F13" s="17" t="s">
        <v>86</v>
      </c>
      <c r="G13" s="48">
        <f t="shared" si="3"/>
        <v>32.268532608000001</v>
      </c>
      <c r="H13" s="49">
        <v>7.9158017730894263</v>
      </c>
      <c r="I13" s="49">
        <f t="shared" si="2"/>
        <v>7.9138498938018182</v>
      </c>
      <c r="J13" s="52">
        <f t="shared" si="4"/>
        <v>-2.466409287263357E-4</v>
      </c>
      <c r="K13" s="61">
        <f t="shared" si="5"/>
        <v>255.36832335296131</v>
      </c>
      <c r="L13" s="15">
        <f>(K13-P7.4!B40)/P7.4!B40</f>
        <v>-1.4021917556133931E-2</v>
      </c>
    </row>
    <row r="14" spans="1:12" x14ac:dyDescent="0.25">
      <c r="A14" t="s">
        <v>162</v>
      </c>
      <c r="B14" s="1">
        <v>1.121</v>
      </c>
      <c r="C14" s="5">
        <f>$B$14*(1+$B$20*(C5-$B$5))</f>
        <v>1.1158984410999999</v>
      </c>
      <c r="D14" t="s">
        <v>177</v>
      </c>
      <c r="G14" s="44">
        <f t="shared" si="3"/>
        <v>32.423669783999998</v>
      </c>
      <c r="H14" s="42">
        <v>7.8758805188592849</v>
      </c>
      <c r="I14" s="42">
        <f t="shared" ref="I14:I19" si="6">$C$8-$C$9*(EXP((G14+H14*$C$11)/$C$22)-1)-(G14+H14*$C$11)/$C$10</f>
        <v>7.873373068460273</v>
      </c>
      <c r="J14" s="53">
        <f t="shared" ref="J14:J19" si="7">(I14-H14)/I14</f>
        <v>-3.1847219447233199E-4</v>
      </c>
      <c r="K14" s="60">
        <f t="shared" ref="K14:K19" si="8">I14*G14</f>
        <v>255.2836484579947</v>
      </c>
    </row>
    <row r="15" spans="1:12" x14ac:dyDescent="0.25">
      <c r="A15" s="10" t="s">
        <v>179</v>
      </c>
      <c r="G15" s="44">
        <f t="shared" si="3"/>
        <v>32.578806959999994</v>
      </c>
      <c r="H15" s="42">
        <v>7.8325983384264735</v>
      </c>
      <c r="I15" s="42">
        <f t="shared" si="6"/>
        <v>7.8293738516276843</v>
      </c>
      <c r="J15" s="53">
        <f t="shared" si="7"/>
        <v>-4.1184478604490437E-4</v>
      </c>
      <c r="K15" s="60">
        <f t="shared" si="8"/>
        <v>255.07165932984995</v>
      </c>
    </row>
    <row r="16" spans="1:12" x14ac:dyDescent="0.25">
      <c r="A16" s="19" t="s">
        <v>160</v>
      </c>
      <c r="B16" s="20">
        <v>2.9999999999999997E-4</v>
      </c>
      <c r="G16" s="44">
        <f t="shared" si="3"/>
        <v>32.733944135999991</v>
      </c>
      <c r="H16" s="42">
        <v>7.7857271976848619</v>
      </c>
      <c r="I16" s="42">
        <f t="shared" si="6"/>
        <v>7.7815770317497845</v>
      </c>
      <c r="J16" s="53">
        <f t="shared" si="7"/>
        <v>-5.3333224334143942E-4</v>
      </c>
      <c r="K16" s="60">
        <f t="shared" si="8"/>
        <v>254.72170784727808</v>
      </c>
    </row>
    <row r="17" spans="1:13" x14ac:dyDescent="0.25">
      <c r="A17" t="s">
        <v>174</v>
      </c>
      <c r="B17" s="3">
        <v>1.3806490000000001E-23</v>
      </c>
      <c r="G17" s="44">
        <f t="shared" si="3"/>
        <v>32.889081311999988</v>
      </c>
      <c r="H17" s="42">
        <v>7.7350367753093696</v>
      </c>
      <c r="I17" s="42">
        <f t="shared" si="6"/>
        <v>7.729691466935269</v>
      </c>
      <c r="J17" s="53">
        <f t="shared" si="7"/>
        <v>-6.9152933166425387E-4</v>
      </c>
      <c r="K17" s="47">
        <f t="shared" si="8"/>
        <v>254.22245117270651</v>
      </c>
    </row>
    <row r="18" spans="1:13" x14ac:dyDescent="0.25">
      <c r="A18" t="s">
        <v>175</v>
      </c>
      <c r="B18" s="14">
        <v>8.6173332620000001E-5</v>
      </c>
      <c r="G18" s="44">
        <f t="shared" si="3"/>
        <v>33.044218487999984</v>
      </c>
      <c r="H18" s="42">
        <v>7.6802978886911193</v>
      </c>
      <c r="I18" s="42">
        <f t="shared" si="6"/>
        <v>7.6734096765338453</v>
      </c>
      <c r="J18" s="53">
        <f t="shared" si="7"/>
        <v>-8.9767293128358678E-4</v>
      </c>
      <c r="K18" s="47">
        <f t="shared" si="8"/>
        <v>253.56182589931768</v>
      </c>
    </row>
    <row r="19" spans="1:13" x14ac:dyDescent="0.25">
      <c r="A19" t="s">
        <v>176</v>
      </c>
      <c r="B19" s="3">
        <v>1.6021766339999999E-19</v>
      </c>
      <c r="G19" s="44">
        <f t="shared" si="3"/>
        <v>33.199355663999981</v>
      </c>
      <c r="H19" s="42">
        <v>7.621286832958508</v>
      </c>
      <c r="I19" s="42">
        <f t="shared" si="6"/>
        <v>7.612407324387001</v>
      </c>
      <c r="J19" s="53">
        <f t="shared" si="7"/>
        <v>-1.1664521081341404E-3</v>
      </c>
      <c r="K19" s="47">
        <f t="shared" si="8"/>
        <v>252.72701822156253</v>
      </c>
      <c r="L19" s="19"/>
      <c r="M19" s="19"/>
    </row>
    <row r="20" spans="1:13" x14ac:dyDescent="0.25">
      <c r="A20" t="s">
        <v>58</v>
      </c>
      <c r="B20">
        <v>-2.677E-4</v>
      </c>
      <c r="L20" s="19"/>
      <c r="M20" s="19"/>
    </row>
    <row r="21" spans="1:13" x14ac:dyDescent="0.25">
      <c r="A21" t="s">
        <v>4</v>
      </c>
      <c r="B21">
        <v>60</v>
      </c>
    </row>
    <row r="22" spans="1:13" x14ac:dyDescent="0.25">
      <c r="A22" t="s">
        <v>183</v>
      </c>
      <c r="C22" s="57">
        <f>C7*C13*B21</f>
        <v>1.6294515465390318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I30" sqref="I30"/>
    </sheetView>
  </sheetViews>
  <sheetFormatPr baseColWidth="10" defaultRowHeight="15" x14ac:dyDescent="0.25"/>
  <cols>
    <col min="3" max="3" width="18.7109375" customWidth="1"/>
    <col min="4" max="5" width="12.7109375" customWidth="1"/>
    <col min="6" max="6" width="17.5703125" bestFit="1" customWidth="1"/>
    <col min="12" max="12" width="15.140625" bestFit="1" customWidth="1"/>
    <col min="13" max="13" width="13.85546875" bestFit="1" customWidth="1"/>
  </cols>
  <sheetData>
    <row r="1" spans="1:16" x14ac:dyDescent="0.25">
      <c r="A1" s="10" t="s">
        <v>191</v>
      </c>
      <c r="C1" s="10" t="s">
        <v>202</v>
      </c>
      <c r="F1" s="10" t="s">
        <v>193</v>
      </c>
      <c r="J1" s="7"/>
      <c r="K1" s="55" t="s">
        <v>159</v>
      </c>
      <c r="L1" s="55"/>
      <c r="M1" s="7"/>
      <c r="N1" s="7"/>
      <c r="O1" s="7"/>
      <c r="P1" s="40"/>
    </row>
    <row r="2" spans="1:16" x14ac:dyDescent="0.25">
      <c r="A2" t="s">
        <v>184</v>
      </c>
      <c r="B2">
        <v>3</v>
      </c>
      <c r="C2" t="s">
        <v>203</v>
      </c>
      <c r="F2" t="s">
        <v>194</v>
      </c>
      <c r="G2">
        <v>900</v>
      </c>
      <c r="J2" s="7"/>
      <c r="K2" s="17"/>
      <c r="L2" s="17"/>
      <c r="M2" s="17"/>
      <c r="N2" s="17"/>
      <c r="O2" s="17"/>
      <c r="P2" s="54"/>
    </row>
    <row r="3" spans="1:16" x14ac:dyDescent="0.25">
      <c r="A3" t="s">
        <v>185</v>
      </c>
      <c r="B3">
        <v>10</v>
      </c>
      <c r="C3" t="s">
        <v>204</v>
      </c>
      <c r="D3">
        <v>-2.81</v>
      </c>
      <c r="F3" t="s">
        <v>200</v>
      </c>
      <c r="G3">
        <v>100</v>
      </c>
      <c r="J3" s="17"/>
      <c r="K3" s="7" t="s">
        <v>156</v>
      </c>
      <c r="L3" s="48" t="s">
        <v>215</v>
      </c>
      <c r="M3" s="49" t="s">
        <v>216</v>
      </c>
      <c r="N3" s="17" t="s">
        <v>156</v>
      </c>
      <c r="O3" s="54" t="s">
        <v>157</v>
      </c>
    </row>
    <row r="4" spans="1:16" x14ac:dyDescent="0.25">
      <c r="A4" t="s">
        <v>186</v>
      </c>
      <c r="B4">
        <v>0</v>
      </c>
      <c r="C4" t="s">
        <v>205</v>
      </c>
      <c r="D4">
        <v>-4.5499999999999999E-2</v>
      </c>
      <c r="F4" t="s">
        <v>195</v>
      </c>
      <c r="G4">
        <v>30</v>
      </c>
      <c r="J4" s="17" t="s">
        <v>0</v>
      </c>
      <c r="K4" s="7">
        <v>0</v>
      </c>
      <c r="L4" s="7">
        <f>P7.4!B36*P7.8!B3</f>
        <v>388</v>
      </c>
      <c r="M4" s="62">
        <v>340.12200000000001</v>
      </c>
      <c r="N4" s="42">
        <f>$F$18-$F$19*(EXP((M4+K4*$F$21)/$F$25)-1)-(M4+K4*$F$21)/$F$20</f>
        <v>-2.6874300589874167E-4</v>
      </c>
      <c r="O4" s="43">
        <f>N4*M4</f>
        <v>-9.1405408652291825E-2</v>
      </c>
    </row>
    <row r="5" spans="1:16" x14ac:dyDescent="0.25">
      <c r="A5" t="s">
        <v>187</v>
      </c>
      <c r="B5">
        <v>15</v>
      </c>
      <c r="C5" t="s">
        <v>206</v>
      </c>
      <c r="D5">
        <v>0</v>
      </c>
      <c r="F5" t="s">
        <v>196</v>
      </c>
      <c r="G5">
        <f>G4-B5</f>
        <v>15</v>
      </c>
      <c r="K5" s="17" t="s">
        <v>154</v>
      </c>
      <c r="L5" s="17" t="s">
        <v>214</v>
      </c>
      <c r="M5" s="17" t="s">
        <v>156</v>
      </c>
      <c r="N5" s="17"/>
      <c r="O5" s="54"/>
    </row>
    <row r="6" spans="1:16" x14ac:dyDescent="0.25">
      <c r="A6" t="s">
        <v>212</v>
      </c>
      <c r="B6">
        <f>RADIANS(B5)</f>
        <v>0.26179938779914941</v>
      </c>
      <c r="C6" s="10" t="s">
        <v>208</v>
      </c>
      <c r="F6" t="s">
        <v>198</v>
      </c>
      <c r="G6">
        <v>35</v>
      </c>
      <c r="J6" s="17" t="s">
        <v>1</v>
      </c>
      <c r="K6" s="41">
        <v>0</v>
      </c>
      <c r="L6" s="42">
        <v>28.583073320519169</v>
      </c>
      <c r="M6" s="42">
        <f t="shared" ref="M6:M23" si="0">$F$18-$F$19*(EXP((K6+L6*$F$21)/$F$25)-1)-(K6+L6*$F$21)/$F$20</f>
        <v>28.583114201413963</v>
      </c>
      <c r="N6" s="51">
        <f>(M6-L6)/M6</f>
        <v>1.4302463512458416E-6</v>
      </c>
      <c r="O6" s="43">
        <f t="shared" ref="O6:O23" si="1">M6*K6</f>
        <v>0</v>
      </c>
    </row>
    <row r="7" spans="1:16" x14ac:dyDescent="0.25">
      <c r="A7" t="s">
        <v>201</v>
      </c>
      <c r="B7" t="s">
        <v>82</v>
      </c>
      <c r="C7" t="s">
        <v>209</v>
      </c>
      <c r="D7">
        <v>0.16</v>
      </c>
      <c r="F7" t="s">
        <v>207</v>
      </c>
      <c r="G7">
        <v>3</v>
      </c>
      <c r="J7" s="7"/>
      <c r="K7" s="41">
        <v>20</v>
      </c>
      <c r="L7" s="42">
        <v>28.54878866865047</v>
      </c>
      <c r="M7" s="42">
        <f t="shared" si="0"/>
        <v>28.54884195908507</v>
      </c>
      <c r="N7" s="51">
        <f t="shared" ref="N7:N21" si="2">(M7-L7)/M7</f>
        <v>1.8666408492716372E-6</v>
      </c>
      <c r="O7" s="43">
        <f t="shared" si="1"/>
        <v>570.97683918170139</v>
      </c>
    </row>
    <row r="8" spans="1:16" x14ac:dyDescent="0.25">
      <c r="C8" s="10" t="s">
        <v>199</v>
      </c>
      <c r="D8" s="10" t="s">
        <v>144</v>
      </c>
      <c r="E8" s="10"/>
      <c r="F8" s="10" t="s">
        <v>190</v>
      </c>
      <c r="H8" s="10"/>
      <c r="J8" s="7"/>
      <c r="K8" s="41">
        <v>40</v>
      </c>
      <c r="L8" s="42">
        <v>28.514501078010206</v>
      </c>
      <c r="M8" s="42">
        <f t="shared" si="0"/>
        <v>28.514566788394639</v>
      </c>
      <c r="N8" s="51">
        <f t="shared" si="2"/>
        <v>2.3044496842927165E-6</v>
      </c>
      <c r="O8" s="43">
        <f t="shared" si="1"/>
        <v>1140.5826715357855</v>
      </c>
    </row>
    <row r="9" spans="1:16" x14ac:dyDescent="0.25">
      <c r="C9" t="s">
        <v>197</v>
      </c>
      <c r="D9">
        <v>1000</v>
      </c>
      <c r="F9" s="6">
        <f>(G2-G3)*F12+G3*F13</f>
        <v>886.38629051145847</v>
      </c>
      <c r="J9" s="7"/>
      <c r="K9" s="41">
        <v>60</v>
      </c>
      <c r="L9" s="42">
        <v>28.480204768768449</v>
      </c>
      <c r="M9" s="42">
        <f t="shared" si="0"/>
        <v>28.480282933743453</v>
      </c>
      <c r="N9" s="51">
        <f t="shared" si="2"/>
        <v>2.744529441172049E-6</v>
      </c>
      <c r="O9" s="43">
        <f t="shared" si="1"/>
        <v>1708.8169760246071</v>
      </c>
    </row>
    <row r="10" spans="1:16" x14ac:dyDescent="0.25">
      <c r="C10" t="s">
        <v>164</v>
      </c>
      <c r="D10">
        <v>25</v>
      </c>
      <c r="F10" s="6">
        <f>G6+G2*EXP(D3+D4*G7)</f>
        <v>82.270894286860241</v>
      </c>
      <c r="J10" s="7"/>
      <c r="K10" s="41">
        <v>80</v>
      </c>
      <c r="L10" s="42">
        <v>28.445882593888918</v>
      </c>
      <c r="M10" s="42">
        <f t="shared" si="0"/>
        <v>28.445973327134404</v>
      </c>
      <c r="N10" s="51">
        <f t="shared" si="2"/>
        <v>3.1896692175851153E-6</v>
      </c>
      <c r="O10" s="43">
        <f t="shared" si="1"/>
        <v>2275.6778661707522</v>
      </c>
    </row>
    <row r="11" spans="1:16" x14ac:dyDescent="0.25">
      <c r="C11" t="s">
        <v>163</v>
      </c>
      <c r="D11" s="11">
        <f>D10+273.15</f>
        <v>298.14999999999998</v>
      </c>
      <c r="E11" s="11"/>
      <c r="F11" s="11">
        <f>F10+273.15</f>
        <v>355.42089428686023</v>
      </c>
      <c r="J11" s="7"/>
      <c r="K11" s="41">
        <v>100</v>
      </c>
      <c r="L11" s="42">
        <v>28.411483683538059</v>
      </c>
      <c r="M11" s="42">
        <f t="shared" si="0"/>
        <v>28.411587354463382</v>
      </c>
      <c r="N11" s="51">
        <f t="shared" si="2"/>
        <v>3.6488959251056503E-6</v>
      </c>
      <c r="O11" s="43">
        <f t="shared" si="1"/>
        <v>2841.1587354463381</v>
      </c>
    </row>
    <row r="12" spans="1:16" x14ac:dyDescent="0.25">
      <c r="C12" t="s">
        <v>210</v>
      </c>
      <c r="F12" s="13">
        <f>(1-EXP(-COS(RADIANS(G5))/D7))/(1-EXP(-1/D7))</f>
        <v>0.99954094060681753</v>
      </c>
      <c r="J12" s="7"/>
      <c r="K12" s="41">
        <v>120</v>
      </c>
      <c r="L12" s="42">
        <v>28.376857123751279</v>
      </c>
      <c r="M12" s="42">
        <f t="shared" si="0"/>
        <v>28.37697492579316</v>
      </c>
      <c r="N12" s="51">
        <f t="shared" si="2"/>
        <v>4.1513248748089992E-6</v>
      </c>
      <c r="O12" s="43">
        <f t="shared" si="1"/>
        <v>3405.2369910951793</v>
      </c>
    </row>
    <row r="13" spans="1:16" x14ac:dyDescent="0.25">
      <c r="C13" t="s">
        <v>211</v>
      </c>
      <c r="F13" s="63">
        <f>1-EXP(-1/0.16*(4/3/PI()*(SIN(B6)+(PI()-B6-SIN(B6))/(1+COS(B6)))))+(0.5*D7-0.154)*(SIN(B6)+(PI()-B6-SIN(B6))/(1+COS(B6)))</f>
        <v>0.86753538026004484</v>
      </c>
      <c r="J13" s="46"/>
      <c r="K13" s="41">
        <v>140</v>
      </c>
      <c r="L13" s="42">
        <v>28.341555204652629</v>
      </c>
      <c r="M13" s="42">
        <f t="shared" si="0"/>
        <v>28.341690995049397</v>
      </c>
      <c r="N13" s="51">
        <f t="shared" si="2"/>
        <v>4.7911889517254721E-6</v>
      </c>
      <c r="O13" s="43">
        <f t="shared" si="1"/>
        <v>3967.8367393069157</v>
      </c>
    </row>
    <row r="14" spans="1:16" x14ac:dyDescent="0.25">
      <c r="K14" s="41">
        <v>160</v>
      </c>
      <c r="L14" s="42">
        <v>28.304249731125498</v>
      </c>
      <c r="M14" s="42">
        <f t="shared" si="0"/>
        <v>28.304416153425095</v>
      </c>
      <c r="N14" s="51">
        <f t="shared" si="2"/>
        <v>5.8797291099096916E-6</v>
      </c>
      <c r="O14" s="43">
        <f t="shared" si="1"/>
        <v>4528.7065845480156</v>
      </c>
    </row>
    <row r="15" spans="1:16" x14ac:dyDescent="0.25">
      <c r="K15" s="41">
        <v>180</v>
      </c>
      <c r="L15" s="42">
        <v>28.261000450040239</v>
      </c>
      <c r="M15" s="42">
        <f t="shared" si="0"/>
        <v>28.261240917709454</v>
      </c>
      <c r="N15" s="51">
        <f t="shared" si="2"/>
        <v>8.5087441813096223E-6</v>
      </c>
      <c r="O15" s="43">
        <f t="shared" si="1"/>
        <v>5087.0233651877015</v>
      </c>
    </row>
    <row r="16" spans="1:16" x14ac:dyDescent="0.25">
      <c r="A16" s="10" t="s">
        <v>188</v>
      </c>
      <c r="B16" s="10" t="s">
        <v>144</v>
      </c>
      <c r="C16" s="10" t="s">
        <v>189</v>
      </c>
      <c r="D16" s="10" t="s">
        <v>144</v>
      </c>
      <c r="E16" s="10" t="s">
        <v>165</v>
      </c>
      <c r="F16" s="10" t="s">
        <v>221</v>
      </c>
      <c r="G16" s="10" t="s">
        <v>165</v>
      </c>
      <c r="K16" s="41">
        <v>200</v>
      </c>
      <c r="L16" s="42">
        <v>28.200118262031566</v>
      </c>
      <c r="M16" s="42">
        <f t="shared" si="0"/>
        <v>28.200599821225524</v>
      </c>
      <c r="N16" s="51">
        <f t="shared" si="2"/>
        <v>1.7076203946381509E-5</v>
      </c>
      <c r="O16" s="43">
        <f t="shared" si="1"/>
        <v>5640.1199642451047</v>
      </c>
    </row>
    <row r="17" spans="1:15" x14ac:dyDescent="0.25">
      <c r="A17" t="s">
        <v>46</v>
      </c>
      <c r="B17">
        <v>1</v>
      </c>
      <c r="C17" t="s">
        <v>46</v>
      </c>
      <c r="D17">
        <f>B17</f>
        <v>1</v>
      </c>
      <c r="E17" t="s">
        <v>213</v>
      </c>
      <c r="F17" s="64">
        <f>D17</f>
        <v>1</v>
      </c>
      <c r="G17" t="s">
        <v>166</v>
      </c>
      <c r="K17" s="41">
        <v>220</v>
      </c>
      <c r="L17" s="42">
        <v>28.086927298008732</v>
      </c>
      <c r="M17" s="42">
        <f t="shared" si="0"/>
        <v>28.088441417015233</v>
      </c>
      <c r="N17" s="51">
        <f t="shared" si="2"/>
        <v>5.3905411981445086E-5</v>
      </c>
      <c r="O17" s="43">
        <f t="shared" si="1"/>
        <v>6179.4571117433516</v>
      </c>
    </row>
    <row r="18" spans="1:15" x14ac:dyDescent="0.25">
      <c r="A18" t="s">
        <v>170</v>
      </c>
      <c r="B18">
        <v>10.58</v>
      </c>
      <c r="C18" t="s">
        <v>170</v>
      </c>
      <c r="D18" s="2">
        <f>B18*B2</f>
        <v>31.740000000000002</v>
      </c>
      <c r="E18" s="2" t="s">
        <v>217</v>
      </c>
      <c r="F18" s="65">
        <f>D18/$D$9*F9*(1+$D$27*(F10-$D$10))</f>
        <v>28.61727695945704</v>
      </c>
      <c r="G18" t="s">
        <v>167</v>
      </c>
      <c r="K18" s="41">
        <v>240</v>
      </c>
      <c r="L18" s="42">
        <v>27.818566377783021</v>
      </c>
      <c r="M18" s="42">
        <f t="shared" si="0"/>
        <v>27.825931346285799</v>
      </c>
      <c r="N18" s="51">
        <f t="shared" si="2"/>
        <v>2.6468003572360332E-4</v>
      </c>
      <c r="O18" s="43">
        <f t="shared" si="1"/>
        <v>6678.2235231085915</v>
      </c>
    </row>
    <row r="19" spans="1:15" x14ac:dyDescent="0.25">
      <c r="A19" t="s">
        <v>161</v>
      </c>
      <c r="B19" s="14">
        <v>2.5499999999999999E-11</v>
      </c>
      <c r="C19" t="s">
        <v>161</v>
      </c>
      <c r="D19" s="14">
        <f>B19*B2</f>
        <v>7.6499999999999994E-11</v>
      </c>
      <c r="E19" s="14" t="s">
        <v>218</v>
      </c>
      <c r="F19" s="66">
        <f>$D$19*(F11/$D$11)^3*EXP(1/$D$29*($B$24/$D$11-F24/F11))</f>
        <v>2.5681048002322239E-7</v>
      </c>
      <c r="G19" t="s">
        <v>168</v>
      </c>
      <c r="K19" s="41">
        <v>260</v>
      </c>
      <c r="L19" s="42">
        <v>27.138419871996838</v>
      </c>
      <c r="M19" s="42">
        <f t="shared" si="0"/>
        <v>27.136521758633585</v>
      </c>
      <c r="N19" s="51">
        <f t="shared" si="2"/>
        <v>-6.9946818539842404E-5</v>
      </c>
      <c r="O19" s="43">
        <f t="shared" si="1"/>
        <v>7055.4956572447318</v>
      </c>
    </row>
    <row r="20" spans="1:15" x14ac:dyDescent="0.25">
      <c r="A20" t="s">
        <v>171</v>
      </c>
      <c r="B20">
        <v>155</v>
      </c>
      <c r="C20" t="s">
        <v>171</v>
      </c>
      <c r="D20" s="11">
        <f>B20*B3/B2</f>
        <v>516.66666666666663</v>
      </c>
      <c r="E20" s="11" t="s">
        <v>219</v>
      </c>
      <c r="F20" s="67">
        <f>D20/F9*D9</f>
        <v>582.89108506917682</v>
      </c>
      <c r="G20" t="s">
        <v>178</v>
      </c>
      <c r="J20" s="17" t="s">
        <v>86</v>
      </c>
      <c r="K20" s="41">
        <v>280</v>
      </c>
      <c r="L20" s="42">
        <v>25.335000000000001</v>
      </c>
      <c r="M20" s="42">
        <f t="shared" si="0"/>
        <v>25.327240619916211</v>
      </c>
      <c r="N20" s="51">
        <f t="shared" si="2"/>
        <v>-3.0636500044496206E-4</v>
      </c>
      <c r="O20" s="43">
        <f t="shared" si="1"/>
        <v>7091.627373576539</v>
      </c>
    </row>
    <row r="21" spans="1:15" x14ac:dyDescent="0.25">
      <c r="A21" t="s">
        <v>145</v>
      </c>
      <c r="B21" s="5">
        <v>0.20899999999999999</v>
      </c>
      <c r="C21" t="s">
        <v>145</v>
      </c>
      <c r="D21" s="5">
        <f>B21*B3/B2</f>
        <v>0.69666666666666666</v>
      </c>
      <c r="E21" s="5" t="s">
        <v>220</v>
      </c>
      <c r="F21" s="65">
        <f>D21</f>
        <v>0.69666666666666666</v>
      </c>
      <c r="K21" s="41">
        <v>300</v>
      </c>
      <c r="L21" s="42">
        <v>21.055</v>
      </c>
      <c r="M21" s="42">
        <f t="shared" si="0"/>
        <v>21.060605525172441</v>
      </c>
      <c r="N21" s="51">
        <f t="shared" si="2"/>
        <v>2.6616163365966277E-4</v>
      </c>
      <c r="O21" s="43">
        <f t="shared" si="1"/>
        <v>6318.1816575517323</v>
      </c>
    </row>
    <row r="22" spans="1:15" x14ac:dyDescent="0.25">
      <c r="A22" s="10" t="s">
        <v>180</v>
      </c>
      <c r="C22" s="10" t="s">
        <v>180</v>
      </c>
      <c r="F22" s="64"/>
      <c r="K22" s="41">
        <v>320</v>
      </c>
      <c r="L22" s="42">
        <v>12.81</v>
      </c>
      <c r="M22" s="42">
        <f t="shared" si="0"/>
        <v>12.810647734221384</v>
      </c>
      <c r="N22" s="51">
        <f>(M22-L22)/M22</f>
        <v>5.0562175685526173E-5</v>
      </c>
      <c r="O22" s="43">
        <f t="shared" si="1"/>
        <v>4099.4072749508432</v>
      </c>
    </row>
    <row r="23" spans="1:15" x14ac:dyDescent="0.25">
      <c r="A23" t="s">
        <v>173</v>
      </c>
      <c r="B23" s="56">
        <f>$D$28*D11/$D$30</f>
        <v>2.569257912108585E-2</v>
      </c>
      <c r="C23" t="s">
        <v>173</v>
      </c>
      <c r="F23" s="68">
        <f>$D$28*F11/$D$30</f>
        <v>3.0627802943995461E-2</v>
      </c>
      <c r="G23" t="s">
        <v>169</v>
      </c>
      <c r="K23" s="41">
        <v>340</v>
      </c>
      <c r="L23" s="42">
        <v>0.09</v>
      </c>
      <c r="M23" s="42">
        <f t="shared" si="0"/>
        <v>9.0150659788808984E-2</v>
      </c>
      <c r="N23" s="51">
        <f>(M23-L23)/M23</f>
        <v>1.6712000684402113E-3</v>
      </c>
      <c r="O23" s="43">
        <f t="shared" si="1"/>
        <v>30.651224328195056</v>
      </c>
    </row>
    <row r="24" spans="1:15" x14ac:dyDescent="0.25">
      <c r="A24" t="s">
        <v>162</v>
      </c>
      <c r="B24" s="1">
        <v>1.121</v>
      </c>
      <c r="C24" t="s">
        <v>162</v>
      </c>
      <c r="F24" s="69">
        <f>$B$24*(1+$D$31*(F11-$D$11))</f>
        <v>1.1038134799729358</v>
      </c>
      <c r="G24" t="s">
        <v>177</v>
      </c>
      <c r="K24" s="41"/>
      <c r="L24" s="42"/>
      <c r="M24" s="42"/>
      <c r="N24" s="51"/>
      <c r="O24" s="43"/>
    </row>
    <row r="25" spans="1:15" x14ac:dyDescent="0.25">
      <c r="C25" t="s">
        <v>192</v>
      </c>
      <c r="F25" s="70">
        <f>B3*F17*F23*D32</f>
        <v>18.376681766397279</v>
      </c>
      <c r="K25" s="41">
        <v>266</v>
      </c>
      <c r="L25" s="42">
        <v>26.760382913035279</v>
      </c>
      <c r="M25" s="42">
        <f t="shared" ref="M25:M30" si="3">$F$18-$F$19*(EXP((K25+L25*$F$21)/$F$25)-1)-(K25+L25*$F$21)/$F$20</f>
        <v>26.759463448376337</v>
      </c>
      <c r="N25" s="51">
        <f t="shared" ref="N25:N30" si="4">(M25-L25)/M25</f>
        <v>-3.4360354822357012E-5</v>
      </c>
      <c r="O25" s="43">
        <f t="shared" ref="O25:O30" si="5">M25*K25</f>
        <v>7118.0172772681053</v>
      </c>
    </row>
    <row r="26" spans="1:15" x14ac:dyDescent="0.25">
      <c r="C26" s="10" t="s">
        <v>179</v>
      </c>
      <c r="K26" s="41">
        <v>267</v>
      </c>
      <c r="L26" s="42">
        <v>26.686221181936553</v>
      </c>
      <c r="M26" s="42">
        <f t="shared" si="3"/>
        <v>26.685308562708169</v>
      </c>
      <c r="N26" s="51">
        <f t="shared" si="4"/>
        <v>-3.4199313312758891E-5</v>
      </c>
      <c r="O26" s="43">
        <f t="shared" si="5"/>
        <v>7124.9773862430811</v>
      </c>
    </row>
    <row r="27" spans="1:15" x14ac:dyDescent="0.25">
      <c r="C27" s="19" t="s">
        <v>160</v>
      </c>
      <c r="D27" s="20">
        <v>2.9999999999999997E-4</v>
      </c>
      <c r="K27" s="41">
        <v>268</v>
      </c>
      <c r="L27" s="42">
        <v>26.608397679872315</v>
      </c>
      <c r="M27" s="42">
        <f t="shared" si="3"/>
        <v>26.607527736230654</v>
      </c>
      <c r="N27" s="51">
        <f t="shared" si="4"/>
        <v>-3.2695395464194972E-5</v>
      </c>
      <c r="O27" s="43">
        <f t="shared" si="5"/>
        <v>7130.817433309815</v>
      </c>
    </row>
    <row r="28" spans="1:15" x14ac:dyDescent="0.25">
      <c r="C28" t="s">
        <v>174</v>
      </c>
      <c r="D28" s="3">
        <v>1.3806490000000001E-23</v>
      </c>
      <c r="K28" s="41">
        <v>269</v>
      </c>
      <c r="L28" s="42">
        <v>26.514144135335382</v>
      </c>
      <c r="M28" s="42">
        <f t="shared" si="3"/>
        <v>26.526739586332063</v>
      </c>
      <c r="N28" s="51">
        <f t="shared" si="4"/>
        <v>4.7482092383380751E-4</v>
      </c>
      <c r="O28" s="43">
        <f t="shared" si="5"/>
        <v>7135.6929487233247</v>
      </c>
    </row>
    <row r="29" spans="1:15" x14ac:dyDescent="0.25">
      <c r="C29" t="s">
        <v>175</v>
      </c>
      <c r="D29" s="14">
        <v>8.6173332620000001E-5</v>
      </c>
      <c r="K29" s="41">
        <v>270</v>
      </c>
      <c r="L29" s="42">
        <v>26.43152885613323</v>
      </c>
      <c r="M29" s="42">
        <f t="shared" si="3"/>
        <v>26.441065664493049</v>
      </c>
      <c r="N29" s="51">
        <f t="shared" si="4"/>
        <v>3.6068169418094055E-4</v>
      </c>
      <c r="O29" s="43">
        <f t="shared" si="5"/>
        <v>7139.0877294131233</v>
      </c>
    </row>
    <row r="30" spans="1:15" x14ac:dyDescent="0.25">
      <c r="C30" t="s">
        <v>176</v>
      </c>
      <c r="D30" s="3">
        <v>1.6021766339999999E-19</v>
      </c>
      <c r="K30" s="41">
        <v>271</v>
      </c>
      <c r="L30" s="42">
        <v>26.345735092690923</v>
      </c>
      <c r="M30" s="42">
        <f t="shared" si="3"/>
        <v>26.351185490124735</v>
      </c>
      <c r="N30" s="51">
        <f t="shared" si="4"/>
        <v>2.0683689680126097E-4</v>
      </c>
      <c r="O30" s="43">
        <f t="shared" si="5"/>
        <v>7141.1712678238027</v>
      </c>
    </row>
    <row r="31" spans="1:15" x14ac:dyDescent="0.25">
      <c r="C31" t="s">
        <v>58</v>
      </c>
      <c r="D31">
        <v>-2.677E-4</v>
      </c>
      <c r="J31" s="17" t="s">
        <v>86</v>
      </c>
      <c r="K31" s="41">
        <v>272</v>
      </c>
      <c r="L31" s="42">
        <v>26.258408706244076</v>
      </c>
      <c r="M31" s="42">
        <f t="shared" ref="M31:M39" si="6">$F$18-$F$19*(EXP((K31+L31*$F$21)/$F$25)-1)-(K31+L31*$F$21)/$F$20</f>
        <v>26.256781709275135</v>
      </c>
      <c r="N31" s="51">
        <f t="shared" ref="N31:N34" si="7">(M31-L31)/M31</f>
        <v>-6.1964828247262067E-5</v>
      </c>
      <c r="O31" s="43">
        <f t="shared" ref="O31:O34" si="8">M31*K31</f>
        <v>7141.8446249228364</v>
      </c>
    </row>
    <row r="32" spans="1:15" x14ac:dyDescent="0.25">
      <c r="C32" t="s">
        <v>4</v>
      </c>
      <c r="D32">
        <v>60</v>
      </c>
      <c r="K32" s="41">
        <v>273</v>
      </c>
      <c r="L32" s="42">
        <v>26.159815567456963</v>
      </c>
      <c r="M32" s="42">
        <f t="shared" si="6"/>
        <v>26.158362891917683</v>
      </c>
      <c r="N32" s="51">
        <f t="shared" si="7"/>
        <v>-5.5533885865958448E-5</v>
      </c>
      <c r="O32" s="43">
        <f t="shared" si="8"/>
        <v>7141.2330694935272</v>
      </c>
    </row>
    <row r="33" spans="11:16" x14ac:dyDescent="0.25">
      <c r="K33" s="41">
        <v>274</v>
      </c>
      <c r="L33" s="42">
        <v>26.056443074803841</v>
      </c>
      <c r="M33" s="42">
        <f t="shared" si="6"/>
        <v>26.055289939419986</v>
      </c>
      <c r="N33" s="51">
        <f t="shared" si="7"/>
        <v>-4.4257246284218903E-5</v>
      </c>
      <c r="O33" s="43">
        <f t="shared" si="8"/>
        <v>7139.1494434010756</v>
      </c>
    </row>
    <row r="34" spans="11:16" x14ac:dyDescent="0.25">
      <c r="K34" s="41">
        <v>275</v>
      </c>
      <c r="L34" s="42">
        <v>25.939819238557234</v>
      </c>
      <c r="M34" s="42">
        <f t="shared" si="6"/>
        <v>25.948065260381782</v>
      </c>
      <c r="N34" s="51">
        <f t="shared" si="7"/>
        <v>3.1778946683695561E-4</v>
      </c>
      <c r="O34" s="43">
        <f t="shared" si="8"/>
        <v>7135.7179466049902</v>
      </c>
    </row>
    <row r="35" spans="11:16" x14ac:dyDescent="0.25">
      <c r="K35" s="41">
        <v>276</v>
      </c>
      <c r="L35" s="42">
        <v>25.834772416258666</v>
      </c>
      <c r="M35" s="42">
        <f t="shared" si="6"/>
        <v>25.834410743865824</v>
      </c>
      <c r="N35" s="51">
        <f t="shared" ref="N35:N38" si="9">(M35-L35)/M35</f>
        <v>-1.3999637786496036E-5</v>
      </c>
      <c r="O35" s="43">
        <f>M35*K35</f>
        <v>7130.2973653069675</v>
      </c>
      <c r="P35" s="43"/>
    </row>
    <row r="36" spans="11:16" x14ac:dyDescent="0.25">
      <c r="K36" s="41">
        <v>277</v>
      </c>
      <c r="L36" s="42">
        <v>25.712998284585847</v>
      </c>
      <c r="M36" s="42">
        <f t="shared" si="6"/>
        <v>25.716498494836269</v>
      </c>
      <c r="N36" s="51">
        <f t="shared" si="9"/>
        <v>1.3610757510883781E-4</v>
      </c>
      <c r="O36" s="43">
        <f>M36*K36</f>
        <v>7123.4700830696465</v>
      </c>
    </row>
    <row r="37" spans="11:16" x14ac:dyDescent="0.25">
      <c r="K37" s="41">
        <v>278</v>
      </c>
      <c r="L37" s="42">
        <v>25.590126584999023</v>
      </c>
      <c r="M37" s="42">
        <f t="shared" si="6"/>
        <v>25.592751721912951</v>
      </c>
      <c r="N37" s="51">
        <f t="shared" si="9"/>
        <v>1.0257345292338061E-4</v>
      </c>
      <c r="O37" s="43">
        <f>M37*K37</f>
        <v>7114.7849786918005</v>
      </c>
    </row>
    <row r="38" spans="11:16" x14ac:dyDescent="0.25">
      <c r="K38" s="41">
        <v>279</v>
      </c>
      <c r="L38" s="42">
        <v>25.461867832026353</v>
      </c>
      <c r="M38" s="42">
        <f t="shared" si="6"/>
        <v>25.463318383493988</v>
      </c>
      <c r="N38" s="51">
        <f t="shared" si="9"/>
        <v>5.6966317028603961E-5</v>
      </c>
      <c r="O38" s="43">
        <f>M38*K38</f>
        <v>7104.2658289948222</v>
      </c>
    </row>
    <row r="39" spans="11:16" x14ac:dyDescent="0.25">
      <c r="K39" s="41">
        <v>280</v>
      </c>
      <c r="L39" s="42">
        <v>25.328067362175567</v>
      </c>
      <c r="M39" s="42">
        <f t="shared" si="6"/>
        <v>25.327979286330805</v>
      </c>
      <c r="N39" s="51">
        <f t="shared" ref="N39" si="10">(M39-L39)/M39</f>
        <v>-3.4774130129276317E-6</v>
      </c>
      <c r="O39" s="43">
        <f>M39*K39</f>
        <v>7091.8342001726251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:B6"/>
    </sheetView>
  </sheetViews>
  <sheetFormatPr baseColWidth="10" defaultRowHeight="15" x14ac:dyDescent="0.25"/>
  <sheetData>
    <row r="1" spans="1:6" x14ac:dyDescent="0.25">
      <c r="A1" s="10" t="s">
        <v>193</v>
      </c>
      <c r="D1" s="10" t="s">
        <v>226</v>
      </c>
    </row>
    <row r="2" spans="1:6" x14ac:dyDescent="0.25">
      <c r="A2" t="s">
        <v>198</v>
      </c>
      <c r="B2">
        <v>40</v>
      </c>
      <c r="D2" t="s">
        <v>230</v>
      </c>
      <c r="E2" s="6">
        <f>B2+(E4-20)/800*B3</f>
        <v>71.25</v>
      </c>
      <c r="F2" t="s">
        <v>227</v>
      </c>
    </row>
    <row r="3" spans="1:6" x14ac:dyDescent="0.25">
      <c r="A3" t="s">
        <v>222</v>
      </c>
      <c r="B3">
        <v>1000</v>
      </c>
      <c r="D3" t="s">
        <v>229</v>
      </c>
      <c r="E3">
        <v>30</v>
      </c>
    </row>
    <row r="4" spans="1:6" x14ac:dyDescent="0.25">
      <c r="A4" s="10" t="s">
        <v>223</v>
      </c>
      <c r="D4" t="s">
        <v>224</v>
      </c>
      <c r="E4">
        <v>45</v>
      </c>
    </row>
    <row r="5" spans="1:6" x14ac:dyDescent="0.25">
      <c r="A5" t="s">
        <v>225</v>
      </c>
      <c r="B5">
        <v>-0.24</v>
      </c>
    </row>
    <row r="6" spans="1:6" x14ac:dyDescent="0.25">
      <c r="A6" s="10" t="s">
        <v>228</v>
      </c>
      <c r="B6" s="111">
        <f>E3/(1+B5/100*(E2-25)/0.8)</f>
        <v>34.833091436865018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7" sqref="G17"/>
    </sheetView>
  </sheetViews>
  <sheetFormatPr baseColWidth="10" defaultRowHeight="15" x14ac:dyDescent="0.25"/>
  <sheetData>
    <row r="1" spans="1:5" x14ac:dyDescent="0.25">
      <c r="B1" s="7" t="s">
        <v>204</v>
      </c>
      <c r="C1" s="7" t="s">
        <v>205</v>
      </c>
      <c r="D1" s="7" t="s">
        <v>235</v>
      </c>
    </row>
    <row r="3" spans="1:5" x14ac:dyDescent="0.25">
      <c r="A3" t="s">
        <v>234</v>
      </c>
      <c r="B3" t="s">
        <v>232</v>
      </c>
      <c r="C3" t="s">
        <v>232</v>
      </c>
      <c r="D3" t="s">
        <v>238</v>
      </c>
      <c r="E3" t="s">
        <v>238</v>
      </c>
    </row>
    <row r="4" spans="1:5" x14ac:dyDescent="0.25">
      <c r="D4" t="s">
        <v>239</v>
      </c>
    </row>
    <row r="5" spans="1:5" x14ac:dyDescent="0.25">
      <c r="A5" t="s">
        <v>233</v>
      </c>
      <c r="B5" s="2">
        <f>1/3</f>
        <v>0.33333333333333331</v>
      </c>
      <c r="C5" s="2">
        <f>1/3</f>
        <v>0.33333333333333331</v>
      </c>
      <c r="D5" s="2">
        <v>0</v>
      </c>
      <c r="E5" s="2">
        <f>1/3</f>
        <v>0.33333333333333331</v>
      </c>
    </row>
    <row r="6" spans="1:5" x14ac:dyDescent="0.25">
      <c r="A6" t="s">
        <v>231</v>
      </c>
      <c r="B6">
        <v>24</v>
      </c>
      <c r="C6">
        <v>8</v>
      </c>
      <c r="D6">
        <v>0</v>
      </c>
      <c r="E6">
        <v>8</v>
      </c>
    </row>
    <row r="7" spans="1:5" x14ac:dyDescent="0.25">
      <c r="A7" t="s">
        <v>236</v>
      </c>
      <c r="B7">
        <v>24</v>
      </c>
      <c r="C7">
        <v>24</v>
      </c>
      <c r="D7">
        <v>24</v>
      </c>
      <c r="E7">
        <v>24</v>
      </c>
    </row>
    <row r="8" spans="1:5" x14ac:dyDescent="0.25">
      <c r="A8" t="s">
        <v>237</v>
      </c>
      <c r="B8" s="15">
        <f>1-(1-B5)*(1-B6/(B7+1))</f>
        <v>0.97333333333333327</v>
      </c>
      <c r="C8" s="15">
        <f>1-(1-C5)*(1-C6/(C7+1))</f>
        <v>0.54666666666666663</v>
      </c>
      <c r="D8" s="15">
        <f>1-(1-D5)*(1-D6/(D7+1))</f>
        <v>0</v>
      </c>
      <c r="E8" s="15">
        <f>1-(1-E5)*(1-E6/(E7+1))</f>
        <v>0.54666666666666663</v>
      </c>
    </row>
    <row r="9" spans="1:5" x14ac:dyDescent="0.25">
      <c r="D9" t="s">
        <v>240</v>
      </c>
    </row>
    <row r="10" spans="1:5" x14ac:dyDescent="0.25">
      <c r="A10" t="s">
        <v>233</v>
      </c>
      <c r="D10" s="2">
        <f>2/3</f>
        <v>0.66666666666666663</v>
      </c>
      <c r="E10" s="2">
        <f>1/3</f>
        <v>0.33333333333333331</v>
      </c>
    </row>
    <row r="11" spans="1:5" x14ac:dyDescent="0.25">
      <c r="A11" t="s">
        <v>231</v>
      </c>
      <c r="D11">
        <v>24</v>
      </c>
      <c r="E11">
        <v>8</v>
      </c>
    </row>
    <row r="12" spans="1:5" x14ac:dyDescent="0.25">
      <c r="A12" t="s">
        <v>236</v>
      </c>
      <c r="D12">
        <v>24</v>
      </c>
      <c r="E12">
        <v>24</v>
      </c>
    </row>
    <row r="13" spans="1:5" x14ac:dyDescent="0.25">
      <c r="A13" t="s">
        <v>237</v>
      </c>
      <c r="D13" s="15">
        <f>1-(1-D10)*(1-D11/(D12+1))</f>
        <v>0.98666666666666669</v>
      </c>
      <c r="E13" s="15">
        <f>1-(1-E10)*(1-E11/(E12+1))</f>
        <v>0.54666666666666663</v>
      </c>
    </row>
    <row r="14" spans="1:5" x14ac:dyDescent="0.25">
      <c r="D14" t="s">
        <v>241</v>
      </c>
    </row>
    <row r="15" spans="1:5" x14ac:dyDescent="0.25">
      <c r="D15" s="15">
        <f>(D8+D13)/2</f>
        <v>0.49333333333333335</v>
      </c>
      <c r="E15" s="15">
        <f>(E8+E13)/2</f>
        <v>0.54666666666666663</v>
      </c>
    </row>
    <row r="16" spans="1:5" x14ac:dyDescent="0.25">
      <c r="C16" t="s">
        <v>242</v>
      </c>
      <c r="D16" s="9">
        <f>(D15-B8)/B8</f>
        <v>-0.49315068493150682</v>
      </c>
      <c r="E16" s="9">
        <f>(E15-C8)/C8</f>
        <v>0</v>
      </c>
    </row>
    <row r="17" spans="4:5" x14ac:dyDescent="0.25">
      <c r="D17" t="s">
        <v>204</v>
      </c>
      <c r="E1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SDM</vt:lpstr>
      <vt:lpstr>P7.3</vt:lpstr>
      <vt:lpstr>P7.4</vt:lpstr>
      <vt:lpstr>P7.6</vt:lpstr>
      <vt:lpstr>P7.8</vt:lpstr>
      <vt:lpstr>P7.9</vt:lpstr>
      <vt:lpstr>P7.11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Domínguez</dc:creator>
  <cp:lastModifiedBy>César Domínguez</cp:lastModifiedBy>
  <dcterms:created xsi:type="dcterms:W3CDTF">2022-04-11T15:27:42Z</dcterms:created>
  <dcterms:modified xsi:type="dcterms:W3CDTF">2023-10-08T19:29:04Z</dcterms:modified>
</cp:coreProperties>
</file>