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a\Dropbox\AU\TRANSITION_ WORKING\"/>
    </mc:Choice>
  </mc:AlternateContent>
  <bookViews>
    <workbookView xWindow="0" yWindow="0" windowWidth="20100" windowHeight="5805"/>
  </bookViews>
  <sheets>
    <sheet name="cost generators" sheetId="1" r:id="rId1"/>
    <sheet name="cost storage" sheetId="4" r:id="rId2"/>
    <sheet name="fuel_costs" sheetId="2" r:id="rId3"/>
    <sheet name="emission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1" l="1"/>
  <c r="C68" i="1"/>
  <c r="F7" i="2"/>
  <c r="C5" i="4" l="1"/>
  <c r="G9" i="4"/>
  <c r="G10" i="4"/>
  <c r="G11" i="4"/>
  <c r="G4" i="4"/>
  <c r="G2" i="4"/>
  <c r="C3" i="4"/>
  <c r="G12" i="4"/>
  <c r="G13" i="4" s="1"/>
  <c r="G14" i="4" s="1"/>
  <c r="H10" i="3" l="1"/>
  <c r="H29" i="3"/>
  <c r="H30" i="3"/>
  <c r="H31" i="3"/>
  <c r="H28" i="3"/>
  <c r="H11" i="3"/>
  <c r="G37" i="3"/>
  <c r="B37" i="3"/>
  <c r="D37" i="3" s="1"/>
  <c r="G36" i="3"/>
  <c r="D36" i="3"/>
  <c r="G35" i="3"/>
  <c r="D35" i="3"/>
  <c r="G34" i="3"/>
  <c r="G32" i="3"/>
  <c r="B32" i="3"/>
  <c r="D32" i="3" s="1"/>
  <c r="G31" i="3"/>
  <c r="D31" i="3"/>
  <c r="D30" i="3"/>
  <c r="D29" i="3"/>
  <c r="D28" i="3"/>
  <c r="G26" i="3"/>
  <c r="B26" i="3"/>
  <c r="D26" i="3" s="1"/>
  <c r="G25" i="3"/>
  <c r="D25" i="3"/>
  <c r="B25" i="3"/>
  <c r="G24" i="3"/>
  <c r="D24" i="3"/>
  <c r="B24" i="3"/>
  <c r="G23" i="3"/>
  <c r="B23" i="3"/>
  <c r="D23" i="3" s="1"/>
  <c r="G22" i="3"/>
  <c r="B22" i="3"/>
  <c r="D22" i="3" s="1"/>
  <c r="G20" i="3"/>
  <c r="B20" i="3"/>
  <c r="D20" i="3" s="1"/>
  <c r="G19" i="3"/>
  <c r="D19" i="3"/>
  <c r="G18" i="3"/>
  <c r="D18" i="3"/>
  <c r="D16" i="3"/>
  <c r="G15" i="3"/>
  <c r="D15" i="3"/>
  <c r="G13" i="3"/>
  <c r="D13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5" i="3"/>
  <c r="D5" i="3"/>
  <c r="C73" i="1" l="1"/>
  <c r="G73" i="1"/>
  <c r="K73" i="1"/>
  <c r="O64" i="1"/>
  <c r="C13" i="1"/>
  <c r="C22" i="1" s="1"/>
  <c r="C5" i="1"/>
  <c r="K64" i="1" l="1"/>
  <c r="G64" i="1"/>
  <c r="C64" i="1"/>
  <c r="C57" i="1"/>
  <c r="C33" i="1" l="1"/>
  <c r="C17" i="1"/>
  <c r="B9" i="2"/>
  <c r="C14" i="1"/>
  <c r="C6" i="1"/>
  <c r="B2" i="2"/>
  <c r="B4" i="2" s="1"/>
  <c r="B6" i="2" s="1"/>
  <c r="B18" i="2"/>
  <c r="B20" i="2" s="1"/>
  <c r="B17" i="2"/>
  <c r="B11" i="2" l="1"/>
  <c r="B13" i="2" s="1"/>
  <c r="C7" i="1"/>
  <c r="C15" i="1"/>
  <c r="C32" i="1"/>
  <c r="K52" i="1"/>
  <c r="K51" i="1"/>
  <c r="G54" i="1"/>
  <c r="G48" i="1"/>
  <c r="G36" i="1"/>
  <c r="G40" i="1"/>
  <c r="C40" i="1"/>
  <c r="C11" i="1"/>
  <c r="C20" i="1" s="1"/>
  <c r="G38" i="1"/>
  <c r="C23" i="1"/>
  <c r="C19" i="1"/>
  <c r="G37" i="1"/>
  <c r="C3" i="1"/>
  <c r="C37" i="1"/>
  <c r="C28" i="1"/>
  <c r="C12" i="1" l="1"/>
  <c r="C21" i="1" s="1"/>
  <c r="C4" i="1"/>
</calcChain>
</file>

<file path=xl/sharedStrings.xml><?xml version="1.0" encoding="utf-8"?>
<sst xmlns="http://schemas.openxmlformats.org/spreadsheetml/2006/main" count="436" uniqueCount="136">
  <si>
    <t>Lifetime</t>
  </si>
  <si>
    <t>Lazards v13</t>
  </si>
  <si>
    <t>Nuclear</t>
  </si>
  <si>
    <t>Investment</t>
  </si>
  <si>
    <t>Coal</t>
  </si>
  <si>
    <t>FOM</t>
  </si>
  <si>
    <t>CCGT</t>
  </si>
  <si>
    <t>Lignite</t>
  </si>
  <si>
    <t>OCGT</t>
  </si>
  <si>
    <t>DEA</t>
  </si>
  <si>
    <t>Efficiency</t>
  </si>
  <si>
    <t>Fuel cost</t>
  </si>
  <si>
    <t>Btu 2 kWh conversion</t>
  </si>
  <si>
    <t>$ 2 € conversion</t>
  </si>
  <si>
    <t>annuity</t>
  </si>
  <si>
    <t>discount rate</t>
  </si>
  <si>
    <t>Hydrogen</t>
  </si>
  <si>
    <t>kg</t>
  </si>
  <si>
    <t>kWh</t>
  </si>
  <si>
    <t>$/kWh</t>
  </si>
  <si>
    <t>€/kWh</t>
  </si>
  <si>
    <t>Solar - utility</t>
  </si>
  <si>
    <t>Solar - rooftop</t>
  </si>
  <si>
    <t>Investment_2020</t>
  </si>
  <si>
    <t>Investment_2030</t>
  </si>
  <si>
    <t>Vartiaian 2019</t>
  </si>
  <si>
    <t>Investment_2040</t>
  </si>
  <si>
    <t>ETIP 2017</t>
  </si>
  <si>
    <t>Investment_2050</t>
  </si>
  <si>
    <t>DIW</t>
  </si>
  <si>
    <t>BP 2019</t>
  </si>
  <si>
    <t>Gas</t>
  </si>
  <si>
    <t>$/mmBTu</t>
  </si>
  <si>
    <t>$/ton</t>
  </si>
  <si>
    <t>1 MWh in Btu</t>
  </si>
  <si>
    <t>MWh in 1 ton</t>
  </si>
  <si>
    <t>$/MWh</t>
  </si>
  <si>
    <t xml:space="preserve">$ to € </t>
  </si>
  <si>
    <t>https://www.eia.gov/energyexplained/coal/prices-and-outlook.php</t>
  </si>
  <si>
    <t>BP 2019 Approximate conversin factors</t>
  </si>
  <si>
    <t>€/MWh</t>
  </si>
  <si>
    <t>cost ($)</t>
  </si>
  <si>
    <t>ETIP 2019</t>
  </si>
  <si>
    <t>ETIP 2020</t>
  </si>
  <si>
    <t>ETIP 2021</t>
  </si>
  <si>
    <t>ETIP 2022</t>
  </si>
  <si>
    <t>CHP coal</t>
  </si>
  <si>
    <t>model implemented</t>
  </si>
  <si>
    <t>CHP straw</t>
  </si>
  <si>
    <t>CHP wood pellets</t>
  </si>
  <si>
    <t>CHP wood chips</t>
  </si>
  <si>
    <t>Investment (fuel input)</t>
  </si>
  <si>
    <t>VOM</t>
  </si>
  <si>
    <t>Investment (per MWe)</t>
  </si>
  <si>
    <t>*straw and wood chips are more similar to the kind of biomass that I'm considering (primary agriculure residues and forestry residues). I use CHP straw as reference</t>
  </si>
  <si>
    <t>HOP straw</t>
  </si>
  <si>
    <t>CHP urban waste</t>
  </si>
  <si>
    <t>Efficiency (when only electricity)</t>
  </si>
  <si>
    <t>fuel cost</t>
  </si>
  <si>
    <t>Investment (per MWh heat output)</t>
  </si>
  <si>
    <t>HOP wood pellets</t>
  </si>
  <si>
    <t>HOP wood chips</t>
  </si>
  <si>
    <t>solid biomass</t>
  </si>
  <si>
    <t>fuel</t>
  </si>
  <si>
    <t>EUR/MWhth</t>
  </si>
  <si>
    <t>JRC and Zappa</t>
  </si>
  <si>
    <t>Carbon Dioxide Emissions Coefficients by Fuel</t>
  </si>
  <si>
    <t xml:space="preserve">Pounds CO2 </t>
  </si>
  <si>
    <t>Kilograms CO2</t>
  </si>
  <si>
    <t>Pounds CO2</t>
  </si>
  <si>
    <t xml:space="preserve">Carbon Dioxide (CO2) Factors: </t>
  </si>
  <si>
    <t>Per Unit of Volume or Mass</t>
  </si>
  <si>
    <t>Per Million Btu</t>
  </si>
  <si>
    <t>Per MWh</t>
  </si>
  <si>
    <t>For homes and businesses</t>
  </si>
  <si>
    <t>Propane</t>
  </si>
  <si>
    <t>gallon</t>
  </si>
  <si>
    <t>Butane</t>
  </si>
  <si>
    <t>Butane/Propane Mix</t>
  </si>
  <si>
    <t>Home Heating and Diesel Fuel (Distillate)</t>
  </si>
  <si>
    <t>Kerosene</t>
  </si>
  <si>
    <t>Coal (All types)</t>
  </si>
  <si>
    <t>short ton</t>
  </si>
  <si>
    <t>Natural Gas</t>
  </si>
  <si>
    <t>thousand cubic feet</t>
  </si>
  <si>
    <t>Gasoline</t>
  </si>
  <si>
    <t>Residual Heating Fuel (Businesses only)</t>
  </si>
  <si>
    <t xml:space="preserve">Other transportation fuels </t>
  </si>
  <si>
    <t>Jet Fuel</t>
  </si>
  <si>
    <t>Aviation Gas</t>
  </si>
  <si>
    <t>Industrial fuels and others not listed above</t>
  </si>
  <si>
    <t>Flared natural gas</t>
  </si>
  <si>
    <t>Petroleum coke</t>
  </si>
  <si>
    <t>Other petroleum &amp; miscellaneous</t>
  </si>
  <si>
    <t>Nonfuel uses</t>
  </si>
  <si>
    <t>Asphalt and Road Oil</t>
  </si>
  <si>
    <t>Lubricants</t>
  </si>
  <si>
    <t>Petrochemical Feedstocks</t>
  </si>
  <si>
    <t>Special Naphthas (solvents)</t>
  </si>
  <si>
    <t xml:space="preserve">Waxes </t>
  </si>
  <si>
    <t>Coals by type</t>
  </si>
  <si>
    <t>Anthracite</t>
  </si>
  <si>
    <t>Bituminous</t>
  </si>
  <si>
    <t>Subbituminous</t>
  </si>
  <si>
    <t>Coke</t>
  </si>
  <si>
    <t>Other fuels</t>
  </si>
  <si>
    <t>Geothermal (average all generation)</t>
  </si>
  <si>
    <t>NA</t>
  </si>
  <si>
    <t>Municiple Solid Waste</t>
  </si>
  <si>
    <t>Tire-derived fuel</t>
  </si>
  <si>
    <t>Waste oil</t>
  </si>
  <si>
    <t>barrel</t>
  </si>
  <si>
    <t>Source: U.S. Energy Information Administration estimates.</t>
  </si>
  <si>
    <t>Note: To convert to carbon equivalents multiply by 12/44.</t>
  </si>
  <si>
    <t>Coefficients may vary slightly with estimation method and across time.</t>
  </si>
  <si>
    <t>ton CO2</t>
  </si>
  <si>
    <t>Btu 2 MWh conversion</t>
  </si>
  <si>
    <t>Batteries</t>
  </si>
  <si>
    <t>Investment (kWh)</t>
  </si>
  <si>
    <t>Investment (kW)</t>
  </si>
  <si>
    <t>NREL</t>
  </si>
  <si>
    <t>efficiency</t>
  </si>
  <si>
    <t>investment</t>
  </si>
  <si>
    <t>lifetime</t>
  </si>
  <si>
    <t>kg to kWh_el</t>
  </si>
  <si>
    <t>kg to kWh_H2</t>
  </si>
  <si>
    <t>Eff_fuel cell</t>
  </si>
  <si>
    <t>electrolysis</t>
  </si>
  <si>
    <t xml:space="preserve"> budischak2013</t>
  </si>
  <si>
    <t>Palzer Thesis</t>
  </si>
  <si>
    <t>fuel cell</t>
  </si>
  <si>
    <t>Biomass</t>
  </si>
  <si>
    <t>€/GJ</t>
  </si>
  <si>
    <t>Cost associated with primary agricultural residues (Euro2010/GJ) (stubbles, OSR and sunflower, cereal straw, rice straw, sugar beet, cherries and other soft fruits, apples and pears, citrus, olives and olives pits, vineyards, grass and maize )</t>
  </si>
  <si>
    <t>GJ to MWh</t>
  </si>
  <si>
    <t>JRC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</si>
</sst>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"/>
    <numFmt numFmtId="166" formatCode="0.000"/>
    <numFmt numFmtId="167" formatCode="#,##0.0"/>
    <numFmt numFmtId="168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dashed">
        <color theme="0" tint="-0.24994659260841701"/>
      </top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6">
    <xf numFmtId="0" fontId="0" fillId="0" borderId="0"/>
    <xf numFmtId="0" fontId="2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4" fillId="0" borderId="1" applyNumberFormat="0" applyProtection="0">
      <alignment wrapText="1"/>
    </xf>
    <xf numFmtId="0" fontId="3" fillId="0" borderId="5" applyNumberFormat="0" applyProtection="0">
      <alignment vertical="top" wrapText="1"/>
    </xf>
  </cellStyleXfs>
  <cellXfs count="4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166" fontId="0" fillId="0" borderId="0" xfId="0" applyNumberFormat="1" applyFill="1"/>
    <xf numFmtId="0" fontId="0" fillId="2" borderId="0" xfId="0" applyFill="1" applyAlignment="1">
      <alignment wrapText="1"/>
    </xf>
    <xf numFmtId="166" fontId="0" fillId="2" borderId="0" xfId="0" applyNumberFormat="1" applyFill="1"/>
    <xf numFmtId="3" fontId="0" fillId="0" borderId="0" xfId="0" applyNumberFormat="1" applyFill="1"/>
    <xf numFmtId="3" fontId="0" fillId="2" borderId="0" xfId="0" applyNumberFormat="1" applyFill="1"/>
    <xf numFmtId="0" fontId="3" fillId="0" borderId="0" xfId="2" applyBorder="1">
      <alignment wrapText="1"/>
    </xf>
    <xf numFmtId="0" fontId="4" fillId="0" borderId="3" xfId="3" applyAlignment="1">
      <alignment horizontal="right" wrapText="1"/>
    </xf>
    <xf numFmtId="2" fontId="4" fillId="0" borderId="3" xfId="3" applyNumberFormat="1" applyAlignment="1">
      <alignment horizontal="right" wrapText="1"/>
    </xf>
    <xf numFmtId="2" fontId="4" fillId="2" borderId="3" xfId="3" applyNumberFormat="1" applyFill="1" applyAlignment="1">
      <alignment horizontal="right" wrapText="1"/>
    </xf>
    <xf numFmtId="0" fontId="4" fillId="0" borderId="1" xfId="4">
      <alignment wrapText="1"/>
    </xf>
    <xf numFmtId="0" fontId="4" fillId="0" borderId="1" xfId="4" applyAlignment="1">
      <alignment horizontal="right" wrapText="1"/>
    </xf>
    <xf numFmtId="2" fontId="4" fillId="0" borderId="1" xfId="4" applyNumberFormat="1" applyAlignment="1">
      <alignment horizontal="right" wrapText="1"/>
    </xf>
    <xf numFmtId="2" fontId="4" fillId="2" borderId="1" xfId="4" applyNumberFormat="1" applyFill="1" applyAlignment="1">
      <alignment horizontal="right" wrapText="1"/>
    </xf>
    <xf numFmtId="4" fontId="3" fillId="0" borderId="2" xfId="2" applyNumberFormat="1">
      <alignment wrapText="1"/>
    </xf>
    <xf numFmtId="4" fontId="3" fillId="2" borderId="2" xfId="2" applyNumberFormat="1" applyFill="1">
      <alignment wrapText="1"/>
    </xf>
    <xf numFmtId="4" fontId="3" fillId="0" borderId="0" xfId="2" applyNumberFormat="1" applyBorder="1">
      <alignment wrapText="1"/>
    </xf>
    <xf numFmtId="4" fontId="4" fillId="0" borderId="0" xfId="2" applyNumberFormat="1" applyFont="1" applyBorder="1">
      <alignment wrapText="1"/>
    </xf>
    <xf numFmtId="4" fontId="3" fillId="0" borderId="0" xfId="2" applyNumberFormat="1" applyBorder="1" applyAlignment="1">
      <alignment horizontal="right" wrapText="1"/>
    </xf>
    <xf numFmtId="167" fontId="3" fillId="0" borderId="0" xfId="2" applyNumberFormat="1" applyBorder="1">
      <alignment wrapText="1"/>
    </xf>
    <xf numFmtId="2" fontId="3" fillId="0" borderId="0" xfId="2" applyNumberFormat="1" applyBorder="1">
      <alignment wrapText="1"/>
    </xf>
    <xf numFmtId="168" fontId="0" fillId="0" borderId="0" xfId="0" applyNumberFormat="1"/>
    <xf numFmtId="168" fontId="0" fillId="2" borderId="0" xfId="0" applyNumberFormat="1" applyFill="1"/>
    <xf numFmtId="9" fontId="0" fillId="0" borderId="0" xfId="0" applyNumberFormat="1"/>
    <xf numFmtId="0" fontId="0" fillId="0" borderId="0" xfId="0" applyFill="1" applyAlignment="1">
      <alignment horizontal="center" wrapText="1"/>
    </xf>
    <xf numFmtId="0" fontId="4" fillId="0" borderId="5" xfId="5" applyFont="1">
      <alignment vertical="top" wrapText="1"/>
    </xf>
    <xf numFmtId="0" fontId="4" fillId="0" borderId="0" xfId="2" applyFont="1" applyBorder="1">
      <alignment wrapText="1"/>
    </xf>
    <xf numFmtId="0" fontId="3" fillId="0" borderId="0" xfId="2" applyBorder="1" applyAlignment="1">
      <alignment vertical="top" wrapText="1"/>
    </xf>
    <xf numFmtId="0" fontId="2" fillId="0" borderId="0" xfId="1">
      <alignment horizontal="left"/>
    </xf>
    <xf numFmtId="0" fontId="4" fillId="0" borderId="3" xfId="3">
      <alignment wrapText="1"/>
    </xf>
    <xf numFmtId="4" fontId="4" fillId="0" borderId="3" xfId="3" applyNumberFormat="1">
      <alignment wrapText="1"/>
    </xf>
    <xf numFmtId="4" fontId="4" fillId="0" borderId="4" xfId="3" applyNumberFormat="1" applyBorder="1">
      <alignment wrapText="1"/>
    </xf>
    <xf numFmtId="2" fontId="0" fillId="0" borderId="0" xfId="0" applyNumberFormat="1" applyFill="1"/>
  </cellXfs>
  <cellStyles count="6">
    <cellStyle name="Body: normal cell" xfId="2"/>
    <cellStyle name="Footnotes: top row" xfId="5"/>
    <cellStyle name="Header: bottom row" xfId="4"/>
    <cellStyle name="Normal" xfId="0" builtinId="0"/>
    <cellStyle name="Parent row" xfId="3"/>
    <cellStyle name="Table titl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35</xdr:row>
      <xdr:rowOff>4112</xdr:rowOff>
    </xdr:from>
    <xdr:to>
      <xdr:col>9</xdr:col>
      <xdr:colOff>876300</xdr:colOff>
      <xdr:row>38</xdr:row>
      <xdr:rowOff>19049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957112"/>
          <a:ext cx="1400175" cy="586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238125</xdr:colOff>
      <xdr:row>46</xdr:row>
      <xdr:rowOff>70446</xdr:rowOff>
    </xdr:from>
    <xdr:to>
      <xdr:col>15</xdr:col>
      <xdr:colOff>752474</xdr:colOff>
      <xdr:row>58</xdr:row>
      <xdr:rowOff>51085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50" y="9214446"/>
          <a:ext cx="3181349" cy="2266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145538</xdr:rowOff>
    </xdr:from>
    <xdr:to>
      <xdr:col>14</xdr:col>
      <xdr:colOff>447675</xdr:colOff>
      <xdr:row>10</xdr:row>
      <xdr:rowOff>276225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1117088"/>
          <a:ext cx="3295650" cy="1616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8"/>
  <sheetViews>
    <sheetView tabSelected="1" topLeftCell="A64" zoomScale="80" zoomScaleNormal="80" workbookViewId="0">
      <selection activeCell="G80" sqref="G80"/>
    </sheetView>
  </sheetViews>
  <sheetFormatPr baseColWidth="10" defaultColWidth="11.42578125" defaultRowHeight="15" x14ac:dyDescent="0.25"/>
  <cols>
    <col min="1" max="1" width="13.42578125" customWidth="1"/>
    <col min="2" max="2" width="16.140625" customWidth="1"/>
    <col min="3" max="3" width="17.140625" customWidth="1"/>
    <col min="6" max="6" width="21.28515625" customWidth="1"/>
    <col min="8" max="8" width="15.28515625" customWidth="1"/>
    <col min="10" max="10" width="17.28515625" customWidth="1"/>
    <col min="13" max="13" width="11.5703125" customWidth="1"/>
    <col min="14" max="14" width="17" customWidth="1"/>
  </cols>
  <sheetData>
    <row r="2" spans="1:8" x14ac:dyDescent="0.25">
      <c r="A2" s="3" t="s">
        <v>2</v>
      </c>
      <c r="B2" s="6" t="s">
        <v>0</v>
      </c>
      <c r="C2" s="6">
        <v>40</v>
      </c>
      <c r="D2" s="6" t="s">
        <v>1</v>
      </c>
      <c r="F2" t="s">
        <v>13</v>
      </c>
      <c r="G2">
        <v>0.9</v>
      </c>
    </row>
    <row r="3" spans="1:8" x14ac:dyDescent="0.25">
      <c r="B3" s="6" t="s">
        <v>3</v>
      </c>
      <c r="C3" s="6">
        <f>(6900+12200)/2*$G$2</f>
        <v>8595</v>
      </c>
      <c r="D3" s="6" t="s">
        <v>1</v>
      </c>
      <c r="F3" t="s">
        <v>12</v>
      </c>
      <c r="G3">
        <v>2.93071E-4</v>
      </c>
    </row>
    <row r="4" spans="1:8" x14ac:dyDescent="0.25">
      <c r="B4" s="6" t="s">
        <v>5</v>
      </c>
      <c r="C4" s="7">
        <f>40.75/3000</f>
        <v>1.3583333333333333E-2</v>
      </c>
      <c r="D4" s="6" t="s">
        <v>1</v>
      </c>
      <c r="F4" t="s">
        <v>15</v>
      </c>
      <c r="G4">
        <v>7.0000000000000007E-2</v>
      </c>
    </row>
    <row r="5" spans="1:8" x14ac:dyDescent="0.25">
      <c r="B5" s="6" t="s">
        <v>52</v>
      </c>
      <c r="C5" s="9">
        <f>(3.5+4.25)/2*$G$2</f>
        <v>3.4875000000000003</v>
      </c>
      <c r="D5" s="6" t="s">
        <v>1</v>
      </c>
    </row>
    <row r="6" spans="1:8" x14ac:dyDescent="0.25">
      <c r="B6" s="6" t="s">
        <v>10</v>
      </c>
      <c r="C6" s="8">
        <f>1/(10450*$G$3)</f>
        <v>0.32652080862421129</v>
      </c>
      <c r="D6" s="6" t="s">
        <v>1</v>
      </c>
    </row>
    <row r="7" spans="1:8" x14ac:dyDescent="0.25">
      <c r="B7" s="6" t="s">
        <v>11</v>
      </c>
      <c r="C7" s="9">
        <f>G2*0.85/(1000*$G$3)</f>
        <v>2.6102889743441007</v>
      </c>
      <c r="D7" s="6" t="s">
        <v>1</v>
      </c>
    </row>
    <row r="8" spans="1:8" x14ac:dyDescent="0.25">
      <c r="B8" t="s">
        <v>11</v>
      </c>
      <c r="C8" s="4">
        <v>3</v>
      </c>
      <c r="D8" t="s">
        <v>29</v>
      </c>
    </row>
    <row r="9" spans="1:8" x14ac:dyDescent="0.25">
      <c r="C9" s="4"/>
    </row>
    <row r="10" spans="1:8" x14ac:dyDescent="0.25">
      <c r="A10" s="3" t="s">
        <v>4</v>
      </c>
      <c r="B10" s="6" t="s">
        <v>0</v>
      </c>
      <c r="C10" s="6">
        <v>40</v>
      </c>
      <c r="D10" s="6" t="s">
        <v>1</v>
      </c>
      <c r="H10" s="5"/>
    </row>
    <row r="11" spans="1:8" x14ac:dyDescent="0.25">
      <c r="B11" s="6" t="s">
        <v>3</v>
      </c>
      <c r="C11" s="6">
        <f>(3000+6250)/2*$G$2</f>
        <v>4162.5</v>
      </c>
      <c r="D11" s="6" t="s">
        <v>1</v>
      </c>
    </row>
    <row r="12" spans="1:8" x14ac:dyDescent="0.25">
      <c r="B12" s="6" t="s">
        <v>5</v>
      </c>
      <c r="C12" s="7">
        <f>108.5/6900</f>
        <v>1.572463768115942E-2</v>
      </c>
      <c r="D12" s="6" t="s">
        <v>1</v>
      </c>
    </row>
    <row r="13" spans="1:8" x14ac:dyDescent="0.25">
      <c r="B13" s="6" t="s">
        <v>52</v>
      </c>
      <c r="C13" s="9">
        <f>(2.75+5)/2*$G$2</f>
        <v>3.4875000000000003</v>
      </c>
      <c r="D13" s="6" t="s">
        <v>1</v>
      </c>
    </row>
    <row r="14" spans="1:8" x14ac:dyDescent="0.25">
      <c r="B14" s="6" t="s">
        <v>10</v>
      </c>
      <c r="C14" s="8">
        <f>1/((8750+12000)/2*$G$3)</f>
        <v>0.32888120001185617</v>
      </c>
      <c r="D14" s="6" t="s">
        <v>1</v>
      </c>
    </row>
    <row r="15" spans="1:8" x14ac:dyDescent="0.25">
      <c r="B15" t="s">
        <v>11</v>
      </c>
      <c r="C15" s="4">
        <f>G2*1.45/(1000*$G$3)</f>
        <v>4.4528458974105245</v>
      </c>
      <c r="D15" t="s">
        <v>1</v>
      </c>
    </row>
    <row r="16" spans="1:8" x14ac:dyDescent="0.25">
      <c r="B16" t="s">
        <v>11</v>
      </c>
      <c r="C16" s="2">
        <v>8.4</v>
      </c>
      <c r="D16" t="s">
        <v>29</v>
      </c>
    </row>
    <row r="17" spans="1:7" x14ac:dyDescent="0.25">
      <c r="B17" s="6" t="s">
        <v>11</v>
      </c>
      <c r="C17" s="8">
        <f>fuel_costs!B13</f>
        <v>8.1465421938336817</v>
      </c>
      <c r="D17" s="6" t="s">
        <v>30</v>
      </c>
    </row>
    <row r="18" spans="1:7" x14ac:dyDescent="0.25">
      <c r="C18" s="1"/>
    </row>
    <row r="19" spans="1:7" x14ac:dyDescent="0.25">
      <c r="A19" s="3" t="s">
        <v>7</v>
      </c>
      <c r="B19" s="6" t="s">
        <v>0</v>
      </c>
      <c r="C19" s="6">
        <f>C10</f>
        <v>40</v>
      </c>
      <c r="D19" s="6" t="s">
        <v>1</v>
      </c>
    </row>
    <row r="20" spans="1:7" x14ac:dyDescent="0.25">
      <c r="B20" s="6" t="s">
        <v>3</v>
      </c>
      <c r="C20" s="6">
        <f>C11</f>
        <v>4162.5</v>
      </c>
      <c r="D20" s="6" t="s">
        <v>1</v>
      </c>
    </row>
    <row r="21" spans="1:7" x14ac:dyDescent="0.25">
      <c r="B21" s="6" t="s">
        <v>5</v>
      </c>
      <c r="C21" s="7">
        <f>C12</f>
        <v>1.572463768115942E-2</v>
      </c>
      <c r="D21" s="6" t="s">
        <v>1</v>
      </c>
    </row>
    <row r="22" spans="1:7" x14ac:dyDescent="0.25">
      <c r="B22" s="6" t="s">
        <v>52</v>
      </c>
      <c r="C22" s="9">
        <f>C13</f>
        <v>3.4875000000000003</v>
      </c>
      <c r="D22" s="6" t="s">
        <v>1</v>
      </c>
    </row>
    <row r="23" spans="1:7" x14ac:dyDescent="0.25">
      <c r="B23" s="6" t="s">
        <v>10</v>
      </c>
      <c r="C23" s="8">
        <f>C14</f>
        <v>0.32888120001185617</v>
      </c>
      <c r="D23" s="6" t="s">
        <v>1</v>
      </c>
    </row>
    <row r="24" spans="1:7" x14ac:dyDescent="0.25">
      <c r="B24" s="6" t="s">
        <v>11</v>
      </c>
      <c r="C24" s="6">
        <v>2.9</v>
      </c>
      <c r="D24" s="6" t="s">
        <v>29</v>
      </c>
    </row>
    <row r="26" spans="1:7" x14ac:dyDescent="0.25">
      <c r="A26" s="3" t="s">
        <v>8</v>
      </c>
      <c r="B26" s="6" t="s">
        <v>0</v>
      </c>
      <c r="C26" s="6">
        <v>25</v>
      </c>
      <c r="D26" s="6" t="s">
        <v>9</v>
      </c>
    </row>
    <row r="27" spans="1:7" x14ac:dyDescent="0.25">
      <c r="B27" s="6" t="s">
        <v>3</v>
      </c>
      <c r="C27" s="6">
        <v>600</v>
      </c>
      <c r="D27" s="6" t="s">
        <v>9</v>
      </c>
    </row>
    <row r="28" spans="1:7" x14ac:dyDescent="0.25">
      <c r="B28" s="6" t="s">
        <v>5</v>
      </c>
      <c r="C28" s="7">
        <f>20000/(0.6*1000000)</f>
        <v>3.3333333333333333E-2</v>
      </c>
      <c r="D28" s="6" t="s">
        <v>9</v>
      </c>
    </row>
    <row r="29" spans="1:7" x14ac:dyDescent="0.25">
      <c r="B29" s="6" t="s">
        <v>52</v>
      </c>
      <c r="C29" s="8">
        <v>4.5</v>
      </c>
      <c r="D29" s="6" t="s">
        <v>9</v>
      </c>
    </row>
    <row r="30" spans="1:7" x14ac:dyDescent="0.25">
      <c r="B30" s="6" t="s">
        <v>10</v>
      </c>
      <c r="C30" s="8">
        <v>0.39</v>
      </c>
      <c r="D30" s="6" t="s">
        <v>9</v>
      </c>
    </row>
    <row r="31" spans="1:7" x14ac:dyDescent="0.25">
      <c r="B31" t="s">
        <v>11</v>
      </c>
      <c r="C31" s="4">
        <v>21.6</v>
      </c>
      <c r="D31" t="s">
        <v>29</v>
      </c>
      <c r="G31" s="2"/>
    </row>
    <row r="32" spans="1:7" x14ac:dyDescent="0.25">
      <c r="B32" t="s">
        <v>11</v>
      </c>
      <c r="C32" s="4">
        <f>G2*3.45/(1000*$G$3)</f>
        <v>10.594702307631939</v>
      </c>
      <c r="D32" t="s">
        <v>1</v>
      </c>
      <c r="G32" s="2"/>
    </row>
    <row r="33" spans="1:12" x14ac:dyDescent="0.25">
      <c r="B33" s="6" t="s">
        <v>11</v>
      </c>
      <c r="C33" s="9">
        <f>fuel_costs!B6</f>
        <v>20.10843216932841</v>
      </c>
      <c r="D33" s="6" t="s">
        <v>30</v>
      </c>
      <c r="G33" s="2"/>
    </row>
    <row r="35" spans="1:12" x14ac:dyDescent="0.25">
      <c r="A35" s="3" t="s">
        <v>6</v>
      </c>
      <c r="B35" s="6" t="s">
        <v>0</v>
      </c>
      <c r="C35" s="6">
        <v>25</v>
      </c>
      <c r="D35" s="6" t="s">
        <v>9</v>
      </c>
      <c r="F35" t="s">
        <v>0</v>
      </c>
      <c r="G35">
        <v>20</v>
      </c>
      <c r="H35" t="s">
        <v>1</v>
      </c>
    </row>
    <row r="36" spans="1:12" x14ac:dyDescent="0.25">
      <c r="B36" s="6" t="s">
        <v>3</v>
      </c>
      <c r="C36" s="6">
        <v>900</v>
      </c>
      <c r="D36" s="6" t="s">
        <v>9</v>
      </c>
      <c r="F36" t="s">
        <v>3</v>
      </c>
      <c r="G36">
        <f>(700+1300)/2*$G$2</f>
        <v>900</v>
      </c>
      <c r="H36" t="s">
        <v>1</v>
      </c>
    </row>
    <row r="37" spans="1:12" x14ac:dyDescent="0.25">
      <c r="B37" s="6" t="s">
        <v>5</v>
      </c>
      <c r="C37" s="7">
        <f>30000/(0.9*1000000)</f>
        <v>3.3333333333333333E-2</v>
      </c>
      <c r="D37" s="6" t="s">
        <v>9</v>
      </c>
      <c r="F37" t="s">
        <v>5</v>
      </c>
      <c r="G37" s="1">
        <f>11/700</f>
        <v>1.5714285714285715E-2</v>
      </c>
      <c r="H37" t="s">
        <v>1</v>
      </c>
    </row>
    <row r="38" spans="1:12" x14ac:dyDescent="0.25">
      <c r="B38" s="6" t="s">
        <v>10</v>
      </c>
      <c r="C38" s="6">
        <v>0.55000000000000004</v>
      </c>
      <c r="D38" s="6" t="s">
        <v>9</v>
      </c>
      <c r="F38" t="s">
        <v>10</v>
      </c>
      <c r="G38" s="2">
        <f>1/(6133*$G$3)</f>
        <v>0.55635781022713315</v>
      </c>
      <c r="H38" t="s">
        <v>1</v>
      </c>
    </row>
    <row r="39" spans="1:12" x14ac:dyDescent="0.25">
      <c r="B39" s="6" t="s">
        <v>11</v>
      </c>
      <c r="C39" s="9">
        <v>21.6</v>
      </c>
      <c r="D39" s="6" t="s">
        <v>9</v>
      </c>
    </row>
    <row r="40" spans="1:12" x14ac:dyDescent="0.25">
      <c r="B40" s="10" t="s">
        <v>14</v>
      </c>
      <c r="C40" s="11">
        <f>C36*($G$4*(1+$G$4)^C35)/((1+$G$4)^C35-1)</f>
        <v>77.229465498599069</v>
      </c>
      <c r="D40" s="10" t="s">
        <v>9</v>
      </c>
      <c r="F40" t="s">
        <v>14</v>
      </c>
      <c r="G40" s="4">
        <f>G36*($G$4*(1+$G$4)^G35)/((1+$G$4)^G35-1)</f>
        <v>84.953633168930125</v>
      </c>
      <c r="H40" t="s">
        <v>1</v>
      </c>
    </row>
    <row r="43" spans="1:12" x14ac:dyDescent="0.25">
      <c r="A43" s="3" t="s">
        <v>21</v>
      </c>
      <c r="B43" s="6" t="s">
        <v>0</v>
      </c>
      <c r="C43" s="6">
        <v>30</v>
      </c>
      <c r="D43" s="6"/>
      <c r="F43" t="s">
        <v>0</v>
      </c>
      <c r="G43">
        <v>35</v>
      </c>
      <c r="H43" t="s">
        <v>9</v>
      </c>
    </row>
    <row r="44" spans="1:12" x14ac:dyDescent="0.25">
      <c r="B44" s="6" t="s">
        <v>23</v>
      </c>
      <c r="C44" s="6">
        <v>431</v>
      </c>
      <c r="D44" s="6" t="s">
        <v>25</v>
      </c>
      <c r="F44" t="s">
        <v>23</v>
      </c>
      <c r="G44">
        <v>530</v>
      </c>
      <c r="H44" t="s">
        <v>9</v>
      </c>
    </row>
    <row r="45" spans="1:12" x14ac:dyDescent="0.25">
      <c r="B45" s="6" t="s">
        <v>24</v>
      </c>
      <c r="C45" s="6">
        <v>275</v>
      </c>
      <c r="D45" s="6" t="s">
        <v>25</v>
      </c>
      <c r="F45" t="s">
        <v>24</v>
      </c>
      <c r="G45">
        <v>380</v>
      </c>
      <c r="H45" t="s">
        <v>9</v>
      </c>
      <c r="J45" t="s">
        <v>24</v>
      </c>
      <c r="K45">
        <v>425</v>
      </c>
      <c r="L45" t="s">
        <v>27</v>
      </c>
    </row>
    <row r="46" spans="1:12" x14ac:dyDescent="0.25">
      <c r="B46" s="6" t="s">
        <v>26</v>
      </c>
      <c r="C46" s="6">
        <v>204</v>
      </c>
      <c r="D46" s="6" t="s">
        <v>25</v>
      </c>
      <c r="F46" t="s">
        <v>26</v>
      </c>
      <c r="G46">
        <v>330</v>
      </c>
      <c r="H46" t="s">
        <v>9</v>
      </c>
    </row>
    <row r="47" spans="1:12" x14ac:dyDescent="0.25">
      <c r="B47" s="6" t="s">
        <v>28</v>
      </c>
      <c r="C47" s="6">
        <v>164</v>
      </c>
      <c r="D47" s="6" t="s">
        <v>25</v>
      </c>
      <c r="F47" t="s">
        <v>28</v>
      </c>
      <c r="G47">
        <v>300</v>
      </c>
      <c r="H47" t="s">
        <v>9</v>
      </c>
    </row>
    <row r="48" spans="1:12" x14ac:dyDescent="0.25">
      <c r="C48" s="11"/>
      <c r="F48" t="s">
        <v>5</v>
      </c>
      <c r="G48" s="1">
        <f>8750/(0.53*1000000)</f>
        <v>1.6509433962264151E-2</v>
      </c>
      <c r="H48" t="s">
        <v>9</v>
      </c>
    </row>
    <row r="49" spans="1:20" x14ac:dyDescent="0.25">
      <c r="G49" s="11"/>
    </row>
    <row r="50" spans="1:20" x14ac:dyDescent="0.25">
      <c r="A50" s="3" t="s">
        <v>22</v>
      </c>
      <c r="B50" s="6" t="s">
        <v>0</v>
      </c>
      <c r="C50" s="6">
        <v>30</v>
      </c>
      <c r="D50" s="6" t="s">
        <v>42</v>
      </c>
      <c r="F50" t="s">
        <v>0</v>
      </c>
      <c r="G50">
        <v>35</v>
      </c>
      <c r="H50" t="s">
        <v>9</v>
      </c>
      <c r="J50" t="s">
        <v>0</v>
      </c>
      <c r="K50">
        <v>25</v>
      </c>
      <c r="L50" t="s">
        <v>1</v>
      </c>
    </row>
    <row r="51" spans="1:20" x14ac:dyDescent="0.25">
      <c r="B51" s="6" t="s">
        <v>23</v>
      </c>
      <c r="C51" s="6">
        <v>1150</v>
      </c>
      <c r="D51" s="6" t="s">
        <v>43</v>
      </c>
      <c r="F51" t="s">
        <v>23</v>
      </c>
      <c r="G51">
        <v>1300</v>
      </c>
      <c r="H51" t="s">
        <v>9</v>
      </c>
      <c r="J51" t="s">
        <v>23</v>
      </c>
      <c r="K51">
        <f>(2800+2950)/2*$G$2</f>
        <v>2587.5</v>
      </c>
      <c r="L51" t="s">
        <v>1</v>
      </c>
    </row>
    <row r="52" spans="1:20" x14ac:dyDescent="0.25">
      <c r="B52" s="6" t="s">
        <v>24</v>
      </c>
      <c r="C52" s="6">
        <v>800</v>
      </c>
      <c r="D52" s="6" t="s">
        <v>44</v>
      </c>
      <c r="F52" t="s">
        <v>24</v>
      </c>
      <c r="G52">
        <v>870</v>
      </c>
      <c r="H52" t="s">
        <v>9</v>
      </c>
      <c r="J52" t="s">
        <v>5</v>
      </c>
      <c r="K52" s="1">
        <f>14/2800</f>
        <v>5.0000000000000001E-3</v>
      </c>
      <c r="L52" t="s">
        <v>1</v>
      </c>
    </row>
    <row r="53" spans="1:20" x14ac:dyDescent="0.25">
      <c r="B53" s="6" t="s">
        <v>28</v>
      </c>
      <c r="C53" s="6">
        <v>550</v>
      </c>
      <c r="D53" s="6" t="s">
        <v>45</v>
      </c>
      <c r="F53" t="s">
        <v>28</v>
      </c>
      <c r="G53">
        <v>590</v>
      </c>
      <c r="H53" t="s">
        <v>9</v>
      </c>
    </row>
    <row r="54" spans="1:20" x14ac:dyDescent="0.25">
      <c r="F54" t="s">
        <v>5</v>
      </c>
      <c r="G54" s="1">
        <f>12800/(1.3*1000000)</f>
        <v>9.8461538461538465E-3</v>
      </c>
      <c r="H54" t="s">
        <v>9</v>
      </c>
    </row>
    <row r="55" spans="1:20" x14ac:dyDescent="0.25">
      <c r="A55" s="3" t="s">
        <v>46</v>
      </c>
      <c r="B55" s="10" t="s">
        <v>0</v>
      </c>
      <c r="C55" s="10">
        <v>25</v>
      </c>
      <c r="D55" s="10" t="s">
        <v>9</v>
      </c>
    </row>
    <row r="56" spans="1:20" x14ac:dyDescent="0.25">
      <c r="B56" s="10" t="s">
        <v>3</v>
      </c>
      <c r="C56" s="10">
        <v>900</v>
      </c>
      <c r="D56" s="10" t="s">
        <v>9</v>
      </c>
    </row>
    <row r="57" spans="1:20" x14ac:dyDescent="0.25">
      <c r="B57" s="10" t="s">
        <v>5</v>
      </c>
      <c r="C57" s="12">
        <f>30000/(0.9*1000000)</f>
        <v>3.3333333333333333E-2</v>
      </c>
      <c r="D57" s="10" t="s">
        <v>9</v>
      </c>
    </row>
    <row r="58" spans="1:20" x14ac:dyDescent="0.25">
      <c r="B58" s="10" t="s">
        <v>10</v>
      </c>
      <c r="C58" s="10" t="s">
        <v>47</v>
      </c>
      <c r="D58" s="10"/>
    </row>
    <row r="59" spans="1:20" x14ac:dyDescent="0.25">
      <c r="B59" s="10" t="s">
        <v>11</v>
      </c>
      <c r="C59" s="11">
        <v>21.6</v>
      </c>
      <c r="D59" s="10" t="s">
        <v>9</v>
      </c>
    </row>
    <row r="60" spans="1:20" x14ac:dyDescent="0.25">
      <c r="B60" s="10"/>
      <c r="C60" s="11"/>
      <c r="D60" s="10"/>
    </row>
    <row r="61" spans="1:20" ht="30" x14ac:dyDescent="0.25">
      <c r="A61" s="13" t="s">
        <v>48</v>
      </c>
      <c r="B61" s="6" t="s">
        <v>0</v>
      </c>
      <c r="C61" s="6">
        <v>25</v>
      </c>
      <c r="D61" s="6" t="s">
        <v>9</v>
      </c>
      <c r="E61" s="13" t="s">
        <v>49</v>
      </c>
      <c r="F61" s="10" t="s">
        <v>0</v>
      </c>
      <c r="G61" s="10">
        <v>25</v>
      </c>
      <c r="H61" s="10" t="s">
        <v>9</v>
      </c>
      <c r="I61" s="13" t="s">
        <v>50</v>
      </c>
      <c r="J61" s="10" t="s">
        <v>0</v>
      </c>
      <c r="K61" s="10">
        <v>25</v>
      </c>
      <c r="L61" s="10" t="s">
        <v>9</v>
      </c>
      <c r="M61" s="13" t="s">
        <v>56</v>
      </c>
      <c r="N61" s="10" t="s">
        <v>0</v>
      </c>
      <c r="O61" s="10">
        <v>25</v>
      </c>
      <c r="P61" s="10" t="s">
        <v>9</v>
      </c>
      <c r="Q61" s="38" t="s">
        <v>54</v>
      </c>
      <c r="R61" s="38"/>
      <c r="S61" s="38"/>
      <c r="T61" s="38"/>
    </row>
    <row r="62" spans="1:20" ht="30" x14ac:dyDescent="0.25">
      <c r="B62" s="16" t="s">
        <v>53</v>
      </c>
      <c r="C62" s="6">
        <v>3500</v>
      </c>
      <c r="D62" s="6" t="s">
        <v>9</v>
      </c>
      <c r="F62" s="14" t="s">
        <v>53</v>
      </c>
      <c r="G62" s="10">
        <v>2300</v>
      </c>
      <c r="H62" s="10" t="s">
        <v>9</v>
      </c>
      <c r="J62" s="14" t="s">
        <v>53</v>
      </c>
      <c r="K62" s="10">
        <v>3400</v>
      </c>
      <c r="L62" s="10" t="s">
        <v>9</v>
      </c>
      <c r="N62" s="14" t="s">
        <v>53</v>
      </c>
      <c r="O62" s="10">
        <v>7800</v>
      </c>
      <c r="P62" s="10" t="s">
        <v>9</v>
      </c>
    </row>
    <row r="63" spans="1:20" ht="30" x14ac:dyDescent="0.25">
      <c r="B63" s="16" t="s">
        <v>51</v>
      </c>
      <c r="C63" s="6">
        <v>1070</v>
      </c>
      <c r="D63" s="6"/>
      <c r="F63" s="14" t="s">
        <v>51</v>
      </c>
      <c r="G63" s="10">
        <v>750</v>
      </c>
      <c r="H63" s="10"/>
      <c r="J63" s="14" t="s">
        <v>51</v>
      </c>
      <c r="K63" s="10">
        <v>1000</v>
      </c>
      <c r="L63" s="10"/>
      <c r="N63" s="14" t="s">
        <v>51</v>
      </c>
      <c r="O63" s="10">
        <v>1830</v>
      </c>
      <c r="P63" s="10"/>
    </row>
    <row r="64" spans="1:20" x14ac:dyDescent="0.25">
      <c r="B64" s="6" t="s">
        <v>5</v>
      </c>
      <c r="C64" s="7">
        <f>124900/(3.5*1000000)</f>
        <v>3.5685714285714286E-2</v>
      </c>
      <c r="D64" s="6" t="s">
        <v>9</v>
      </c>
      <c r="F64" s="10" t="s">
        <v>5</v>
      </c>
      <c r="G64" s="12">
        <f>64400/(2.3*1000000)</f>
        <v>2.8000000000000001E-2</v>
      </c>
      <c r="H64" s="10" t="s">
        <v>9</v>
      </c>
      <c r="J64" s="10" t="s">
        <v>5</v>
      </c>
      <c r="K64" s="12">
        <f>97600/(3.4*1000000)</f>
        <v>2.8705882352941175E-2</v>
      </c>
      <c r="L64" s="10" t="s">
        <v>9</v>
      </c>
      <c r="N64" s="10" t="s">
        <v>5</v>
      </c>
      <c r="O64" s="12">
        <f>188300/(7.8*1000000)</f>
        <v>2.4141025641025642E-2</v>
      </c>
      <c r="P64" s="10" t="s">
        <v>9</v>
      </c>
    </row>
    <row r="65" spans="1:16" x14ac:dyDescent="0.25">
      <c r="B65" s="6" t="s">
        <v>52</v>
      </c>
      <c r="C65" s="9">
        <v>1.9</v>
      </c>
      <c r="D65" s="6"/>
      <c r="F65" s="10" t="s">
        <v>52</v>
      </c>
      <c r="G65" s="11">
        <v>1.6</v>
      </c>
      <c r="H65" s="10" t="s">
        <v>9</v>
      </c>
      <c r="J65" s="10" t="s">
        <v>52</v>
      </c>
      <c r="K65" s="11">
        <v>3.8</v>
      </c>
      <c r="L65" s="10" t="s">
        <v>9</v>
      </c>
      <c r="N65" s="10" t="s">
        <v>52</v>
      </c>
      <c r="O65" s="11">
        <v>24.8</v>
      </c>
      <c r="P65" s="10" t="s">
        <v>9</v>
      </c>
    </row>
    <row r="66" spans="1:16" x14ac:dyDescent="0.25">
      <c r="B66" s="6" t="s">
        <v>10</v>
      </c>
      <c r="C66" s="6" t="s">
        <v>47</v>
      </c>
      <c r="D66" s="6"/>
      <c r="F66" s="10" t="s">
        <v>10</v>
      </c>
      <c r="G66" s="10" t="s">
        <v>47</v>
      </c>
      <c r="H66" s="10"/>
      <c r="J66" s="10" t="s">
        <v>10</v>
      </c>
      <c r="K66" s="10" t="s">
        <v>47</v>
      </c>
      <c r="L66" s="10"/>
      <c r="N66" s="10" t="s">
        <v>10</v>
      </c>
      <c r="O66" s="10" t="s">
        <v>47</v>
      </c>
      <c r="P66" s="10"/>
    </row>
    <row r="67" spans="1:16" ht="30" x14ac:dyDescent="0.25">
      <c r="B67" s="16" t="s">
        <v>57</v>
      </c>
      <c r="C67" s="17">
        <v>0.29299999999999998</v>
      </c>
      <c r="D67" s="6" t="s">
        <v>9</v>
      </c>
      <c r="F67" s="14" t="s">
        <v>57</v>
      </c>
      <c r="G67" s="15">
        <v>0.31</v>
      </c>
      <c r="H67" s="10" t="s">
        <v>9</v>
      </c>
      <c r="J67" s="14" t="s">
        <v>57</v>
      </c>
      <c r="K67" s="15">
        <v>0.28000000000000003</v>
      </c>
      <c r="L67" s="10" t="s">
        <v>9</v>
      </c>
      <c r="N67" s="14" t="s">
        <v>57</v>
      </c>
      <c r="O67" s="15">
        <v>0.221</v>
      </c>
      <c r="P67" s="10" t="s">
        <v>9</v>
      </c>
    </row>
    <row r="68" spans="1:16" x14ac:dyDescent="0.25">
      <c r="B68" s="16" t="s">
        <v>58</v>
      </c>
      <c r="C68" s="9">
        <f>fuel_costs!$F$3</f>
        <v>25.2</v>
      </c>
      <c r="D68" s="6" t="s">
        <v>135</v>
      </c>
      <c r="F68" s="14"/>
      <c r="G68" s="15"/>
      <c r="H68" s="10"/>
      <c r="J68" s="14"/>
      <c r="K68" s="15"/>
      <c r="L68" s="10"/>
      <c r="N68" s="14"/>
      <c r="O68" s="15"/>
      <c r="P68" s="10"/>
    </row>
    <row r="69" spans="1:16" x14ac:dyDescent="0.25">
      <c r="B69" s="14"/>
      <c r="C69" s="15"/>
      <c r="D69" s="10"/>
      <c r="F69" s="14"/>
      <c r="G69" s="15"/>
      <c r="H69" s="10"/>
      <c r="J69" s="14"/>
      <c r="K69" s="15"/>
      <c r="L69" s="10"/>
      <c r="N69" s="14"/>
      <c r="O69" s="15"/>
      <c r="P69" s="10"/>
    </row>
    <row r="70" spans="1:16" ht="30" x14ac:dyDescent="0.25">
      <c r="A70" s="3" t="s">
        <v>55</v>
      </c>
      <c r="B70" s="6" t="s">
        <v>0</v>
      </c>
      <c r="C70" s="6">
        <v>25</v>
      </c>
      <c r="D70" s="6" t="s">
        <v>9</v>
      </c>
      <c r="E70" s="13" t="s">
        <v>60</v>
      </c>
      <c r="F70" s="10" t="s">
        <v>0</v>
      </c>
      <c r="G70">
        <v>25</v>
      </c>
      <c r="H70" s="10" t="s">
        <v>9</v>
      </c>
      <c r="I70" s="13" t="s">
        <v>61</v>
      </c>
      <c r="J70" s="10" t="s">
        <v>0</v>
      </c>
      <c r="K70">
        <v>25</v>
      </c>
      <c r="L70" s="10" t="s">
        <v>9</v>
      </c>
    </row>
    <row r="71" spans="1:16" ht="45" x14ac:dyDescent="0.25">
      <c r="B71" s="16" t="s">
        <v>59</v>
      </c>
      <c r="C71" s="6">
        <v>890</v>
      </c>
      <c r="D71" s="6" t="s">
        <v>9</v>
      </c>
      <c r="F71" s="14" t="s">
        <v>59</v>
      </c>
      <c r="G71">
        <v>720</v>
      </c>
      <c r="H71" s="10" t="s">
        <v>9</v>
      </c>
      <c r="J71" s="14" t="s">
        <v>59</v>
      </c>
      <c r="K71">
        <v>648</v>
      </c>
      <c r="L71" s="10" t="s">
        <v>9</v>
      </c>
    </row>
    <row r="72" spans="1:16" ht="30" x14ac:dyDescent="0.25">
      <c r="B72" s="16" t="s">
        <v>51</v>
      </c>
      <c r="C72" s="19">
        <v>900</v>
      </c>
      <c r="D72" s="6"/>
      <c r="F72" s="14" t="s">
        <v>51</v>
      </c>
      <c r="G72" s="18">
        <v>720</v>
      </c>
      <c r="H72" s="10"/>
      <c r="J72" s="14" t="s">
        <v>51</v>
      </c>
      <c r="K72" s="18">
        <v>790</v>
      </c>
      <c r="L72" s="10"/>
    </row>
    <row r="73" spans="1:16" x14ac:dyDescent="0.25">
      <c r="B73" s="6" t="s">
        <v>5</v>
      </c>
      <c r="C73" s="7">
        <f>51300/(8.9*1000000)</f>
        <v>5.7640449438202245E-3</v>
      </c>
      <c r="D73" s="6" t="s">
        <v>9</v>
      </c>
      <c r="F73" s="10" t="s">
        <v>5</v>
      </c>
      <c r="G73" s="12">
        <f>33000/(7.2*1000000)</f>
        <v>4.5833333333333334E-3</v>
      </c>
      <c r="H73" s="10" t="s">
        <v>9</v>
      </c>
      <c r="J73" s="10" t="s">
        <v>5</v>
      </c>
      <c r="K73" s="12">
        <f>32200/(6.8*1000000)</f>
        <v>4.7352941176470589E-3</v>
      </c>
      <c r="L73" s="10" t="s">
        <v>9</v>
      </c>
    </row>
    <row r="74" spans="1:16" x14ac:dyDescent="0.25">
      <c r="B74" s="16" t="s">
        <v>52</v>
      </c>
      <c r="C74" s="8">
        <v>0.6</v>
      </c>
      <c r="D74" s="6" t="s">
        <v>9</v>
      </c>
      <c r="F74" s="14" t="s">
        <v>52</v>
      </c>
      <c r="G74" s="11">
        <v>0.5</v>
      </c>
      <c r="H74" s="10" t="s">
        <v>9</v>
      </c>
      <c r="J74" s="14" t="s">
        <v>52</v>
      </c>
      <c r="K74" s="11">
        <v>1</v>
      </c>
      <c r="L74" s="10" t="s">
        <v>9</v>
      </c>
    </row>
    <row r="75" spans="1:16" x14ac:dyDescent="0.25">
      <c r="B75" s="6" t="s">
        <v>10</v>
      </c>
      <c r="C75" s="6">
        <v>1.02</v>
      </c>
      <c r="D75" s="6" t="s">
        <v>9</v>
      </c>
      <c r="F75" s="10" t="s">
        <v>10</v>
      </c>
      <c r="G75">
        <v>1.01</v>
      </c>
      <c r="H75" s="10" t="s">
        <v>9</v>
      </c>
      <c r="J75" s="10" t="s">
        <v>10</v>
      </c>
      <c r="K75">
        <v>1.149</v>
      </c>
      <c r="L75" s="10" t="s">
        <v>9</v>
      </c>
    </row>
    <row r="76" spans="1:16" x14ac:dyDescent="0.25">
      <c r="B76" s="16" t="s">
        <v>58</v>
      </c>
      <c r="C76" s="9">
        <f>fuel_costs!$F$3</f>
        <v>25.2</v>
      </c>
      <c r="D76" s="6" t="s">
        <v>135</v>
      </c>
      <c r="J76" s="14"/>
    </row>
    <row r="77" spans="1:16" x14ac:dyDescent="0.25">
      <c r="D77" s="10"/>
    </row>
    <row r="78" spans="1:16" x14ac:dyDescent="0.25">
      <c r="A78" s="6" t="s">
        <v>62</v>
      </c>
      <c r="B78" s="6">
        <v>2030</v>
      </c>
      <c r="C78" s="6" t="s">
        <v>63</v>
      </c>
      <c r="D78" s="6">
        <v>25.2</v>
      </c>
      <c r="E78" s="6" t="s">
        <v>64</v>
      </c>
      <c r="F78" s="6" t="s">
        <v>65</v>
      </c>
    </row>
  </sheetData>
  <mergeCells count="1">
    <mergeCell ref="Q61:T6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21" sqref="A21"/>
    </sheetView>
  </sheetViews>
  <sheetFormatPr baseColWidth="10" defaultRowHeight="15" x14ac:dyDescent="0.25"/>
  <cols>
    <col min="2" max="2" width="17.5703125" customWidth="1"/>
    <col min="4" max="4" width="17.28515625" customWidth="1"/>
    <col min="5" max="5" width="2.5703125" customWidth="1"/>
    <col min="6" max="6" width="18.7109375" customWidth="1"/>
    <col min="8" max="8" width="27.5703125" customWidth="1"/>
  </cols>
  <sheetData>
    <row r="1" spans="1:8" x14ac:dyDescent="0.25">
      <c r="A1" s="3" t="s">
        <v>117</v>
      </c>
      <c r="B1" s="6" t="s">
        <v>0</v>
      </c>
      <c r="C1" s="6">
        <v>20</v>
      </c>
      <c r="D1" s="6" t="s">
        <v>9</v>
      </c>
      <c r="F1" t="s">
        <v>0</v>
      </c>
      <c r="G1">
        <v>15</v>
      </c>
      <c r="H1" t="s">
        <v>9</v>
      </c>
    </row>
    <row r="2" spans="1:8" x14ac:dyDescent="0.25">
      <c r="B2" s="6" t="s">
        <v>118</v>
      </c>
      <c r="C2" s="6">
        <v>132</v>
      </c>
      <c r="D2" s="6" t="s">
        <v>9</v>
      </c>
      <c r="F2" t="s">
        <v>118</v>
      </c>
      <c r="G2">
        <f>192*0.9</f>
        <v>172.8</v>
      </c>
      <c r="H2" t="s">
        <v>9</v>
      </c>
    </row>
    <row r="3" spans="1:8" x14ac:dyDescent="0.25">
      <c r="B3" s="6" t="s">
        <v>5</v>
      </c>
      <c r="C3" s="7">
        <f>540/(0.132*1000000)</f>
        <v>4.0909090909090912E-3</v>
      </c>
      <c r="D3" s="6" t="s">
        <v>9</v>
      </c>
      <c r="F3" t="s">
        <v>5</v>
      </c>
      <c r="G3" s="12">
        <v>0.03</v>
      </c>
      <c r="H3" t="s">
        <v>9</v>
      </c>
    </row>
    <row r="4" spans="1:8" x14ac:dyDescent="0.25">
      <c r="B4" s="6" t="s">
        <v>119</v>
      </c>
      <c r="C4" s="6">
        <v>270</v>
      </c>
      <c r="D4" s="6" t="s">
        <v>9</v>
      </c>
      <c r="F4" t="s">
        <v>119</v>
      </c>
      <c r="G4">
        <f>411*0.9</f>
        <v>369.90000000000003</v>
      </c>
      <c r="H4" t="s">
        <v>9</v>
      </c>
    </row>
    <row r="5" spans="1:8" x14ac:dyDescent="0.25">
      <c r="B5" s="6" t="s">
        <v>10</v>
      </c>
      <c r="C5" s="8">
        <f>0.91*0.91</f>
        <v>0.82810000000000006</v>
      </c>
      <c r="D5" s="6" t="s">
        <v>9</v>
      </c>
      <c r="F5" t="s">
        <v>10</v>
      </c>
      <c r="G5">
        <v>0.81</v>
      </c>
      <c r="H5" t="s">
        <v>9</v>
      </c>
    </row>
    <row r="6" spans="1:8" x14ac:dyDescent="0.25">
      <c r="B6" s="6"/>
      <c r="C6" s="6"/>
      <c r="D6" s="6"/>
    </row>
    <row r="7" spans="1:8" x14ac:dyDescent="0.25">
      <c r="A7" s="3" t="s">
        <v>16</v>
      </c>
      <c r="B7" s="6" t="s">
        <v>20</v>
      </c>
      <c r="C7" s="6">
        <v>11</v>
      </c>
      <c r="D7" s="6" t="s">
        <v>9</v>
      </c>
      <c r="F7" t="s">
        <v>17</v>
      </c>
      <c r="G7">
        <v>28600</v>
      </c>
      <c r="H7" t="s">
        <v>120</v>
      </c>
    </row>
    <row r="8" spans="1:8" x14ac:dyDescent="0.25">
      <c r="F8" t="s">
        <v>124</v>
      </c>
      <c r="G8">
        <v>33.33</v>
      </c>
    </row>
    <row r="9" spans="1:8" x14ac:dyDescent="0.25">
      <c r="F9" t="s">
        <v>126</v>
      </c>
      <c r="G9">
        <f>C23</f>
        <v>0.57999999999999996</v>
      </c>
    </row>
    <row r="10" spans="1:8" x14ac:dyDescent="0.25">
      <c r="F10" t="s">
        <v>125</v>
      </c>
      <c r="G10" s="2">
        <f>G8/G9</f>
        <v>57.46551724137931</v>
      </c>
    </row>
    <row r="11" spans="1:8" x14ac:dyDescent="0.25">
      <c r="F11" t="s">
        <v>18</v>
      </c>
      <c r="G11">
        <f>G7*G10</f>
        <v>1643513.7931034483</v>
      </c>
    </row>
    <row r="12" spans="1:8" x14ac:dyDescent="0.25">
      <c r="F12" t="s">
        <v>41</v>
      </c>
      <c r="G12">
        <f>30.7*1000000</f>
        <v>30700000</v>
      </c>
      <c r="H12" t="s">
        <v>120</v>
      </c>
    </row>
    <row r="13" spans="1:8" x14ac:dyDescent="0.25">
      <c r="F13" t="s">
        <v>19</v>
      </c>
      <c r="G13" s="4">
        <f>G12/G11</f>
        <v>18.679490326655042</v>
      </c>
    </row>
    <row r="14" spans="1:8" x14ac:dyDescent="0.25">
      <c r="F14" t="s">
        <v>20</v>
      </c>
      <c r="G14" s="2">
        <f>G13*'cost generators'!G2</f>
        <v>16.811541293989539</v>
      </c>
    </row>
    <row r="16" spans="1:8" x14ac:dyDescent="0.25">
      <c r="A16" s="3" t="s">
        <v>127</v>
      </c>
      <c r="B16" t="s">
        <v>122</v>
      </c>
      <c r="C16">
        <v>350</v>
      </c>
      <c r="D16" t="s">
        <v>129</v>
      </c>
    </row>
    <row r="17" spans="1:4" x14ac:dyDescent="0.25">
      <c r="B17" t="s">
        <v>123</v>
      </c>
      <c r="C17">
        <v>18</v>
      </c>
      <c r="D17" t="s">
        <v>128</v>
      </c>
    </row>
    <row r="18" spans="1:4" x14ac:dyDescent="0.25">
      <c r="B18" t="s">
        <v>121</v>
      </c>
      <c r="C18">
        <v>0.8</v>
      </c>
      <c r="D18" t="s">
        <v>128</v>
      </c>
    </row>
    <row r="19" spans="1:4" x14ac:dyDescent="0.25">
      <c r="B19" t="s">
        <v>5</v>
      </c>
      <c r="C19" s="37">
        <v>0.04</v>
      </c>
      <c r="D19" t="s">
        <v>128</v>
      </c>
    </row>
    <row r="21" spans="1:4" x14ac:dyDescent="0.25">
      <c r="A21" s="3" t="s">
        <v>130</v>
      </c>
      <c r="B21" t="s">
        <v>122</v>
      </c>
      <c r="C21">
        <v>339</v>
      </c>
      <c r="D21" t="s">
        <v>128</v>
      </c>
    </row>
    <row r="22" spans="1:4" x14ac:dyDescent="0.25">
      <c r="B22" t="s">
        <v>123</v>
      </c>
      <c r="C22">
        <v>20</v>
      </c>
      <c r="D22" t="s">
        <v>128</v>
      </c>
    </row>
    <row r="23" spans="1:4" x14ac:dyDescent="0.25">
      <c r="B23" t="s">
        <v>121</v>
      </c>
      <c r="C23">
        <v>0.57999999999999996</v>
      </c>
      <c r="D23" t="s">
        <v>128</v>
      </c>
    </row>
    <row r="24" spans="1:4" x14ac:dyDescent="0.25">
      <c r="B24" t="s">
        <v>5</v>
      </c>
      <c r="C24" s="37">
        <v>0.03</v>
      </c>
      <c r="D24" t="s">
        <v>128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13.28515625" customWidth="1"/>
    <col min="4" max="4" width="14.5703125" customWidth="1"/>
    <col min="7" max="7" width="21.28515625" customWidth="1"/>
  </cols>
  <sheetData>
    <row r="1" spans="1:7" x14ac:dyDescent="0.25">
      <c r="B1" s="3" t="s">
        <v>31</v>
      </c>
      <c r="E1" s="3" t="s">
        <v>131</v>
      </c>
    </row>
    <row r="2" spans="1:7" x14ac:dyDescent="0.25">
      <c r="A2" t="s">
        <v>32</v>
      </c>
      <c r="B2">
        <f>AVERAGE(8.14, 6.44, 4.54, 5.72,7.9)</f>
        <v>6.548</v>
      </c>
      <c r="C2" t="s">
        <v>30</v>
      </c>
      <c r="E2" s="10" t="s">
        <v>40</v>
      </c>
      <c r="F2" s="46">
        <v>7</v>
      </c>
      <c r="G2" s="10"/>
    </row>
    <row r="3" spans="1:7" x14ac:dyDescent="0.25">
      <c r="A3" t="s">
        <v>34</v>
      </c>
      <c r="B3">
        <v>3412141.4798968998</v>
      </c>
      <c r="E3" s="6" t="s">
        <v>40</v>
      </c>
      <c r="F3" s="6">
        <v>25.2</v>
      </c>
      <c r="G3" s="10" t="s">
        <v>65</v>
      </c>
    </row>
    <row r="4" spans="1:7" x14ac:dyDescent="0.25">
      <c r="A4" t="s">
        <v>36</v>
      </c>
      <c r="B4" s="2">
        <f>B2/1000000*B3</f>
        <v>22.3427024103649</v>
      </c>
    </row>
    <row r="5" spans="1:7" x14ac:dyDescent="0.25">
      <c r="A5" t="s">
        <v>37</v>
      </c>
      <c r="B5">
        <v>0.9</v>
      </c>
      <c r="E5" s="10" t="s">
        <v>132</v>
      </c>
      <c r="F5" s="10">
        <v>7</v>
      </c>
      <c r="G5" s="10" t="s">
        <v>133</v>
      </c>
    </row>
    <row r="6" spans="1:7" x14ac:dyDescent="0.25">
      <c r="A6" t="s">
        <v>40</v>
      </c>
      <c r="B6" s="2">
        <f>B4*B5</f>
        <v>20.10843216932841</v>
      </c>
      <c r="E6" s="10" t="s">
        <v>134</v>
      </c>
      <c r="F6" s="10">
        <v>0.28000000000000003</v>
      </c>
      <c r="G6" s="10"/>
    </row>
    <row r="7" spans="1:7" x14ac:dyDescent="0.25">
      <c r="E7" s="10" t="s">
        <v>40</v>
      </c>
      <c r="F7" s="46">
        <f>F5/F6</f>
        <v>24.999999999999996</v>
      </c>
      <c r="G7" s="10"/>
    </row>
    <row r="8" spans="1:7" x14ac:dyDescent="0.25">
      <c r="B8" s="3" t="s">
        <v>4</v>
      </c>
    </row>
    <row r="9" spans="1:7" x14ac:dyDescent="0.25">
      <c r="A9" t="s">
        <v>33</v>
      </c>
      <c r="B9">
        <f>AVERAGE(75.38, 56.64, 60.09, 84.51, 91.83)</f>
        <v>73.69</v>
      </c>
      <c r="C9" t="s">
        <v>30</v>
      </c>
    </row>
    <row r="10" spans="1:7" x14ac:dyDescent="0.25">
      <c r="A10" t="s">
        <v>35</v>
      </c>
      <c r="B10">
        <v>8.141</v>
      </c>
    </row>
    <row r="11" spans="1:7" x14ac:dyDescent="0.25">
      <c r="A11" t="s">
        <v>36</v>
      </c>
      <c r="B11" s="2">
        <f>B9/B10</f>
        <v>9.0517135487040896</v>
      </c>
    </row>
    <row r="12" spans="1:7" x14ac:dyDescent="0.25">
      <c r="A12" t="s">
        <v>37</v>
      </c>
      <c r="B12">
        <v>0.9</v>
      </c>
    </row>
    <row r="13" spans="1:7" x14ac:dyDescent="0.25">
      <c r="A13" t="s">
        <v>40</v>
      </c>
      <c r="B13" s="2">
        <f>B11*B12</f>
        <v>8.1465421938336817</v>
      </c>
    </row>
    <row r="15" spans="1:7" x14ac:dyDescent="0.25">
      <c r="B15" s="3" t="s">
        <v>7</v>
      </c>
    </row>
    <row r="16" spans="1:7" x14ac:dyDescent="0.25">
      <c r="A16" t="s">
        <v>33</v>
      </c>
      <c r="B16">
        <v>10</v>
      </c>
    </row>
    <row r="17" spans="1:3" x14ac:dyDescent="0.25">
      <c r="A17" t="s">
        <v>35</v>
      </c>
      <c r="B17">
        <f>8.141/2</f>
        <v>4.0705</v>
      </c>
      <c r="C17" t="s">
        <v>39</v>
      </c>
    </row>
    <row r="18" spans="1:3" x14ac:dyDescent="0.25">
      <c r="A18" t="s">
        <v>36</v>
      </c>
      <c r="B18" s="2">
        <f>B16/B17</f>
        <v>2.4567006510256726</v>
      </c>
    </row>
    <row r="19" spans="1:3" x14ac:dyDescent="0.25">
      <c r="A19" t="s">
        <v>37</v>
      </c>
      <c r="B19">
        <v>0.9</v>
      </c>
    </row>
    <row r="20" spans="1:3" x14ac:dyDescent="0.25">
      <c r="A20" t="s">
        <v>40</v>
      </c>
      <c r="B20" s="2">
        <f>B18*B19</f>
        <v>2.2110305859231052</v>
      </c>
    </row>
    <row r="22" spans="1:3" x14ac:dyDescent="0.25">
      <c r="A22" t="s">
        <v>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showGridLines="0" workbookViewId="0">
      <selection activeCell="L8" sqref="L8"/>
    </sheetView>
  </sheetViews>
  <sheetFormatPr baseColWidth="10" defaultRowHeight="15" x14ac:dyDescent="0.25"/>
  <cols>
    <col min="1" max="1" width="19" customWidth="1"/>
    <col min="2" max="2" width="11.42578125" customWidth="1"/>
    <col min="3" max="3" width="11.28515625" customWidth="1"/>
    <col min="4" max="4" width="8.85546875" customWidth="1"/>
    <col min="5" max="5" width="9.28515625" customWidth="1"/>
    <col min="6" max="6" width="7.5703125" style="2" customWidth="1"/>
    <col min="7" max="7" width="11.7109375" style="2" customWidth="1"/>
    <col min="8" max="8" width="15.7109375" customWidth="1"/>
    <col min="9" max="11" width="9.140625" customWidth="1"/>
    <col min="12" max="12" width="15.28515625" customWidth="1"/>
    <col min="13" max="256" width="9.140625" customWidth="1"/>
    <col min="257" max="257" width="19" customWidth="1"/>
    <col min="258" max="258" width="11.42578125" customWidth="1"/>
    <col min="259" max="259" width="11.28515625" customWidth="1"/>
    <col min="260" max="260" width="8.85546875" customWidth="1"/>
    <col min="261" max="261" width="9.28515625" customWidth="1"/>
    <col min="262" max="262" width="7.5703125" customWidth="1"/>
    <col min="263" max="263" width="11.7109375" customWidth="1"/>
    <col min="264" max="264" width="15.7109375" customWidth="1"/>
    <col min="265" max="512" width="9.140625" customWidth="1"/>
    <col min="513" max="513" width="19" customWidth="1"/>
    <col min="514" max="514" width="11.42578125" customWidth="1"/>
    <col min="515" max="515" width="11.28515625" customWidth="1"/>
    <col min="516" max="516" width="8.85546875" customWidth="1"/>
    <col min="517" max="517" width="9.28515625" customWidth="1"/>
    <col min="518" max="518" width="7.5703125" customWidth="1"/>
    <col min="519" max="519" width="11.7109375" customWidth="1"/>
    <col min="520" max="520" width="15.7109375" customWidth="1"/>
    <col min="521" max="768" width="9.140625" customWidth="1"/>
    <col min="769" max="769" width="19" customWidth="1"/>
    <col min="770" max="770" width="11.42578125" customWidth="1"/>
    <col min="771" max="771" width="11.28515625" customWidth="1"/>
    <col min="772" max="772" width="8.85546875" customWidth="1"/>
    <col min="773" max="773" width="9.28515625" customWidth="1"/>
    <col min="774" max="774" width="7.5703125" customWidth="1"/>
    <col min="775" max="775" width="11.7109375" customWidth="1"/>
    <col min="776" max="776" width="15.7109375" customWidth="1"/>
    <col min="777" max="1024" width="9.140625" customWidth="1"/>
    <col min="1025" max="1025" width="19" customWidth="1"/>
    <col min="1026" max="1026" width="11.42578125" customWidth="1"/>
    <col min="1027" max="1027" width="11.28515625" customWidth="1"/>
    <col min="1028" max="1028" width="8.85546875" customWidth="1"/>
    <col min="1029" max="1029" width="9.28515625" customWidth="1"/>
    <col min="1030" max="1030" width="7.5703125" customWidth="1"/>
    <col min="1031" max="1031" width="11.7109375" customWidth="1"/>
    <col min="1032" max="1032" width="15.7109375" customWidth="1"/>
    <col min="1033" max="1280" width="9.140625" customWidth="1"/>
    <col min="1281" max="1281" width="19" customWidth="1"/>
    <col min="1282" max="1282" width="11.42578125" customWidth="1"/>
    <col min="1283" max="1283" width="11.28515625" customWidth="1"/>
    <col min="1284" max="1284" width="8.85546875" customWidth="1"/>
    <col min="1285" max="1285" width="9.28515625" customWidth="1"/>
    <col min="1286" max="1286" width="7.5703125" customWidth="1"/>
    <col min="1287" max="1287" width="11.7109375" customWidth="1"/>
    <col min="1288" max="1288" width="15.7109375" customWidth="1"/>
    <col min="1289" max="1536" width="9.140625" customWidth="1"/>
    <col min="1537" max="1537" width="19" customWidth="1"/>
    <col min="1538" max="1538" width="11.42578125" customWidth="1"/>
    <col min="1539" max="1539" width="11.28515625" customWidth="1"/>
    <col min="1540" max="1540" width="8.85546875" customWidth="1"/>
    <col min="1541" max="1541" width="9.28515625" customWidth="1"/>
    <col min="1542" max="1542" width="7.5703125" customWidth="1"/>
    <col min="1543" max="1543" width="11.7109375" customWidth="1"/>
    <col min="1544" max="1544" width="15.7109375" customWidth="1"/>
    <col min="1545" max="1792" width="9.140625" customWidth="1"/>
    <col min="1793" max="1793" width="19" customWidth="1"/>
    <col min="1794" max="1794" width="11.42578125" customWidth="1"/>
    <col min="1795" max="1795" width="11.28515625" customWidth="1"/>
    <col min="1796" max="1796" width="8.85546875" customWidth="1"/>
    <col min="1797" max="1797" width="9.28515625" customWidth="1"/>
    <col min="1798" max="1798" width="7.5703125" customWidth="1"/>
    <col min="1799" max="1799" width="11.7109375" customWidth="1"/>
    <col min="1800" max="1800" width="15.7109375" customWidth="1"/>
    <col min="1801" max="2048" width="9.140625" customWidth="1"/>
    <col min="2049" max="2049" width="19" customWidth="1"/>
    <col min="2050" max="2050" width="11.42578125" customWidth="1"/>
    <col min="2051" max="2051" width="11.28515625" customWidth="1"/>
    <col min="2052" max="2052" width="8.85546875" customWidth="1"/>
    <col min="2053" max="2053" width="9.28515625" customWidth="1"/>
    <col min="2054" max="2054" width="7.5703125" customWidth="1"/>
    <col min="2055" max="2055" width="11.7109375" customWidth="1"/>
    <col min="2056" max="2056" width="15.7109375" customWidth="1"/>
    <col min="2057" max="2304" width="9.140625" customWidth="1"/>
    <col min="2305" max="2305" width="19" customWidth="1"/>
    <col min="2306" max="2306" width="11.42578125" customWidth="1"/>
    <col min="2307" max="2307" width="11.28515625" customWidth="1"/>
    <col min="2308" max="2308" width="8.85546875" customWidth="1"/>
    <col min="2309" max="2309" width="9.28515625" customWidth="1"/>
    <col min="2310" max="2310" width="7.5703125" customWidth="1"/>
    <col min="2311" max="2311" width="11.7109375" customWidth="1"/>
    <col min="2312" max="2312" width="15.7109375" customWidth="1"/>
    <col min="2313" max="2560" width="9.140625" customWidth="1"/>
    <col min="2561" max="2561" width="19" customWidth="1"/>
    <col min="2562" max="2562" width="11.42578125" customWidth="1"/>
    <col min="2563" max="2563" width="11.28515625" customWidth="1"/>
    <col min="2564" max="2564" width="8.85546875" customWidth="1"/>
    <col min="2565" max="2565" width="9.28515625" customWidth="1"/>
    <col min="2566" max="2566" width="7.5703125" customWidth="1"/>
    <col min="2567" max="2567" width="11.7109375" customWidth="1"/>
    <col min="2568" max="2568" width="15.7109375" customWidth="1"/>
    <col min="2569" max="2816" width="9.140625" customWidth="1"/>
    <col min="2817" max="2817" width="19" customWidth="1"/>
    <col min="2818" max="2818" width="11.42578125" customWidth="1"/>
    <col min="2819" max="2819" width="11.28515625" customWidth="1"/>
    <col min="2820" max="2820" width="8.85546875" customWidth="1"/>
    <col min="2821" max="2821" width="9.28515625" customWidth="1"/>
    <col min="2822" max="2822" width="7.5703125" customWidth="1"/>
    <col min="2823" max="2823" width="11.7109375" customWidth="1"/>
    <col min="2824" max="2824" width="15.7109375" customWidth="1"/>
    <col min="2825" max="3072" width="9.140625" customWidth="1"/>
    <col min="3073" max="3073" width="19" customWidth="1"/>
    <col min="3074" max="3074" width="11.42578125" customWidth="1"/>
    <col min="3075" max="3075" width="11.28515625" customWidth="1"/>
    <col min="3076" max="3076" width="8.85546875" customWidth="1"/>
    <col min="3077" max="3077" width="9.28515625" customWidth="1"/>
    <col min="3078" max="3078" width="7.5703125" customWidth="1"/>
    <col min="3079" max="3079" width="11.7109375" customWidth="1"/>
    <col min="3080" max="3080" width="15.7109375" customWidth="1"/>
    <col min="3081" max="3328" width="9.140625" customWidth="1"/>
    <col min="3329" max="3329" width="19" customWidth="1"/>
    <col min="3330" max="3330" width="11.42578125" customWidth="1"/>
    <col min="3331" max="3331" width="11.28515625" customWidth="1"/>
    <col min="3332" max="3332" width="8.85546875" customWidth="1"/>
    <col min="3333" max="3333" width="9.28515625" customWidth="1"/>
    <col min="3334" max="3334" width="7.5703125" customWidth="1"/>
    <col min="3335" max="3335" width="11.7109375" customWidth="1"/>
    <col min="3336" max="3336" width="15.7109375" customWidth="1"/>
    <col min="3337" max="3584" width="9.140625" customWidth="1"/>
    <col min="3585" max="3585" width="19" customWidth="1"/>
    <col min="3586" max="3586" width="11.42578125" customWidth="1"/>
    <col min="3587" max="3587" width="11.28515625" customWidth="1"/>
    <col min="3588" max="3588" width="8.85546875" customWidth="1"/>
    <col min="3589" max="3589" width="9.28515625" customWidth="1"/>
    <col min="3590" max="3590" width="7.5703125" customWidth="1"/>
    <col min="3591" max="3591" width="11.7109375" customWidth="1"/>
    <col min="3592" max="3592" width="15.7109375" customWidth="1"/>
    <col min="3593" max="3840" width="9.140625" customWidth="1"/>
    <col min="3841" max="3841" width="19" customWidth="1"/>
    <col min="3842" max="3842" width="11.42578125" customWidth="1"/>
    <col min="3843" max="3843" width="11.28515625" customWidth="1"/>
    <col min="3844" max="3844" width="8.85546875" customWidth="1"/>
    <col min="3845" max="3845" width="9.28515625" customWidth="1"/>
    <col min="3846" max="3846" width="7.5703125" customWidth="1"/>
    <col min="3847" max="3847" width="11.7109375" customWidth="1"/>
    <col min="3848" max="3848" width="15.7109375" customWidth="1"/>
    <col min="3849" max="4096" width="9.140625" customWidth="1"/>
    <col min="4097" max="4097" width="19" customWidth="1"/>
    <col min="4098" max="4098" width="11.42578125" customWidth="1"/>
    <col min="4099" max="4099" width="11.28515625" customWidth="1"/>
    <col min="4100" max="4100" width="8.85546875" customWidth="1"/>
    <col min="4101" max="4101" width="9.28515625" customWidth="1"/>
    <col min="4102" max="4102" width="7.5703125" customWidth="1"/>
    <col min="4103" max="4103" width="11.7109375" customWidth="1"/>
    <col min="4104" max="4104" width="15.7109375" customWidth="1"/>
    <col min="4105" max="4352" width="9.140625" customWidth="1"/>
    <col min="4353" max="4353" width="19" customWidth="1"/>
    <col min="4354" max="4354" width="11.42578125" customWidth="1"/>
    <col min="4355" max="4355" width="11.28515625" customWidth="1"/>
    <col min="4356" max="4356" width="8.85546875" customWidth="1"/>
    <col min="4357" max="4357" width="9.28515625" customWidth="1"/>
    <col min="4358" max="4358" width="7.5703125" customWidth="1"/>
    <col min="4359" max="4359" width="11.7109375" customWidth="1"/>
    <col min="4360" max="4360" width="15.7109375" customWidth="1"/>
    <col min="4361" max="4608" width="9.140625" customWidth="1"/>
    <col min="4609" max="4609" width="19" customWidth="1"/>
    <col min="4610" max="4610" width="11.42578125" customWidth="1"/>
    <col min="4611" max="4611" width="11.28515625" customWidth="1"/>
    <col min="4612" max="4612" width="8.85546875" customWidth="1"/>
    <col min="4613" max="4613" width="9.28515625" customWidth="1"/>
    <col min="4614" max="4614" width="7.5703125" customWidth="1"/>
    <col min="4615" max="4615" width="11.7109375" customWidth="1"/>
    <col min="4616" max="4616" width="15.7109375" customWidth="1"/>
    <col min="4617" max="4864" width="9.140625" customWidth="1"/>
    <col min="4865" max="4865" width="19" customWidth="1"/>
    <col min="4866" max="4866" width="11.42578125" customWidth="1"/>
    <col min="4867" max="4867" width="11.28515625" customWidth="1"/>
    <col min="4868" max="4868" width="8.85546875" customWidth="1"/>
    <col min="4869" max="4869" width="9.28515625" customWidth="1"/>
    <col min="4870" max="4870" width="7.5703125" customWidth="1"/>
    <col min="4871" max="4871" width="11.7109375" customWidth="1"/>
    <col min="4872" max="4872" width="15.7109375" customWidth="1"/>
    <col min="4873" max="5120" width="9.140625" customWidth="1"/>
    <col min="5121" max="5121" width="19" customWidth="1"/>
    <col min="5122" max="5122" width="11.42578125" customWidth="1"/>
    <col min="5123" max="5123" width="11.28515625" customWidth="1"/>
    <col min="5124" max="5124" width="8.85546875" customWidth="1"/>
    <col min="5125" max="5125" width="9.28515625" customWidth="1"/>
    <col min="5126" max="5126" width="7.5703125" customWidth="1"/>
    <col min="5127" max="5127" width="11.7109375" customWidth="1"/>
    <col min="5128" max="5128" width="15.7109375" customWidth="1"/>
    <col min="5129" max="5376" width="9.140625" customWidth="1"/>
    <col min="5377" max="5377" width="19" customWidth="1"/>
    <col min="5378" max="5378" width="11.42578125" customWidth="1"/>
    <col min="5379" max="5379" width="11.28515625" customWidth="1"/>
    <col min="5380" max="5380" width="8.85546875" customWidth="1"/>
    <col min="5381" max="5381" width="9.28515625" customWidth="1"/>
    <col min="5382" max="5382" width="7.5703125" customWidth="1"/>
    <col min="5383" max="5383" width="11.7109375" customWidth="1"/>
    <col min="5384" max="5384" width="15.7109375" customWidth="1"/>
    <col min="5385" max="5632" width="9.140625" customWidth="1"/>
    <col min="5633" max="5633" width="19" customWidth="1"/>
    <col min="5634" max="5634" width="11.42578125" customWidth="1"/>
    <col min="5635" max="5635" width="11.28515625" customWidth="1"/>
    <col min="5636" max="5636" width="8.85546875" customWidth="1"/>
    <col min="5637" max="5637" width="9.28515625" customWidth="1"/>
    <col min="5638" max="5638" width="7.5703125" customWidth="1"/>
    <col min="5639" max="5639" width="11.7109375" customWidth="1"/>
    <col min="5640" max="5640" width="15.7109375" customWidth="1"/>
    <col min="5641" max="5888" width="9.140625" customWidth="1"/>
    <col min="5889" max="5889" width="19" customWidth="1"/>
    <col min="5890" max="5890" width="11.42578125" customWidth="1"/>
    <col min="5891" max="5891" width="11.28515625" customWidth="1"/>
    <col min="5892" max="5892" width="8.85546875" customWidth="1"/>
    <col min="5893" max="5893" width="9.28515625" customWidth="1"/>
    <col min="5894" max="5894" width="7.5703125" customWidth="1"/>
    <col min="5895" max="5895" width="11.7109375" customWidth="1"/>
    <col min="5896" max="5896" width="15.7109375" customWidth="1"/>
    <col min="5897" max="6144" width="9.140625" customWidth="1"/>
    <col min="6145" max="6145" width="19" customWidth="1"/>
    <col min="6146" max="6146" width="11.42578125" customWidth="1"/>
    <col min="6147" max="6147" width="11.28515625" customWidth="1"/>
    <col min="6148" max="6148" width="8.85546875" customWidth="1"/>
    <col min="6149" max="6149" width="9.28515625" customWidth="1"/>
    <col min="6150" max="6150" width="7.5703125" customWidth="1"/>
    <col min="6151" max="6151" width="11.7109375" customWidth="1"/>
    <col min="6152" max="6152" width="15.7109375" customWidth="1"/>
    <col min="6153" max="6400" width="9.140625" customWidth="1"/>
    <col min="6401" max="6401" width="19" customWidth="1"/>
    <col min="6402" max="6402" width="11.42578125" customWidth="1"/>
    <col min="6403" max="6403" width="11.28515625" customWidth="1"/>
    <col min="6404" max="6404" width="8.85546875" customWidth="1"/>
    <col min="6405" max="6405" width="9.28515625" customWidth="1"/>
    <col min="6406" max="6406" width="7.5703125" customWidth="1"/>
    <col min="6407" max="6407" width="11.7109375" customWidth="1"/>
    <col min="6408" max="6408" width="15.7109375" customWidth="1"/>
    <col min="6409" max="6656" width="9.140625" customWidth="1"/>
    <col min="6657" max="6657" width="19" customWidth="1"/>
    <col min="6658" max="6658" width="11.42578125" customWidth="1"/>
    <col min="6659" max="6659" width="11.28515625" customWidth="1"/>
    <col min="6660" max="6660" width="8.85546875" customWidth="1"/>
    <col min="6661" max="6661" width="9.28515625" customWidth="1"/>
    <col min="6662" max="6662" width="7.5703125" customWidth="1"/>
    <col min="6663" max="6663" width="11.7109375" customWidth="1"/>
    <col min="6664" max="6664" width="15.7109375" customWidth="1"/>
    <col min="6665" max="6912" width="9.140625" customWidth="1"/>
    <col min="6913" max="6913" width="19" customWidth="1"/>
    <col min="6914" max="6914" width="11.42578125" customWidth="1"/>
    <col min="6915" max="6915" width="11.28515625" customWidth="1"/>
    <col min="6916" max="6916" width="8.85546875" customWidth="1"/>
    <col min="6917" max="6917" width="9.28515625" customWidth="1"/>
    <col min="6918" max="6918" width="7.5703125" customWidth="1"/>
    <col min="6919" max="6919" width="11.7109375" customWidth="1"/>
    <col min="6920" max="6920" width="15.7109375" customWidth="1"/>
    <col min="6921" max="7168" width="9.140625" customWidth="1"/>
    <col min="7169" max="7169" width="19" customWidth="1"/>
    <col min="7170" max="7170" width="11.42578125" customWidth="1"/>
    <col min="7171" max="7171" width="11.28515625" customWidth="1"/>
    <col min="7172" max="7172" width="8.85546875" customWidth="1"/>
    <col min="7173" max="7173" width="9.28515625" customWidth="1"/>
    <col min="7174" max="7174" width="7.5703125" customWidth="1"/>
    <col min="7175" max="7175" width="11.7109375" customWidth="1"/>
    <col min="7176" max="7176" width="15.7109375" customWidth="1"/>
    <col min="7177" max="7424" width="9.140625" customWidth="1"/>
    <col min="7425" max="7425" width="19" customWidth="1"/>
    <col min="7426" max="7426" width="11.42578125" customWidth="1"/>
    <col min="7427" max="7427" width="11.28515625" customWidth="1"/>
    <col min="7428" max="7428" width="8.85546875" customWidth="1"/>
    <col min="7429" max="7429" width="9.28515625" customWidth="1"/>
    <col min="7430" max="7430" width="7.5703125" customWidth="1"/>
    <col min="7431" max="7431" width="11.7109375" customWidth="1"/>
    <col min="7432" max="7432" width="15.7109375" customWidth="1"/>
    <col min="7433" max="7680" width="9.140625" customWidth="1"/>
    <col min="7681" max="7681" width="19" customWidth="1"/>
    <col min="7682" max="7682" width="11.42578125" customWidth="1"/>
    <col min="7683" max="7683" width="11.28515625" customWidth="1"/>
    <col min="7684" max="7684" width="8.85546875" customWidth="1"/>
    <col min="7685" max="7685" width="9.28515625" customWidth="1"/>
    <col min="7686" max="7686" width="7.5703125" customWidth="1"/>
    <col min="7687" max="7687" width="11.7109375" customWidth="1"/>
    <col min="7688" max="7688" width="15.7109375" customWidth="1"/>
    <col min="7689" max="7936" width="9.140625" customWidth="1"/>
    <col min="7937" max="7937" width="19" customWidth="1"/>
    <col min="7938" max="7938" width="11.42578125" customWidth="1"/>
    <col min="7939" max="7939" width="11.28515625" customWidth="1"/>
    <col min="7940" max="7940" width="8.85546875" customWidth="1"/>
    <col min="7941" max="7941" width="9.28515625" customWidth="1"/>
    <col min="7942" max="7942" width="7.5703125" customWidth="1"/>
    <col min="7943" max="7943" width="11.7109375" customWidth="1"/>
    <col min="7944" max="7944" width="15.7109375" customWidth="1"/>
    <col min="7945" max="8192" width="9.140625" customWidth="1"/>
    <col min="8193" max="8193" width="19" customWidth="1"/>
    <col min="8194" max="8194" width="11.42578125" customWidth="1"/>
    <col min="8195" max="8195" width="11.28515625" customWidth="1"/>
    <col min="8196" max="8196" width="8.85546875" customWidth="1"/>
    <col min="8197" max="8197" width="9.28515625" customWidth="1"/>
    <col min="8198" max="8198" width="7.5703125" customWidth="1"/>
    <col min="8199" max="8199" width="11.7109375" customWidth="1"/>
    <col min="8200" max="8200" width="15.7109375" customWidth="1"/>
    <col min="8201" max="8448" width="9.140625" customWidth="1"/>
    <col min="8449" max="8449" width="19" customWidth="1"/>
    <col min="8450" max="8450" width="11.42578125" customWidth="1"/>
    <col min="8451" max="8451" width="11.28515625" customWidth="1"/>
    <col min="8452" max="8452" width="8.85546875" customWidth="1"/>
    <col min="8453" max="8453" width="9.28515625" customWidth="1"/>
    <col min="8454" max="8454" width="7.5703125" customWidth="1"/>
    <col min="8455" max="8455" width="11.7109375" customWidth="1"/>
    <col min="8456" max="8456" width="15.7109375" customWidth="1"/>
    <col min="8457" max="8704" width="9.140625" customWidth="1"/>
    <col min="8705" max="8705" width="19" customWidth="1"/>
    <col min="8706" max="8706" width="11.42578125" customWidth="1"/>
    <col min="8707" max="8707" width="11.28515625" customWidth="1"/>
    <col min="8708" max="8708" width="8.85546875" customWidth="1"/>
    <col min="8709" max="8709" width="9.28515625" customWidth="1"/>
    <col min="8710" max="8710" width="7.5703125" customWidth="1"/>
    <col min="8711" max="8711" width="11.7109375" customWidth="1"/>
    <col min="8712" max="8712" width="15.7109375" customWidth="1"/>
    <col min="8713" max="8960" width="9.140625" customWidth="1"/>
    <col min="8961" max="8961" width="19" customWidth="1"/>
    <col min="8962" max="8962" width="11.42578125" customWidth="1"/>
    <col min="8963" max="8963" width="11.28515625" customWidth="1"/>
    <col min="8964" max="8964" width="8.85546875" customWidth="1"/>
    <col min="8965" max="8965" width="9.28515625" customWidth="1"/>
    <col min="8966" max="8966" width="7.5703125" customWidth="1"/>
    <col min="8967" max="8967" width="11.7109375" customWidth="1"/>
    <col min="8968" max="8968" width="15.7109375" customWidth="1"/>
    <col min="8969" max="9216" width="9.140625" customWidth="1"/>
    <col min="9217" max="9217" width="19" customWidth="1"/>
    <col min="9218" max="9218" width="11.42578125" customWidth="1"/>
    <col min="9219" max="9219" width="11.28515625" customWidth="1"/>
    <col min="9220" max="9220" width="8.85546875" customWidth="1"/>
    <col min="9221" max="9221" width="9.28515625" customWidth="1"/>
    <col min="9222" max="9222" width="7.5703125" customWidth="1"/>
    <col min="9223" max="9223" width="11.7109375" customWidth="1"/>
    <col min="9224" max="9224" width="15.7109375" customWidth="1"/>
    <col min="9225" max="9472" width="9.140625" customWidth="1"/>
    <col min="9473" max="9473" width="19" customWidth="1"/>
    <col min="9474" max="9474" width="11.42578125" customWidth="1"/>
    <col min="9475" max="9475" width="11.28515625" customWidth="1"/>
    <col min="9476" max="9476" width="8.85546875" customWidth="1"/>
    <col min="9477" max="9477" width="9.28515625" customWidth="1"/>
    <col min="9478" max="9478" width="7.5703125" customWidth="1"/>
    <col min="9479" max="9479" width="11.7109375" customWidth="1"/>
    <col min="9480" max="9480" width="15.7109375" customWidth="1"/>
    <col min="9481" max="9728" width="9.140625" customWidth="1"/>
    <col min="9729" max="9729" width="19" customWidth="1"/>
    <col min="9730" max="9730" width="11.42578125" customWidth="1"/>
    <col min="9731" max="9731" width="11.28515625" customWidth="1"/>
    <col min="9732" max="9732" width="8.85546875" customWidth="1"/>
    <col min="9733" max="9733" width="9.28515625" customWidth="1"/>
    <col min="9734" max="9734" width="7.5703125" customWidth="1"/>
    <col min="9735" max="9735" width="11.7109375" customWidth="1"/>
    <col min="9736" max="9736" width="15.7109375" customWidth="1"/>
    <col min="9737" max="9984" width="9.140625" customWidth="1"/>
    <col min="9985" max="9985" width="19" customWidth="1"/>
    <col min="9986" max="9986" width="11.42578125" customWidth="1"/>
    <col min="9987" max="9987" width="11.28515625" customWidth="1"/>
    <col min="9988" max="9988" width="8.85546875" customWidth="1"/>
    <col min="9989" max="9989" width="9.28515625" customWidth="1"/>
    <col min="9990" max="9990" width="7.5703125" customWidth="1"/>
    <col min="9991" max="9991" width="11.7109375" customWidth="1"/>
    <col min="9992" max="9992" width="15.7109375" customWidth="1"/>
    <col min="9993" max="10240" width="9.140625" customWidth="1"/>
    <col min="10241" max="10241" width="19" customWidth="1"/>
    <col min="10242" max="10242" width="11.42578125" customWidth="1"/>
    <col min="10243" max="10243" width="11.28515625" customWidth="1"/>
    <col min="10244" max="10244" width="8.85546875" customWidth="1"/>
    <col min="10245" max="10245" width="9.28515625" customWidth="1"/>
    <col min="10246" max="10246" width="7.5703125" customWidth="1"/>
    <col min="10247" max="10247" width="11.7109375" customWidth="1"/>
    <col min="10248" max="10248" width="15.7109375" customWidth="1"/>
    <col min="10249" max="10496" width="9.140625" customWidth="1"/>
    <col min="10497" max="10497" width="19" customWidth="1"/>
    <col min="10498" max="10498" width="11.42578125" customWidth="1"/>
    <col min="10499" max="10499" width="11.28515625" customWidth="1"/>
    <col min="10500" max="10500" width="8.85546875" customWidth="1"/>
    <col min="10501" max="10501" width="9.28515625" customWidth="1"/>
    <col min="10502" max="10502" width="7.5703125" customWidth="1"/>
    <col min="10503" max="10503" width="11.7109375" customWidth="1"/>
    <col min="10504" max="10504" width="15.7109375" customWidth="1"/>
    <col min="10505" max="10752" width="9.140625" customWidth="1"/>
    <col min="10753" max="10753" width="19" customWidth="1"/>
    <col min="10754" max="10754" width="11.42578125" customWidth="1"/>
    <col min="10755" max="10755" width="11.28515625" customWidth="1"/>
    <col min="10756" max="10756" width="8.85546875" customWidth="1"/>
    <col min="10757" max="10757" width="9.28515625" customWidth="1"/>
    <col min="10758" max="10758" width="7.5703125" customWidth="1"/>
    <col min="10759" max="10759" width="11.7109375" customWidth="1"/>
    <col min="10760" max="10760" width="15.7109375" customWidth="1"/>
    <col min="10761" max="11008" width="9.140625" customWidth="1"/>
    <col min="11009" max="11009" width="19" customWidth="1"/>
    <col min="11010" max="11010" width="11.42578125" customWidth="1"/>
    <col min="11011" max="11011" width="11.28515625" customWidth="1"/>
    <col min="11012" max="11012" width="8.85546875" customWidth="1"/>
    <col min="11013" max="11013" width="9.28515625" customWidth="1"/>
    <col min="11014" max="11014" width="7.5703125" customWidth="1"/>
    <col min="11015" max="11015" width="11.7109375" customWidth="1"/>
    <col min="11016" max="11016" width="15.7109375" customWidth="1"/>
    <col min="11017" max="11264" width="9.140625" customWidth="1"/>
    <col min="11265" max="11265" width="19" customWidth="1"/>
    <col min="11266" max="11266" width="11.42578125" customWidth="1"/>
    <col min="11267" max="11267" width="11.28515625" customWidth="1"/>
    <col min="11268" max="11268" width="8.85546875" customWidth="1"/>
    <col min="11269" max="11269" width="9.28515625" customWidth="1"/>
    <col min="11270" max="11270" width="7.5703125" customWidth="1"/>
    <col min="11271" max="11271" width="11.7109375" customWidth="1"/>
    <col min="11272" max="11272" width="15.7109375" customWidth="1"/>
    <col min="11273" max="11520" width="9.140625" customWidth="1"/>
    <col min="11521" max="11521" width="19" customWidth="1"/>
    <col min="11522" max="11522" width="11.42578125" customWidth="1"/>
    <col min="11523" max="11523" width="11.28515625" customWidth="1"/>
    <col min="11524" max="11524" width="8.85546875" customWidth="1"/>
    <col min="11525" max="11525" width="9.28515625" customWidth="1"/>
    <col min="11526" max="11526" width="7.5703125" customWidth="1"/>
    <col min="11527" max="11527" width="11.7109375" customWidth="1"/>
    <col min="11528" max="11528" width="15.7109375" customWidth="1"/>
    <col min="11529" max="11776" width="9.140625" customWidth="1"/>
    <col min="11777" max="11777" width="19" customWidth="1"/>
    <col min="11778" max="11778" width="11.42578125" customWidth="1"/>
    <col min="11779" max="11779" width="11.28515625" customWidth="1"/>
    <col min="11780" max="11780" width="8.85546875" customWidth="1"/>
    <col min="11781" max="11781" width="9.28515625" customWidth="1"/>
    <col min="11782" max="11782" width="7.5703125" customWidth="1"/>
    <col min="11783" max="11783" width="11.7109375" customWidth="1"/>
    <col min="11784" max="11784" width="15.7109375" customWidth="1"/>
    <col min="11785" max="12032" width="9.140625" customWidth="1"/>
    <col min="12033" max="12033" width="19" customWidth="1"/>
    <col min="12034" max="12034" width="11.42578125" customWidth="1"/>
    <col min="12035" max="12035" width="11.28515625" customWidth="1"/>
    <col min="12036" max="12036" width="8.85546875" customWidth="1"/>
    <col min="12037" max="12037" width="9.28515625" customWidth="1"/>
    <col min="12038" max="12038" width="7.5703125" customWidth="1"/>
    <col min="12039" max="12039" width="11.7109375" customWidth="1"/>
    <col min="12040" max="12040" width="15.7109375" customWidth="1"/>
    <col min="12041" max="12288" width="9.140625" customWidth="1"/>
    <col min="12289" max="12289" width="19" customWidth="1"/>
    <col min="12290" max="12290" width="11.42578125" customWidth="1"/>
    <col min="12291" max="12291" width="11.28515625" customWidth="1"/>
    <col min="12292" max="12292" width="8.85546875" customWidth="1"/>
    <col min="12293" max="12293" width="9.28515625" customWidth="1"/>
    <col min="12294" max="12294" width="7.5703125" customWidth="1"/>
    <col min="12295" max="12295" width="11.7109375" customWidth="1"/>
    <col min="12296" max="12296" width="15.7109375" customWidth="1"/>
    <col min="12297" max="12544" width="9.140625" customWidth="1"/>
    <col min="12545" max="12545" width="19" customWidth="1"/>
    <col min="12546" max="12546" width="11.42578125" customWidth="1"/>
    <col min="12547" max="12547" width="11.28515625" customWidth="1"/>
    <col min="12548" max="12548" width="8.85546875" customWidth="1"/>
    <col min="12549" max="12549" width="9.28515625" customWidth="1"/>
    <col min="12550" max="12550" width="7.5703125" customWidth="1"/>
    <col min="12551" max="12551" width="11.7109375" customWidth="1"/>
    <col min="12552" max="12552" width="15.7109375" customWidth="1"/>
    <col min="12553" max="12800" width="9.140625" customWidth="1"/>
    <col min="12801" max="12801" width="19" customWidth="1"/>
    <col min="12802" max="12802" width="11.42578125" customWidth="1"/>
    <col min="12803" max="12803" width="11.28515625" customWidth="1"/>
    <col min="12804" max="12804" width="8.85546875" customWidth="1"/>
    <col min="12805" max="12805" width="9.28515625" customWidth="1"/>
    <col min="12806" max="12806" width="7.5703125" customWidth="1"/>
    <col min="12807" max="12807" width="11.7109375" customWidth="1"/>
    <col min="12808" max="12808" width="15.7109375" customWidth="1"/>
    <col min="12809" max="13056" width="9.140625" customWidth="1"/>
    <col min="13057" max="13057" width="19" customWidth="1"/>
    <col min="13058" max="13058" width="11.42578125" customWidth="1"/>
    <col min="13059" max="13059" width="11.28515625" customWidth="1"/>
    <col min="13060" max="13060" width="8.85546875" customWidth="1"/>
    <col min="13061" max="13061" width="9.28515625" customWidth="1"/>
    <col min="13062" max="13062" width="7.5703125" customWidth="1"/>
    <col min="13063" max="13063" width="11.7109375" customWidth="1"/>
    <col min="13064" max="13064" width="15.7109375" customWidth="1"/>
    <col min="13065" max="13312" width="9.140625" customWidth="1"/>
    <col min="13313" max="13313" width="19" customWidth="1"/>
    <col min="13314" max="13314" width="11.42578125" customWidth="1"/>
    <col min="13315" max="13315" width="11.28515625" customWidth="1"/>
    <col min="13316" max="13316" width="8.85546875" customWidth="1"/>
    <col min="13317" max="13317" width="9.28515625" customWidth="1"/>
    <col min="13318" max="13318" width="7.5703125" customWidth="1"/>
    <col min="13319" max="13319" width="11.7109375" customWidth="1"/>
    <col min="13320" max="13320" width="15.7109375" customWidth="1"/>
    <col min="13321" max="13568" width="9.140625" customWidth="1"/>
    <col min="13569" max="13569" width="19" customWidth="1"/>
    <col min="13570" max="13570" width="11.42578125" customWidth="1"/>
    <col min="13571" max="13571" width="11.28515625" customWidth="1"/>
    <col min="13572" max="13572" width="8.85546875" customWidth="1"/>
    <col min="13573" max="13573" width="9.28515625" customWidth="1"/>
    <col min="13574" max="13574" width="7.5703125" customWidth="1"/>
    <col min="13575" max="13575" width="11.7109375" customWidth="1"/>
    <col min="13576" max="13576" width="15.7109375" customWidth="1"/>
    <col min="13577" max="13824" width="9.140625" customWidth="1"/>
    <col min="13825" max="13825" width="19" customWidth="1"/>
    <col min="13826" max="13826" width="11.42578125" customWidth="1"/>
    <col min="13827" max="13827" width="11.28515625" customWidth="1"/>
    <col min="13828" max="13828" width="8.85546875" customWidth="1"/>
    <col min="13829" max="13829" width="9.28515625" customWidth="1"/>
    <col min="13830" max="13830" width="7.5703125" customWidth="1"/>
    <col min="13831" max="13831" width="11.7109375" customWidth="1"/>
    <col min="13832" max="13832" width="15.7109375" customWidth="1"/>
    <col min="13833" max="14080" width="9.140625" customWidth="1"/>
    <col min="14081" max="14081" width="19" customWidth="1"/>
    <col min="14082" max="14082" width="11.42578125" customWidth="1"/>
    <col min="14083" max="14083" width="11.28515625" customWidth="1"/>
    <col min="14084" max="14084" width="8.85546875" customWidth="1"/>
    <col min="14085" max="14085" width="9.28515625" customWidth="1"/>
    <col min="14086" max="14086" width="7.5703125" customWidth="1"/>
    <col min="14087" max="14087" width="11.7109375" customWidth="1"/>
    <col min="14088" max="14088" width="15.7109375" customWidth="1"/>
    <col min="14089" max="14336" width="9.140625" customWidth="1"/>
    <col min="14337" max="14337" width="19" customWidth="1"/>
    <col min="14338" max="14338" width="11.42578125" customWidth="1"/>
    <col min="14339" max="14339" width="11.28515625" customWidth="1"/>
    <col min="14340" max="14340" width="8.85546875" customWidth="1"/>
    <col min="14341" max="14341" width="9.28515625" customWidth="1"/>
    <col min="14342" max="14342" width="7.5703125" customWidth="1"/>
    <col min="14343" max="14343" width="11.7109375" customWidth="1"/>
    <col min="14344" max="14344" width="15.7109375" customWidth="1"/>
    <col min="14345" max="14592" width="9.140625" customWidth="1"/>
    <col min="14593" max="14593" width="19" customWidth="1"/>
    <col min="14594" max="14594" width="11.42578125" customWidth="1"/>
    <col min="14595" max="14595" width="11.28515625" customWidth="1"/>
    <col min="14596" max="14596" width="8.85546875" customWidth="1"/>
    <col min="14597" max="14597" width="9.28515625" customWidth="1"/>
    <col min="14598" max="14598" width="7.5703125" customWidth="1"/>
    <col min="14599" max="14599" width="11.7109375" customWidth="1"/>
    <col min="14600" max="14600" width="15.7109375" customWidth="1"/>
    <col min="14601" max="14848" width="9.140625" customWidth="1"/>
    <col min="14849" max="14849" width="19" customWidth="1"/>
    <col min="14850" max="14850" width="11.42578125" customWidth="1"/>
    <col min="14851" max="14851" width="11.28515625" customWidth="1"/>
    <col min="14852" max="14852" width="8.85546875" customWidth="1"/>
    <col min="14853" max="14853" width="9.28515625" customWidth="1"/>
    <col min="14854" max="14854" width="7.5703125" customWidth="1"/>
    <col min="14855" max="14855" width="11.7109375" customWidth="1"/>
    <col min="14856" max="14856" width="15.7109375" customWidth="1"/>
    <col min="14857" max="15104" width="9.140625" customWidth="1"/>
    <col min="15105" max="15105" width="19" customWidth="1"/>
    <col min="15106" max="15106" width="11.42578125" customWidth="1"/>
    <col min="15107" max="15107" width="11.28515625" customWidth="1"/>
    <col min="15108" max="15108" width="8.85546875" customWidth="1"/>
    <col min="15109" max="15109" width="9.28515625" customWidth="1"/>
    <col min="15110" max="15110" width="7.5703125" customWidth="1"/>
    <col min="15111" max="15111" width="11.7109375" customWidth="1"/>
    <col min="15112" max="15112" width="15.7109375" customWidth="1"/>
    <col min="15113" max="15360" width="9.140625" customWidth="1"/>
    <col min="15361" max="15361" width="19" customWidth="1"/>
    <col min="15362" max="15362" width="11.42578125" customWidth="1"/>
    <col min="15363" max="15363" width="11.28515625" customWidth="1"/>
    <col min="15364" max="15364" width="8.85546875" customWidth="1"/>
    <col min="15365" max="15365" width="9.28515625" customWidth="1"/>
    <col min="15366" max="15366" width="7.5703125" customWidth="1"/>
    <col min="15367" max="15367" width="11.7109375" customWidth="1"/>
    <col min="15368" max="15368" width="15.7109375" customWidth="1"/>
    <col min="15369" max="15616" width="9.140625" customWidth="1"/>
    <col min="15617" max="15617" width="19" customWidth="1"/>
    <col min="15618" max="15618" width="11.42578125" customWidth="1"/>
    <col min="15619" max="15619" width="11.28515625" customWidth="1"/>
    <col min="15620" max="15620" width="8.85546875" customWidth="1"/>
    <col min="15621" max="15621" width="9.28515625" customWidth="1"/>
    <col min="15622" max="15622" width="7.5703125" customWidth="1"/>
    <col min="15623" max="15623" width="11.7109375" customWidth="1"/>
    <col min="15624" max="15624" width="15.7109375" customWidth="1"/>
    <col min="15625" max="15872" width="9.140625" customWidth="1"/>
    <col min="15873" max="15873" width="19" customWidth="1"/>
    <col min="15874" max="15874" width="11.42578125" customWidth="1"/>
    <col min="15875" max="15875" width="11.28515625" customWidth="1"/>
    <col min="15876" max="15876" width="8.85546875" customWidth="1"/>
    <col min="15877" max="15877" width="9.28515625" customWidth="1"/>
    <col min="15878" max="15878" width="7.5703125" customWidth="1"/>
    <col min="15879" max="15879" width="11.7109375" customWidth="1"/>
    <col min="15880" max="15880" width="15.7109375" customWidth="1"/>
    <col min="15881" max="16128" width="9.140625" customWidth="1"/>
    <col min="16129" max="16129" width="19" customWidth="1"/>
    <col min="16130" max="16130" width="11.42578125" customWidth="1"/>
    <col min="16131" max="16131" width="11.28515625" customWidth="1"/>
    <col min="16132" max="16132" width="8.85546875" customWidth="1"/>
    <col min="16133" max="16133" width="9.28515625" customWidth="1"/>
    <col min="16134" max="16134" width="7.5703125" customWidth="1"/>
    <col min="16135" max="16135" width="11.7109375" customWidth="1"/>
    <col min="16136" max="16136" width="15.7109375" customWidth="1"/>
    <col min="16137" max="16384" width="9.140625" customWidth="1"/>
  </cols>
  <sheetData>
    <row r="1" spans="1:13" ht="18.75" customHeight="1" x14ac:dyDescent="0.25">
      <c r="A1" s="42" t="s">
        <v>66</v>
      </c>
      <c r="B1" s="42"/>
      <c r="C1" s="42"/>
      <c r="D1" s="42"/>
      <c r="E1" s="42"/>
      <c r="F1" s="42"/>
      <c r="G1" s="42"/>
    </row>
    <row r="2" spans="1:13" ht="30" customHeight="1" x14ac:dyDescent="0.25">
      <c r="A2" s="20"/>
      <c r="B2" s="21" t="s">
        <v>67</v>
      </c>
      <c r="C2" s="21"/>
      <c r="D2" s="21" t="s">
        <v>68</v>
      </c>
      <c r="E2" s="21"/>
      <c r="F2" s="22" t="s">
        <v>69</v>
      </c>
      <c r="G2" s="23" t="s">
        <v>68</v>
      </c>
      <c r="H2" s="23" t="s">
        <v>115</v>
      </c>
      <c r="L2" s="5" t="s">
        <v>116</v>
      </c>
      <c r="M2">
        <v>2.9307099999999999E-7</v>
      </c>
    </row>
    <row r="3" spans="1:13" ht="27.75" customHeight="1" thickBot="1" x14ac:dyDescent="0.3">
      <c r="A3" s="24" t="s">
        <v>70</v>
      </c>
      <c r="B3" s="25" t="s">
        <v>71</v>
      </c>
      <c r="C3" s="25"/>
      <c r="D3" s="25" t="s">
        <v>71</v>
      </c>
      <c r="E3" s="25"/>
      <c r="F3" s="26" t="s">
        <v>72</v>
      </c>
      <c r="G3" s="27" t="s">
        <v>72</v>
      </c>
      <c r="H3" s="27" t="s">
        <v>73</v>
      </c>
    </row>
    <row r="4" spans="1:13" ht="15.75" customHeight="1" thickTop="1" x14ac:dyDescent="0.25">
      <c r="A4" s="43" t="s">
        <v>74</v>
      </c>
      <c r="B4" s="43"/>
      <c r="C4" s="43"/>
      <c r="D4" s="43"/>
      <c r="E4" s="43"/>
      <c r="F4" s="43"/>
      <c r="G4" s="43"/>
    </row>
    <row r="5" spans="1:13" x14ac:dyDescent="0.25">
      <c r="A5" s="28" t="s">
        <v>75</v>
      </c>
      <c r="B5" s="28">
        <v>12.7</v>
      </c>
      <c r="C5" s="28" t="s">
        <v>76</v>
      </c>
      <c r="D5" s="28">
        <f t="shared" ref="D5:D13" si="0">B5/2.20462</f>
        <v>5.7606299498326248</v>
      </c>
      <c r="E5" s="28" t="s">
        <v>76</v>
      </c>
      <c r="F5" s="28">
        <v>139.04859867504859</v>
      </c>
      <c r="G5" s="28">
        <f>(F5/2.20462)</f>
        <v>63.071458425963932</v>
      </c>
    </row>
    <row r="6" spans="1:13" x14ac:dyDescent="0.25">
      <c r="A6" s="28" t="s">
        <v>77</v>
      </c>
      <c r="B6" s="28">
        <v>14.8</v>
      </c>
      <c r="C6" s="28" t="s">
        <v>76</v>
      </c>
      <c r="D6" s="28">
        <f t="shared" si="0"/>
        <v>6.7131750596474689</v>
      </c>
      <c r="E6" s="28" t="s">
        <v>76</v>
      </c>
      <c r="F6" s="28">
        <v>143.19829002512873</v>
      </c>
      <c r="G6" s="28">
        <f t="shared" ref="G6:G13" si="1">(F6/2.20462)</f>
        <v>64.953728998706694</v>
      </c>
    </row>
    <row r="7" spans="1:13" ht="15" customHeight="1" x14ac:dyDescent="0.25">
      <c r="A7" s="28" t="s">
        <v>78</v>
      </c>
      <c r="B7" s="28">
        <v>13.7</v>
      </c>
      <c r="C7" s="28" t="s">
        <v>76</v>
      </c>
      <c r="D7" s="28">
        <f t="shared" si="0"/>
        <v>6.214222859268264</v>
      </c>
      <c r="E7" s="28" t="s">
        <v>76</v>
      </c>
      <c r="F7" s="28">
        <v>141.12344435008868</v>
      </c>
      <c r="G7" s="28">
        <f t="shared" si="1"/>
        <v>64.012593712335317</v>
      </c>
    </row>
    <row r="8" spans="1:13" ht="26.25" customHeight="1" x14ac:dyDescent="0.25">
      <c r="A8" s="28" t="s">
        <v>79</v>
      </c>
      <c r="B8" s="28">
        <v>22.4</v>
      </c>
      <c r="C8" s="28" t="s">
        <v>76</v>
      </c>
      <c r="D8" s="28">
        <f t="shared" si="0"/>
        <v>10.160481171358329</v>
      </c>
      <c r="E8" s="28" t="s">
        <v>76</v>
      </c>
      <c r="F8" s="28">
        <v>161.30000000000001</v>
      </c>
      <c r="G8" s="28">
        <f t="shared" si="1"/>
        <v>73.164536291968702</v>
      </c>
    </row>
    <row r="9" spans="1:13" x14ac:dyDescent="0.25">
      <c r="A9" s="28" t="s">
        <v>80</v>
      </c>
      <c r="B9" s="28">
        <v>21.5</v>
      </c>
      <c r="C9" s="28" t="s">
        <v>76</v>
      </c>
      <c r="D9" s="28">
        <f t="shared" si="0"/>
        <v>9.7522475528662547</v>
      </c>
      <c r="E9" s="28" t="s">
        <v>76</v>
      </c>
      <c r="F9" s="28">
        <v>159.4</v>
      </c>
      <c r="G9" s="28">
        <f t="shared" si="1"/>
        <v>72.302709764040983</v>
      </c>
      <c r="H9" s="6"/>
    </row>
    <row r="10" spans="1:13" x14ac:dyDescent="0.25">
      <c r="A10" s="29" t="s">
        <v>81</v>
      </c>
      <c r="B10" s="28">
        <v>4631.5</v>
      </c>
      <c r="C10" s="28" t="s">
        <v>82</v>
      </c>
      <c r="D10" s="28">
        <f t="shared" si="0"/>
        <v>2100.8155600511654</v>
      </c>
      <c r="E10" s="28" t="s">
        <v>82</v>
      </c>
      <c r="F10" s="28">
        <v>210.2</v>
      </c>
      <c r="G10" s="28">
        <f t="shared" si="1"/>
        <v>95.345229563371475</v>
      </c>
      <c r="H10" s="36">
        <f>(G10/1000)*($M$2*1000000)</f>
        <v>2.7942921773366838E-2</v>
      </c>
    </row>
    <row r="11" spans="1:13" ht="24.75" x14ac:dyDescent="0.25">
      <c r="A11" s="29" t="s">
        <v>83</v>
      </c>
      <c r="B11" s="28">
        <v>117.1</v>
      </c>
      <c r="C11" s="28" t="s">
        <v>84</v>
      </c>
      <c r="D11" s="28">
        <f t="shared" si="0"/>
        <v>53.115729694913412</v>
      </c>
      <c r="E11" s="28" t="s">
        <v>84</v>
      </c>
      <c r="F11" s="28">
        <v>117</v>
      </c>
      <c r="G11" s="28">
        <f t="shared" si="1"/>
        <v>53.070370403969847</v>
      </c>
      <c r="H11" s="36">
        <f>(G11/1000)*($M$2*1000000)</f>
        <v>1.5553386524661846E-2</v>
      </c>
    </row>
    <row r="12" spans="1:13" ht="15" customHeight="1" x14ac:dyDescent="0.25">
      <c r="A12" s="28" t="s">
        <v>85</v>
      </c>
      <c r="B12" s="28">
        <v>19.600000000000001</v>
      </c>
      <c r="C12" s="28" t="s">
        <v>76</v>
      </c>
      <c r="D12" s="28">
        <f t="shared" si="0"/>
        <v>8.89042102493854</v>
      </c>
      <c r="E12" s="28" t="s">
        <v>76</v>
      </c>
      <c r="F12" s="28">
        <v>157.19999999999999</v>
      </c>
      <c r="G12" s="28">
        <v>71.3</v>
      </c>
    </row>
    <row r="13" spans="1:13" ht="24.75" x14ac:dyDescent="0.25">
      <c r="A13" s="28" t="s">
        <v>86</v>
      </c>
      <c r="B13" s="28">
        <v>26</v>
      </c>
      <c r="C13" s="28" t="s">
        <v>76</v>
      </c>
      <c r="D13" s="28">
        <f t="shared" si="0"/>
        <v>11.793415645326633</v>
      </c>
      <c r="E13" s="28" t="s">
        <v>76</v>
      </c>
      <c r="F13" s="28">
        <v>173.7</v>
      </c>
      <c r="G13" s="28">
        <f t="shared" si="1"/>
        <v>78.789088368970624</v>
      </c>
    </row>
    <row r="14" spans="1:13" ht="15.75" customHeight="1" x14ac:dyDescent="0.25">
      <c r="A14" s="44" t="s">
        <v>87</v>
      </c>
      <c r="B14" s="44"/>
      <c r="C14" s="44"/>
      <c r="D14" s="44"/>
      <c r="E14" s="44"/>
      <c r="F14" s="44"/>
      <c r="G14" s="44"/>
    </row>
    <row r="15" spans="1:13" ht="15" customHeight="1" x14ac:dyDescent="0.25">
      <c r="A15" s="28" t="s">
        <v>88</v>
      </c>
      <c r="B15" s="28">
        <v>21.1</v>
      </c>
      <c r="C15" s="28" t="s">
        <v>76</v>
      </c>
      <c r="D15" s="28">
        <f>B15/2.20462</f>
        <v>9.5708103890919993</v>
      </c>
      <c r="E15" s="28" t="s">
        <v>76</v>
      </c>
      <c r="F15" s="28">
        <v>156.30000000000001</v>
      </c>
      <c r="G15" s="28">
        <f>(F15/2.20462)</f>
        <v>70.896571744790492</v>
      </c>
    </row>
    <row r="16" spans="1:13" x14ac:dyDescent="0.25">
      <c r="A16" s="28" t="s">
        <v>89</v>
      </c>
      <c r="B16" s="28">
        <v>18.399999999999999</v>
      </c>
      <c r="C16" s="28" t="s">
        <v>76</v>
      </c>
      <c r="D16" s="28">
        <f>B16/2.20462</f>
        <v>8.3461095336157705</v>
      </c>
      <c r="E16" s="28" t="s">
        <v>76</v>
      </c>
      <c r="F16" s="28">
        <v>152.6</v>
      </c>
      <c r="G16" s="28">
        <v>69.2</v>
      </c>
    </row>
    <row r="17" spans="1:8" ht="15.75" customHeight="1" x14ac:dyDescent="0.25">
      <c r="A17" s="44" t="s">
        <v>90</v>
      </c>
      <c r="B17" s="44"/>
      <c r="C17" s="44"/>
      <c r="D17" s="44"/>
      <c r="E17" s="44"/>
      <c r="F17" s="44"/>
      <c r="G17" s="44"/>
    </row>
    <row r="18" spans="1:8" ht="22.5" customHeight="1" x14ac:dyDescent="0.25">
      <c r="A18" s="28" t="s">
        <v>91</v>
      </c>
      <c r="B18" s="28">
        <v>120.7</v>
      </c>
      <c r="C18" s="28" t="s">
        <v>84</v>
      </c>
      <c r="D18" s="28">
        <f>B18/2.20462</f>
        <v>54.748664168881717</v>
      </c>
      <c r="E18" s="28" t="s">
        <v>84</v>
      </c>
      <c r="F18" s="28">
        <v>120.6</v>
      </c>
      <c r="G18" s="28">
        <f>(F18/2.20462)</f>
        <v>54.703304877938152</v>
      </c>
    </row>
    <row r="19" spans="1:8" x14ac:dyDescent="0.25">
      <c r="A19" s="28" t="s">
        <v>92</v>
      </c>
      <c r="B19" s="28">
        <v>32.4</v>
      </c>
      <c r="C19" s="28" t="s">
        <v>76</v>
      </c>
      <c r="D19" s="28">
        <f>B19/2.20462</f>
        <v>14.696410265714727</v>
      </c>
      <c r="E19" s="28" t="s">
        <v>76</v>
      </c>
      <c r="F19" s="28">
        <v>225.1</v>
      </c>
      <c r="G19" s="28">
        <f>(F19/2.20462)</f>
        <v>102.10376391396251</v>
      </c>
    </row>
    <row r="20" spans="1:8" ht="24.75" x14ac:dyDescent="0.25">
      <c r="A20" s="28" t="s">
        <v>93</v>
      </c>
      <c r="B20" s="28">
        <f>F20*5.796/42</f>
        <v>22.093800000000002</v>
      </c>
      <c r="C20" s="28" t="s">
        <v>76</v>
      </c>
      <c r="D20" s="28">
        <f>B20/2.20462</f>
        <v>10.021591022489138</v>
      </c>
      <c r="E20" s="28" t="s">
        <v>76</v>
      </c>
      <c r="F20" s="28">
        <v>160.1</v>
      </c>
      <c r="G20" s="28">
        <f>(F20/2.20462)</f>
        <v>72.620224800645914</v>
      </c>
    </row>
    <row r="21" spans="1:8" ht="15.75" customHeight="1" x14ac:dyDescent="0.25">
      <c r="A21" s="44" t="s">
        <v>94</v>
      </c>
      <c r="B21" s="44"/>
      <c r="C21" s="44"/>
      <c r="D21" s="44"/>
      <c r="E21" s="44"/>
      <c r="F21" s="44"/>
      <c r="G21" s="44"/>
    </row>
    <row r="22" spans="1:8" x14ac:dyDescent="0.25">
      <c r="A22" s="28" t="s">
        <v>95</v>
      </c>
      <c r="B22" s="28">
        <f>F22*6.636/42</f>
        <v>26.3386</v>
      </c>
      <c r="C22" s="28" t="s">
        <v>76</v>
      </c>
      <c r="D22" s="28">
        <f>B22/2.20462</f>
        <v>11.94700220446154</v>
      </c>
      <c r="E22" s="28" t="s">
        <v>76</v>
      </c>
      <c r="F22" s="28">
        <v>166.7</v>
      </c>
      <c r="G22" s="28">
        <f>(F22/2.20462)</f>
        <v>75.613938002921145</v>
      </c>
    </row>
    <row r="23" spans="1:8" x14ac:dyDescent="0.25">
      <c r="A23" s="28" t="s">
        <v>96</v>
      </c>
      <c r="B23" s="28">
        <f>F23*6.065/42</f>
        <v>23.624619047619049</v>
      </c>
      <c r="C23" s="28" t="s">
        <v>76</v>
      </c>
      <c r="D23" s="28">
        <f>B23/2.20462</f>
        <v>10.715959688118158</v>
      </c>
      <c r="E23" s="28" t="s">
        <v>76</v>
      </c>
      <c r="F23" s="28">
        <v>163.6</v>
      </c>
      <c r="G23" s="28">
        <f>(F23/2.20462)</f>
        <v>74.207799983670654</v>
      </c>
    </row>
    <row r="24" spans="1:8" ht="24.75" x14ac:dyDescent="0.25">
      <c r="A24" s="28" t="s">
        <v>97</v>
      </c>
      <c r="B24" s="28">
        <f>F24*6.636/42</f>
        <v>24.742799999999999</v>
      </c>
      <c r="C24" s="28" t="s">
        <v>76</v>
      </c>
      <c r="D24" s="28">
        <f>B24/2.20462</f>
        <v>11.223158639584147</v>
      </c>
      <c r="E24" s="28" t="s">
        <v>76</v>
      </c>
      <c r="F24" s="28">
        <v>156.6</v>
      </c>
      <c r="G24" s="28">
        <f>(F24/2.20462)</f>
        <v>71.032649617621175</v>
      </c>
    </row>
    <row r="25" spans="1:8" ht="24.75" x14ac:dyDescent="0.25">
      <c r="A25" s="28" t="s">
        <v>98</v>
      </c>
      <c r="B25" s="28">
        <f>F25*5.248/42</f>
        <v>20.054857142857145</v>
      </c>
      <c r="C25" s="28" t="s">
        <v>76</v>
      </c>
      <c r="D25" s="28">
        <f>B25/2.20462</f>
        <v>9.0967409997446946</v>
      </c>
      <c r="E25" s="28" t="s">
        <v>76</v>
      </c>
      <c r="F25" s="28">
        <v>160.5</v>
      </c>
      <c r="G25" s="28">
        <f>(F25/2.20462)</f>
        <v>72.801661964420177</v>
      </c>
    </row>
    <row r="26" spans="1:8" x14ac:dyDescent="0.25">
      <c r="A26" s="28" t="s">
        <v>99</v>
      </c>
      <c r="B26" s="28">
        <f>F26*5.537/42</f>
        <v>21.106516666666668</v>
      </c>
      <c r="C26" s="28" t="s">
        <v>76</v>
      </c>
      <c r="D26" s="28">
        <f>B26/2.20462</f>
        <v>9.5737663028851543</v>
      </c>
      <c r="E26" s="28" t="s">
        <v>76</v>
      </c>
      <c r="F26" s="28">
        <v>160.1</v>
      </c>
      <c r="G26" s="28">
        <f>(F26/2.20462)</f>
        <v>72.620224800645914</v>
      </c>
    </row>
    <row r="27" spans="1:8" ht="15.75" customHeight="1" x14ac:dyDescent="0.25">
      <c r="A27" s="45" t="s">
        <v>100</v>
      </c>
      <c r="B27" s="45"/>
      <c r="C27" s="45"/>
      <c r="D27" s="45"/>
      <c r="E27" s="45"/>
      <c r="F27" s="45"/>
      <c r="G27" s="45"/>
    </row>
    <row r="28" spans="1:8" x14ac:dyDescent="0.25">
      <c r="A28" s="29" t="s">
        <v>101</v>
      </c>
      <c r="B28" s="28">
        <v>5685</v>
      </c>
      <c r="C28" s="28" t="s">
        <v>82</v>
      </c>
      <c r="D28" s="28">
        <f>B28/2.20462</f>
        <v>2578.675690141612</v>
      </c>
      <c r="E28" s="28" t="s">
        <v>82</v>
      </c>
      <c r="F28" s="28">
        <v>228.6</v>
      </c>
      <c r="G28" s="28">
        <v>103.7</v>
      </c>
      <c r="H28" s="35">
        <f>(G28/1000)*($M$2*1000000)</f>
        <v>3.0391462699999996E-2</v>
      </c>
    </row>
    <row r="29" spans="1:8" x14ac:dyDescent="0.25">
      <c r="A29" s="28" t="s">
        <v>102</v>
      </c>
      <c r="B29" s="28">
        <v>4931.3</v>
      </c>
      <c r="C29" s="28" t="s">
        <v>82</v>
      </c>
      <c r="D29" s="28">
        <f>B29/2.20462</f>
        <v>2236.8027142999704</v>
      </c>
      <c r="E29" s="28" t="s">
        <v>82</v>
      </c>
      <c r="F29" s="28">
        <v>205.7</v>
      </c>
      <c r="G29" s="28">
        <v>93.3</v>
      </c>
      <c r="H29" s="35">
        <f t="shared" ref="H29:H30" si="2">(G29/1000)*($M$2*1000000)</f>
        <v>2.7343524299999995E-2</v>
      </c>
    </row>
    <row r="30" spans="1:8" x14ac:dyDescent="0.25">
      <c r="A30" s="28" t="s">
        <v>103</v>
      </c>
      <c r="B30" s="28">
        <v>3715.9</v>
      </c>
      <c r="C30" s="28" t="s">
        <v>82</v>
      </c>
      <c r="D30" s="28">
        <f>B30/2.20462</f>
        <v>1685.5058921718937</v>
      </c>
      <c r="E30" s="28" t="s">
        <v>82</v>
      </c>
      <c r="F30" s="28">
        <v>214.3</v>
      </c>
      <c r="G30" s="28">
        <v>97.2</v>
      </c>
      <c r="H30" s="35">
        <f t="shared" si="2"/>
        <v>2.84865012E-2</v>
      </c>
    </row>
    <row r="31" spans="1:8" x14ac:dyDescent="0.25">
      <c r="A31" s="29" t="s">
        <v>7</v>
      </c>
      <c r="B31" s="28">
        <v>2791.6</v>
      </c>
      <c r="C31" s="28" t="s">
        <v>82</v>
      </c>
      <c r="D31" s="28">
        <f>B31/2.20462</f>
        <v>1266.2499659805319</v>
      </c>
      <c r="E31" s="28" t="s">
        <v>82</v>
      </c>
      <c r="F31" s="28">
        <v>215.4</v>
      </c>
      <c r="G31" s="28">
        <f>(F31/2.20462)</f>
        <v>97.703912692436802</v>
      </c>
      <c r="H31" s="35">
        <f>(G31/1000)*($M$2*1000000)</f>
        <v>2.8634183396685144E-2</v>
      </c>
    </row>
    <row r="32" spans="1:8" x14ac:dyDescent="0.25">
      <c r="A32" s="30" t="s">
        <v>104</v>
      </c>
      <c r="B32" s="30">
        <f>F32*24.8</f>
        <v>6239.68</v>
      </c>
      <c r="C32" s="30" t="s">
        <v>82</v>
      </c>
      <c r="D32" s="30">
        <f>B32/2.20462</f>
        <v>2830.2746051473728</v>
      </c>
      <c r="E32" s="30" t="s">
        <v>82</v>
      </c>
      <c r="F32" s="30">
        <v>251.6</v>
      </c>
      <c r="G32" s="30">
        <f>(F32/2.20462)</f>
        <v>114.12397601400696</v>
      </c>
    </row>
    <row r="33" spans="1:7" x14ac:dyDescent="0.25">
      <c r="A33" s="31" t="s">
        <v>105</v>
      </c>
      <c r="B33" s="30"/>
      <c r="C33" s="30"/>
      <c r="D33" s="30"/>
      <c r="E33" s="30"/>
      <c r="F33" s="30"/>
      <c r="G33" s="30"/>
    </row>
    <row r="34" spans="1:7" ht="24.75" x14ac:dyDescent="0.25">
      <c r="A34" s="30" t="s">
        <v>106</v>
      </c>
      <c r="B34" s="32" t="s">
        <v>107</v>
      </c>
      <c r="C34" s="32"/>
      <c r="D34" s="32" t="s">
        <v>107</v>
      </c>
      <c r="E34" s="30"/>
      <c r="F34" s="30">
        <v>16.989999999999998</v>
      </c>
      <c r="G34" s="30">
        <f>(F34/2.20462)</f>
        <v>7.7065435313115183</v>
      </c>
    </row>
    <row r="35" spans="1:7" x14ac:dyDescent="0.25">
      <c r="A35" s="30" t="s">
        <v>108</v>
      </c>
      <c r="B35" s="30">
        <v>5771</v>
      </c>
      <c r="C35" s="30" t="s">
        <v>82</v>
      </c>
      <c r="D35" s="30">
        <f>B35/2.20462</f>
        <v>2617.6846803530771</v>
      </c>
      <c r="E35" s="30" t="s">
        <v>82</v>
      </c>
      <c r="F35" s="30">
        <v>91.9</v>
      </c>
      <c r="G35" s="30">
        <f>(F35/2.20462)</f>
        <v>41.685188377135297</v>
      </c>
    </row>
    <row r="36" spans="1:7" x14ac:dyDescent="0.25">
      <c r="A36" s="30" t="s">
        <v>109</v>
      </c>
      <c r="B36" s="30">
        <v>6160</v>
      </c>
      <c r="C36" s="30" t="s">
        <v>82</v>
      </c>
      <c r="D36" s="30">
        <f>B36/2.20462</f>
        <v>2794.1323221235407</v>
      </c>
      <c r="E36" s="30" t="s">
        <v>82</v>
      </c>
      <c r="F36" s="30">
        <v>189.54</v>
      </c>
      <c r="G36" s="30">
        <f>(F36/2.20462)</f>
        <v>85.974000054431158</v>
      </c>
    </row>
    <row r="37" spans="1:7" ht="15.75" thickBot="1" x14ac:dyDescent="0.3">
      <c r="A37" s="20" t="s">
        <v>110</v>
      </c>
      <c r="B37" s="33">
        <f>F37*4.4</f>
        <v>924.00000000000011</v>
      </c>
      <c r="C37" s="20" t="s">
        <v>111</v>
      </c>
      <c r="D37" s="30">
        <f>B37/2.20462</f>
        <v>419.11984831853118</v>
      </c>
      <c r="E37" s="20" t="s">
        <v>111</v>
      </c>
      <c r="F37" s="34">
        <v>210</v>
      </c>
      <c r="G37" s="30">
        <f>(F37/2.20462)</f>
        <v>95.254510981484344</v>
      </c>
    </row>
    <row r="38" spans="1:7" ht="13.5" customHeight="1" x14ac:dyDescent="0.25">
      <c r="A38" s="39" t="s">
        <v>112</v>
      </c>
      <c r="B38" s="39"/>
      <c r="C38" s="39"/>
      <c r="D38" s="39"/>
      <c r="E38" s="39"/>
      <c r="F38" s="39"/>
      <c r="G38" s="39"/>
    </row>
    <row r="39" spans="1:7" ht="11.25" customHeight="1" x14ac:dyDescent="0.25">
      <c r="A39" s="40" t="s">
        <v>113</v>
      </c>
      <c r="B39" s="40"/>
      <c r="C39" s="40"/>
      <c r="D39" s="40"/>
      <c r="E39" s="40"/>
      <c r="F39" s="40"/>
      <c r="G39" s="40"/>
    </row>
    <row r="40" spans="1:7" ht="12.75" customHeight="1" x14ac:dyDescent="0.25">
      <c r="A40" s="40" t="s">
        <v>114</v>
      </c>
      <c r="B40" s="40"/>
      <c r="C40" s="40"/>
      <c r="D40" s="40"/>
      <c r="E40" s="40"/>
      <c r="F40" s="40"/>
      <c r="G40" s="40"/>
    </row>
    <row r="41" spans="1:7" ht="24" customHeight="1" x14ac:dyDescent="0.25">
      <c r="A41" s="20"/>
      <c r="B41" s="20"/>
      <c r="C41" s="20"/>
      <c r="D41" s="41"/>
      <c r="E41" s="41"/>
      <c r="F41" s="41"/>
      <c r="G41" s="41"/>
    </row>
    <row r="42" spans="1:7" ht="12" customHeight="1" x14ac:dyDescent="0.25">
      <c r="A42" s="20"/>
      <c r="B42" s="20"/>
      <c r="C42" s="20"/>
      <c r="D42" s="20"/>
      <c r="E42" s="20"/>
      <c r="F42" s="20"/>
      <c r="G42" s="20"/>
    </row>
    <row r="43" spans="1:7" x14ac:dyDescent="0.25">
      <c r="D43" s="20"/>
      <c r="E43" s="20"/>
      <c r="F43" s="34"/>
      <c r="G43" s="34"/>
    </row>
  </sheetData>
  <mergeCells count="10">
    <mergeCell ref="A38:G38"/>
    <mergeCell ref="A39:G39"/>
    <mergeCell ref="A40:G40"/>
    <mergeCell ref="D41:G41"/>
    <mergeCell ref="A1:G1"/>
    <mergeCell ref="A4:G4"/>
    <mergeCell ref="A14:G14"/>
    <mergeCell ref="A17:G17"/>
    <mergeCell ref="A21:G21"/>
    <mergeCell ref="A27:G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cost generators</vt:lpstr>
      <vt:lpstr>cost storage</vt:lpstr>
      <vt:lpstr>fuel_costs</vt:lpstr>
      <vt:lpstr>emissions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</cp:lastModifiedBy>
  <dcterms:created xsi:type="dcterms:W3CDTF">2019-12-18T19:53:33Z</dcterms:created>
  <dcterms:modified xsi:type="dcterms:W3CDTF">2019-12-24T08:38:46Z</dcterms:modified>
</cp:coreProperties>
</file>