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0a18dea0f1fbaea/Documents/Data Analytics Bootcamp/"/>
    </mc:Choice>
  </mc:AlternateContent>
  <xr:revisionPtr revIDLastSave="332" documentId="8_{5522EA27-3706-4ADC-A676-04F4321DA716}" xr6:coauthVersionLast="36" xr6:coauthVersionMax="36" xr10:uidLastSave="{33B94645-ABD3-4CD1-8F02-42F65D3AF0B9}"/>
  <bookViews>
    <workbookView xWindow="0" yWindow="0" windowWidth="20490" windowHeight="7545" firstSheet="4" activeTab="4" xr2:uid="{00000000-000D-0000-FFFF-FFFF00000000}"/>
  </bookViews>
  <sheets>
    <sheet name="Pivot Table-1" sheetId="2" r:id="rId1"/>
    <sheet name="Pivot Table-2" sheetId="3" r:id="rId2"/>
    <sheet name="Pivot Table-3" sheetId="4" r:id="rId3"/>
    <sheet name="Other Chart" sheetId="5" r:id="rId4"/>
    <sheet name="Sheet6" sheetId="6" r:id="rId5"/>
    <sheet name="Sheet1" sheetId="1" r:id="rId6"/>
  </sheets>
  <definedNames>
    <definedName name="_xlnm._FilterDatabase" localSheetId="5" hidden="1">Sheet1!$A$1:$T$4115</definedName>
  </definedNames>
  <calcPr calcId="179021"/>
  <pivotCaches>
    <pivotCache cacheId="20" r:id="rId7"/>
    <pivotCache cacheId="2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13" i="6" l="1"/>
  <c r="C13" i="6"/>
  <c r="D13" i="6"/>
  <c r="E13" i="6"/>
  <c r="E12" i="6"/>
  <c r="G12" i="6" s="1"/>
  <c r="E11" i="6"/>
  <c r="G11" i="6" s="1"/>
  <c r="E10" i="6"/>
  <c r="H10" i="6" s="1"/>
  <c r="E9" i="6"/>
  <c r="H9" i="6" s="1"/>
  <c r="E8" i="6"/>
  <c r="G8" i="6" s="1"/>
  <c r="E7" i="6"/>
  <c r="G7" i="6" s="1"/>
  <c r="E6" i="6"/>
  <c r="G6" i="6" s="1"/>
  <c r="E5" i="6"/>
  <c r="F5" i="6" s="1"/>
  <c r="E4" i="6"/>
  <c r="H4" i="6" s="1"/>
  <c r="E3" i="6"/>
  <c r="F3" i="6" s="1"/>
  <c r="E2" i="6"/>
  <c r="F2" i="6" s="1"/>
  <c r="D12" i="6"/>
  <c r="D11" i="6"/>
  <c r="D10" i="6"/>
  <c r="D9" i="6"/>
  <c r="D8" i="6"/>
  <c r="D7" i="6"/>
  <c r="D6" i="6"/>
  <c r="D5" i="6"/>
  <c r="D4" i="6"/>
  <c r="D3" i="6"/>
  <c r="D2" i="6"/>
  <c r="C12" i="6"/>
  <c r="C11" i="6"/>
  <c r="C10" i="6"/>
  <c r="C9" i="6"/>
  <c r="C8" i="6"/>
  <c r="C7" i="6"/>
  <c r="C6" i="6"/>
  <c r="C5" i="6"/>
  <c r="C4" i="6"/>
  <c r="C3" i="6"/>
  <c r="C2" i="6"/>
  <c r="B12" i="6"/>
  <c r="B11" i="6"/>
  <c r="B10" i="6"/>
  <c r="B9" i="6"/>
  <c r="B8" i="6"/>
  <c r="B4" i="6"/>
  <c r="B2" i="6"/>
  <c r="B7" i="6"/>
  <c r="B6" i="6"/>
  <c r="B5" i="6"/>
  <c r="B3" i="6"/>
  <c r="H11" i="5"/>
  <c r="H10" i="5"/>
  <c r="H6" i="5"/>
  <c r="H4" i="5"/>
  <c r="H9" i="5"/>
  <c r="H12" i="5"/>
  <c r="H7" i="5"/>
  <c r="H5" i="5"/>
  <c r="H8" i="5"/>
  <c r="G13" i="6" l="1"/>
  <c r="H13" i="6"/>
  <c r="F13" i="6"/>
  <c r="F12" i="6"/>
  <c r="H12" i="6"/>
  <c r="F11" i="6"/>
  <c r="H11" i="6"/>
  <c r="F10" i="6"/>
  <c r="G10" i="6"/>
  <c r="F9" i="6"/>
  <c r="G9" i="6"/>
  <c r="H8" i="6"/>
  <c r="F8" i="6"/>
  <c r="H7" i="6"/>
  <c r="F7" i="6"/>
  <c r="H6" i="6"/>
  <c r="F6" i="6"/>
  <c r="G5" i="6"/>
  <c r="H5" i="6"/>
  <c r="F4" i="6"/>
  <c r="G4" i="6"/>
  <c r="H3" i="6"/>
  <c r="G3" i="6"/>
  <c r="H2" i="6"/>
  <c r="G2" i="6"/>
  <c r="D25" i="2" l="1"/>
  <c r="D24" i="2"/>
  <c r="D23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31" i="2"/>
  <c r="C30" i="2"/>
  <c r="C29" i="2"/>
  <c r="C28" i="2"/>
  <c r="C27" i="2"/>
  <c r="C26" i="2"/>
  <c r="C25" i="2"/>
  <c r="C24" i="2"/>
  <c r="C23" i="2"/>
</calcChain>
</file>

<file path=xl/sharedStrings.xml><?xml version="1.0" encoding="utf-8"?>
<sst xmlns="http://schemas.openxmlformats.org/spreadsheetml/2006/main" count="24822" uniqueCount="8372">
  <si>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</si>
  <si>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</si>
  <si>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</si>
  <si>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</si>
  <si>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</si>
  <si>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</si>
  <si>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</si>
  <si>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</si>
  <si>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</si>
  <si>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</si>
  <si>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</si>
  <si>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</si>
  <si>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</si>
  <si>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</si>
  <si>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</si>
  <si>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</si>
  <si>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</si>
  <si>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</si>
  <si>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</si>
  <si>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</si>
  <si>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</si>
  <si>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</si>
  <si>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</si>
  <si>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</si>
  <si>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</si>
  <si>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</si>
  <si>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</si>
  <si>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</si>
  <si>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</si>
  <si>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</si>
  <si>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</si>
  <si>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</si>
  <si>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</si>
  <si>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</si>
  <si>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</si>
  <si>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</si>
  <si>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</si>
  <si>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</si>
  <si>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</si>
  <si>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</si>
  <si>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</si>
  <si>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</si>
  <si>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</si>
  <si>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</si>
  <si>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</si>
  <si>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</si>
  <si>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</si>
  <si>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</si>
  <si>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</si>
  <si>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</si>
  <si>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</si>
  <si>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</si>
  <si>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</si>
  <si>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</si>
  <si>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</si>
  <si>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</si>
  <si>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</si>
  <si>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</si>
  <si>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</si>
  <si>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</si>
  <si>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</si>
  <si>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</si>
  <si>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</si>
  <si>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</si>
  <si>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</si>
  <si>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</si>
  <si>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</si>
  <si>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</si>
  <si>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</si>
  <si>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</si>
  <si>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</si>
  <si>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</si>
  <si>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</si>
  <si>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</si>
  <si>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</si>
  <si>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</si>
  <si>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</si>
  <si>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</si>
  <si>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</si>
  <si>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</si>
  <si>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</si>
  <si>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</si>
  <si>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</si>
  <si>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</si>
  <si>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</si>
  <si>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</si>
  <si>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</si>
  <si>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</si>
  <si>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</si>
  <si>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</si>
  <si>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</si>
  <si>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</si>
  <si>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</si>
  <si>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</si>
  <si>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</si>
  <si>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</si>
  <si>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</si>
  <si>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</si>
  <si>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</si>
  <si>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</si>
  <si>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</si>
  <si>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</si>
  <si>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</si>
  <si>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</si>
  <si>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</si>
  <si>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</si>
  <si>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</si>
  <si>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</si>
  <si>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</si>
  <si>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</si>
  <si>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</si>
  <si>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</si>
  <si>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</si>
  <si>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</si>
  <si>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</si>
  <si>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</si>
  <si>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</si>
  <si>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</si>
  <si>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</si>
  <si>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</si>
  <si>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</si>
  <si>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</si>
  <si>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</si>
  <si>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</si>
  <si>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</si>
  <si>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</si>
  <si>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</si>
  <si>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</si>
  <si>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</si>
  <si>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</si>
  <si>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</si>
  <si>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</si>
  <si>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</si>
  <si>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</si>
  <si>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</si>
  <si>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</si>
  <si>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</si>
  <si>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</si>
  <si>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</si>
  <si>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</si>
  <si>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</si>
  <si>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</si>
  <si>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</si>
  <si>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</si>
  <si>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</si>
  <si>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</si>
  <si>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</si>
  <si>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</si>
  <si>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</si>
  <si>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</si>
  <si>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</si>
  <si>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</si>
  <si>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</si>
  <si>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</si>
  <si>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</si>
  <si>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</si>
  <si>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</si>
  <si>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</si>
  <si>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</si>
  <si>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</si>
  <si>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</si>
  <si>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</si>
  <si>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</si>
  <si>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</si>
  <si>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</si>
  <si>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</si>
  <si>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</si>
  <si>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</si>
  <si>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</si>
  <si>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</si>
  <si>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</si>
  <si>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</si>
  <si>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</si>
  <si>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</si>
  <si>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</si>
  <si>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</si>
  <si>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</si>
  <si>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</si>
  <si>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</si>
  <si>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</si>
  <si>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</si>
  <si>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</si>
  <si>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</si>
  <si>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</si>
  <si>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</si>
  <si>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</si>
  <si>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</si>
  <si>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</si>
  <si>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</si>
  <si>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</si>
  <si>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</si>
  <si>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</si>
  <si>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</si>
  <si>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</si>
  <si>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</si>
  <si>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</si>
  <si>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</si>
  <si>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</si>
  <si>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</si>
  <si>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</si>
  <si>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</si>
  <si>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</si>
  <si>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</si>
  <si>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</si>
  <si>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</si>
  <si>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</si>
  <si>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</si>
  <si>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</si>
  <si>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</si>
  <si>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</si>
  <si>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</si>
  <si>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</si>
  <si>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</si>
  <si>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</si>
  <si>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</si>
  <si>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</si>
  <si>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</si>
  <si>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</si>
  <si>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</si>
  <si>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</si>
  <si>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</si>
  <si>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</si>
  <si>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</si>
  <si>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</si>
  <si>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</si>
  <si>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</si>
  <si>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</si>
  <si>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</si>
  <si>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</si>
  <si>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</si>
  <si>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</si>
  <si>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</si>
  <si>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</si>
  <si>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</si>
  <si>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</si>
  <si>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</si>
  <si>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</si>
  <si>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</si>
  <si>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</si>
  <si>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</si>
  <si>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</si>
  <si>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</si>
  <si>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</si>
  <si>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</si>
  <si>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</si>
  <si>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</si>
  <si>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</si>
  <si>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</si>
  <si>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</si>
  <si>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</si>
  <si>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</si>
  <si>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</si>
  <si>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</si>
  <si>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</si>
  <si>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</si>
  <si>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</si>
  <si>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</si>
  <si>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</si>
  <si>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</si>
  <si>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</si>
  <si>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</si>
  <si>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</si>
  <si>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</si>
  <si>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</si>
  <si>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</si>
  <si>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</si>
  <si>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</si>
  <si>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</si>
  <si>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</si>
  <si>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</si>
  <si>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</si>
  <si>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</si>
  <si>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</si>
  <si>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</si>
  <si>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</si>
  <si>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</si>
  <si>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</si>
  <si>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</si>
  <si>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</si>
  <si>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</si>
  <si>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</si>
  <si>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</si>
  <si>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</si>
  <si>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</si>
  <si>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</si>
  <si>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</si>
  <si>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</si>
  <si>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</si>
  <si>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</si>
  <si>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</si>
  <si>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</si>
  <si>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</si>
  <si>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</si>
  <si>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</si>
  <si>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</si>
  <si>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</si>
  <si>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</si>
  <si>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</si>
  <si>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</si>
  <si>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</si>
  <si>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</si>
  <si>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</si>
  <si>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</si>
  <si>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</si>
  <si>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</si>
  <si>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</si>
  <si>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</si>
  <si>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</si>
  <si>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</si>
  <si>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</si>
  <si>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</si>
  <si>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</si>
  <si>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</si>
  <si>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</si>
  <si>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</si>
  <si>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</si>
  <si>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</si>
  <si>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</si>
  <si>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</si>
  <si>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</si>
  <si>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</si>
  <si>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</si>
  <si>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</si>
  <si>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</si>
  <si>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</si>
  <si>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</si>
  <si>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</si>
  <si>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</si>
  <si>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</si>
  <si>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</si>
  <si>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</si>
  <si>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</si>
  <si>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</si>
  <si>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</si>
  <si>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</si>
  <si>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</si>
  <si>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</si>
  <si>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</si>
  <si>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</si>
  <si>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</si>
  <si>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</si>
  <si>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</si>
  <si>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</si>
  <si>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</si>
  <si>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</si>
  <si>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</si>
  <si>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</si>
  <si>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</si>
  <si>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</si>
  <si>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</si>
  <si>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</si>
  <si>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</si>
  <si>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</si>
  <si>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</si>
  <si>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</si>
  <si>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</si>
  <si>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</si>
  <si>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</si>
  <si>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</si>
  <si>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</si>
  <si>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</si>
  <si>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</si>
  <si>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</si>
  <si>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</si>
  <si>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</si>
  <si>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</si>
  <si>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</si>
  <si>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</si>
  <si>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</si>
  <si>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</si>
  <si>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</si>
  <si>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</si>
  <si>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</si>
  <si>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</si>
  <si>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</si>
  <si>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</si>
  <si>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</si>
  <si>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</si>
  <si>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</si>
  <si>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</si>
  <si>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</si>
  <si>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</si>
  <si>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</si>
  <si>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</si>
  <si>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</si>
  <si>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</si>
  <si>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</si>
  <si>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</si>
  <si>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</si>
  <si>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</si>
  <si>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</si>
  <si>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</si>
  <si>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</si>
  <si>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</si>
  <si>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</si>
  <si>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</si>
  <si>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</si>
  <si>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</si>
  <si>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</si>
  <si>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</si>
  <si>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</si>
  <si>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</si>
  <si>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</si>
  <si>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</si>
  <si>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</si>
  <si>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</si>
  <si>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</si>
  <si>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</si>
  <si>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</si>
  <si>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</si>
  <si>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</si>
  <si>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</si>
  <si>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</si>
  <si>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</si>
  <si>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</si>
  <si>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</si>
  <si>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</si>
  <si>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</si>
  <si>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</si>
  <si>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</si>
  <si>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</si>
  <si>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</si>
  <si>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</si>
  <si>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</si>
  <si>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</si>
  <si>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</si>
  <si>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</si>
  <si>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</si>
  <si>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</si>
  <si>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</si>
  <si>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</si>
  <si>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</si>
  <si>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</si>
  <si>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</si>
  <si>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</si>
  <si>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</si>
  <si>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</si>
  <si>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</si>
  <si>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</si>
  <si>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</si>
  <si>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</si>
  <si>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</si>
  <si>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</si>
  <si>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</si>
  <si>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</si>
  <si>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</si>
  <si>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</si>
  <si>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</si>
  <si>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</si>
  <si>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</si>
  <si>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</si>
  <si>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</si>
  <si>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</si>
  <si>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</si>
  <si>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</si>
  <si>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</si>
  <si>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</si>
  <si>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</si>
  <si>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</si>
  <si>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</si>
  <si>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</si>
  <si>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</si>
  <si>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</si>
  <si>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</si>
  <si>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</si>
  <si>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</si>
  <si>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</si>
  <si>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</si>
  <si>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</si>
  <si>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</si>
  <si>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</si>
  <si>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</si>
  <si>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</si>
  <si>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</si>
  <si>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</si>
  <si>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</si>
  <si>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</si>
  <si>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</si>
  <si>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</si>
  <si>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</si>
  <si>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</si>
  <si>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</si>
  <si>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</si>
  <si>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</si>
  <si>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</si>
  <si>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</si>
  <si>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</si>
  <si>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</si>
  <si>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</si>
  <si>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</si>
  <si>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</si>
  <si>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</si>
  <si>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</si>
  <si>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</si>
  <si>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</si>
  <si>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</si>
  <si>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</si>
  <si>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</si>
  <si>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</si>
  <si>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</si>
  <si>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</si>
  <si>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</si>
  <si>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</si>
  <si>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</si>
  <si>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</si>
  <si>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</si>
  <si>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</si>
  <si>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</si>
  <si>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</si>
  <si>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</si>
  <si>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</si>
  <si>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</si>
  <si>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</si>
  <si>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</si>
  <si>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</si>
  <si>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</si>
  <si>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</si>
  <si>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</si>
  <si>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</si>
  <si>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</si>
  <si>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</si>
  <si>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</si>
  <si>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</si>
  <si>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</si>
  <si>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</si>
  <si>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</si>
  <si>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</si>
  <si>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</si>
  <si>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</si>
  <si>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</si>
  <si>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</si>
  <si>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</si>
  <si>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</si>
  <si>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</si>
  <si>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</si>
  <si>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</si>
  <si>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</si>
  <si>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</si>
  <si>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</si>
  <si>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</si>
  <si>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</si>
  <si>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</si>
  <si>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</si>
  <si>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</si>
  <si>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</si>
  <si>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</si>
  <si>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</si>
  <si>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</si>
  <si>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</si>
  <si>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</si>
  <si>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</si>
  <si>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</si>
  <si>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</si>
  <si>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</si>
  <si>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</si>
  <si>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</si>
  <si>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</si>
  <si>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</si>
  <si>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</si>
  <si>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</si>
  <si>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</si>
  <si>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</si>
  <si>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</si>
  <si>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</si>
  <si>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</si>
  <si>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</si>
  <si>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</si>
  <si>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</si>
  <si>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</si>
  <si>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</si>
  <si>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</si>
  <si>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</si>
  <si>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</si>
  <si>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</si>
  <si>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</si>
  <si>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</si>
  <si>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</si>
  <si>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</si>
  <si>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</si>
  <si>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</si>
  <si>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</si>
  <si>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</si>
  <si>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</si>
  <si>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</si>
  <si>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</si>
  <si>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</si>
  <si>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</si>
  <si>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</si>
  <si>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</si>
  <si>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</si>
  <si>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</si>
  <si>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</si>
  <si>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</si>
  <si>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</si>
  <si>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</si>
  <si>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</si>
  <si>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</si>
  <si>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</si>
  <si>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</si>
  <si>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</si>
  <si>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</si>
  <si>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</si>
  <si>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</si>
  <si>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</si>
  <si>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</si>
  <si>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</si>
  <si>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</si>
  <si>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</si>
  <si>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</si>
  <si>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</si>
  <si>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</si>
  <si>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</si>
  <si>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</si>
  <si>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</si>
  <si>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</si>
  <si>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</si>
  <si>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</si>
  <si>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</si>
  <si>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</si>
  <si>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</si>
  <si>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</si>
  <si>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</si>
  <si>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</si>
  <si>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</si>
  <si>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</si>
  <si>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</si>
  <si>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</si>
  <si>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</si>
  <si>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</si>
  <si>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</si>
  <si>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</si>
  <si>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</si>
  <si>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</si>
  <si>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</si>
  <si>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</si>
  <si>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</si>
  <si>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</si>
  <si>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</si>
  <si>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</si>
  <si>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</si>
  <si>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</si>
  <si>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</si>
  <si>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</si>
  <si>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</si>
  <si>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</si>
  <si>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</si>
  <si>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</si>
  <si>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</si>
  <si>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</si>
  <si>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</si>
  <si>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</si>
  <si>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</si>
  <si>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</si>
  <si>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</si>
  <si>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</si>
  <si>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</si>
  <si>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</si>
  <si>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</si>
  <si>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</si>
  <si>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</si>
  <si>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</si>
  <si>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</si>
  <si>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</si>
  <si>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</si>
  <si>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</si>
  <si>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</si>
  <si>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</si>
  <si>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</si>
  <si>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</si>
  <si>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</si>
  <si>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</si>
  <si>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</si>
  <si>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</si>
  <si>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</si>
  <si>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</si>
  <si>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</si>
  <si>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</si>
  <si>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</si>
  <si>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</si>
  <si>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</si>
  <si>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</si>
  <si>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</si>
  <si>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</si>
  <si>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</si>
  <si>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</si>
  <si>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</si>
  <si>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</si>
  <si>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</si>
  <si>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</si>
  <si>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</si>
  <si>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</si>
  <si>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</si>
  <si>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</si>
  <si>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</si>
  <si>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</si>
  <si>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</si>
  <si>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</si>
  <si>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</si>
  <si>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</si>
  <si>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</si>
  <si>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</si>
  <si>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</si>
  <si>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</si>
  <si>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</si>
  <si>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</si>
  <si>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</si>
  <si>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</si>
  <si>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</si>
  <si>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</si>
  <si>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</si>
  <si>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</si>
  <si>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</si>
  <si>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</si>
  <si>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</si>
  <si>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</si>
  <si>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</si>
  <si>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</si>
  <si>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</si>
  <si>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</si>
  <si>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</si>
  <si>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</si>
  <si>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</si>
  <si>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</si>
  <si>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</si>
  <si>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</si>
  <si>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</si>
  <si>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</si>
  <si>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</si>
  <si>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</si>
  <si>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</si>
  <si>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</si>
  <si>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</si>
  <si>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</si>
  <si>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</si>
  <si>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</si>
  <si>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</si>
  <si>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</si>
  <si>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</si>
  <si>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</si>
  <si>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</si>
  <si>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</si>
  <si>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</si>
  <si>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</si>
  <si>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</si>
  <si>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</si>
  <si>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</si>
  <si>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</si>
  <si>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</si>
  <si>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</si>
  <si>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</si>
  <si>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</si>
  <si>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</si>
  <si>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</si>
  <si>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</si>
  <si>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</si>
  <si>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</si>
  <si>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</si>
  <si>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</si>
  <si>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</si>
  <si>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</si>
  <si>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</si>
  <si>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</si>
  <si>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</si>
  <si>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</si>
  <si>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</si>
  <si>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</si>
  <si>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</si>
  <si>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</si>
  <si>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</si>
  <si>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</si>
  <si>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</si>
  <si>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</si>
  <si>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</si>
  <si>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</si>
  <si>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</si>
  <si>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</si>
  <si>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</si>
  <si>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</si>
  <si>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</si>
  <si>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</si>
  <si>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</si>
  <si>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</si>
  <si>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</si>
  <si>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</si>
  <si>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</si>
  <si>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</si>
  <si>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</si>
  <si>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</si>
  <si>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</si>
  <si>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</si>
  <si>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</si>
  <si>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</si>
  <si>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</si>
  <si>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</si>
  <si>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</si>
  <si>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</si>
  <si>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</si>
  <si>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</si>
  <si>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</si>
  <si>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</si>
  <si>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</si>
  <si>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</si>
  <si>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</si>
  <si>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</si>
  <si>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</si>
  <si>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</si>
  <si>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</si>
  <si>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</si>
  <si>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</si>
  <si>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</si>
  <si>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</si>
  <si>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</si>
  <si>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</si>
  <si>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</si>
  <si>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</si>
  <si>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</si>
  <si>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</si>
  <si>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</si>
  <si>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</si>
  <si>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</si>
  <si>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</si>
  <si>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</si>
  <si>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</si>
  <si>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</si>
  <si>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</si>
  <si>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</si>
  <si>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</si>
  <si>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</si>
  <si>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</si>
  <si>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</si>
  <si>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</si>
  <si>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</si>
  <si>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</si>
  <si>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</si>
  <si>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</si>
  <si>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</si>
  <si>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</si>
  <si>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</si>
  <si>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</si>
  <si>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</si>
  <si>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</si>
  <si>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</si>
  <si>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</si>
  <si>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</si>
  <si>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</si>
  <si>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</si>
  <si>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</si>
  <si>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</si>
  <si>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</si>
  <si>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</si>
  <si>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</si>
  <si>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</si>
  <si>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</si>
  <si>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</si>
  <si>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</si>
  <si>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</si>
  <si>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</si>
  <si>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</si>
  <si>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</si>
  <si>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</si>
  <si>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</si>
  <si>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</si>
  <si>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</si>
  <si>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</si>
  <si>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</si>
  <si>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</si>
  <si>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</si>
  <si>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</si>
  <si>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</si>
  <si>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</si>
  <si>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</si>
  <si>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</si>
  <si>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</si>
  <si>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</si>
  <si>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</si>
  <si>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</si>
  <si>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</si>
  <si>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</si>
  <si>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</si>
  <si>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</si>
  <si>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</si>
  <si>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</si>
  <si>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</si>
  <si>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</si>
  <si>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</si>
  <si>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</si>
  <si>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</si>
  <si>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</si>
  <si>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</si>
  <si>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</si>
  <si>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</si>
  <si>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</si>
  <si>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</si>
  <si>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</si>
  <si>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</si>
  <si>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</si>
  <si>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</si>
  <si>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</si>
  <si>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</si>
  <si>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</si>
  <si>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</si>
  <si>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</si>
  <si>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</si>
  <si>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</si>
  <si>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</si>
  <si>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</si>
  <si>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</si>
  <si>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</si>
  <si>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</si>
  <si>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</si>
  <si>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</si>
  <si>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</si>
  <si>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</si>
  <si>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</si>
  <si>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</si>
  <si>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</si>
  <si>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</si>
  <si>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</si>
  <si>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</si>
  <si>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</si>
  <si>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</si>
  <si>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</si>
  <si>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</si>
  <si>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</si>
  <si>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</si>
  <si>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</si>
  <si>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</si>
  <si>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</si>
  <si>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</si>
  <si>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</si>
  <si>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</si>
  <si>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</si>
  <si>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</si>
  <si>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</si>
  <si>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</si>
  <si>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</si>
  <si>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</si>
  <si>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</si>
  <si>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</si>
  <si>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</si>
  <si>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</si>
  <si>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</si>
  <si>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</si>
  <si>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</si>
  <si>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</si>
  <si>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</si>
  <si>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</si>
  <si>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</si>
  <si>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</si>
  <si>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</si>
  <si>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</si>
  <si>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</si>
  <si>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</si>
  <si>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</si>
  <si>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</si>
  <si>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</si>
  <si>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</si>
  <si>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</si>
  <si>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</si>
  <si>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</si>
  <si>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</si>
  <si>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</si>
  <si>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</si>
  <si>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</si>
  <si>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</si>
  <si>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</si>
  <si>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</si>
  <si>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</si>
  <si>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</si>
  <si>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</si>
  <si>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</si>
  <si>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</si>
  <si>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</si>
  <si>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</si>
  <si>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</si>
  <si>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</si>
  <si>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</si>
  <si>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</si>
  <si>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</si>
  <si>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</si>
  <si>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</si>
  <si>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</si>
  <si>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</si>
  <si>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</si>
  <si>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</si>
  <si>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</si>
  <si>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</si>
  <si>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</si>
  <si>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</si>
  <si>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</si>
  <si>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</si>
  <si>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</si>
  <si>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</si>
  <si>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</si>
  <si>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</si>
  <si>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</si>
  <si>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</si>
  <si>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</si>
  <si>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</si>
  <si>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</si>
  <si>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</si>
  <si>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</si>
  <si>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</si>
  <si>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</si>
  <si>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</si>
  <si>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</si>
  <si>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</si>
  <si>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</si>
  <si>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</si>
  <si>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</si>
  <si>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</si>
  <si>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</si>
  <si>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</si>
  <si>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</si>
  <si>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</si>
  <si>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</si>
  <si>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</si>
  <si>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</si>
  <si>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</si>
  <si>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</si>
  <si>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</si>
  <si>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</si>
  <si>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</si>
  <si>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</si>
  <si>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</si>
  <si>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</si>
  <si>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</si>
  <si>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</si>
  <si>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</si>
  <si>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</si>
  <si>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</si>
  <si>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</si>
  <si>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</si>
  <si>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</si>
  <si>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</si>
  <si>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</si>
  <si>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</si>
  <si>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</si>
  <si>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</si>
  <si>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</si>
  <si>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</si>
  <si>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</si>
  <si>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</si>
  <si>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</si>
  <si>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</si>
  <si>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</si>
  <si>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</si>
  <si>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</si>
  <si>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</si>
  <si>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</si>
  <si>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</si>
  <si>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</si>
  <si>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</si>
  <si>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</si>
  <si>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</si>
  <si>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</si>
  <si>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</si>
  <si>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</si>
  <si>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</si>
  <si>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</si>
  <si>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</si>
  <si>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</si>
  <si>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</si>
  <si>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</si>
  <si>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</si>
  <si>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</si>
  <si>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</si>
  <si>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</si>
  <si>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</si>
  <si>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</si>
  <si>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</si>
  <si>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</si>
  <si>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</si>
  <si>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</si>
  <si>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</si>
  <si>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</si>
  <si>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</si>
  <si>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</si>
  <si>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</si>
  <si>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</si>
  <si>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</si>
  <si>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</si>
  <si>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</si>
  <si>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</si>
  <si>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</si>
  <si>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</si>
  <si>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</si>
  <si>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</si>
  <si>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</si>
  <si>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</si>
  <si>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</si>
  <si>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</si>
  <si>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</si>
  <si>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</si>
  <si>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</si>
  <si>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</si>
  <si>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</si>
  <si>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</si>
  <si>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</si>
  <si>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</si>
  <si>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</si>
  <si>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</si>
  <si>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</si>
  <si>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</si>
  <si>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</si>
  <si>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</si>
  <si>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</si>
  <si>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</si>
  <si>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</si>
  <si>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</si>
  <si>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</si>
  <si>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</si>
  <si>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</si>
  <si>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</si>
  <si>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</si>
  <si>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</si>
  <si>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</si>
  <si>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</si>
  <si>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</si>
  <si>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</si>
  <si>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</si>
  <si>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</si>
  <si>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</si>
  <si>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</si>
  <si>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</si>
  <si>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</si>
  <si>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</si>
  <si>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</si>
  <si>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</si>
  <si>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</si>
  <si>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</si>
  <si>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</si>
  <si>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</si>
  <si>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</si>
  <si>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</si>
  <si>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</si>
  <si>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</si>
  <si>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</si>
  <si>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</si>
  <si>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</si>
  <si>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</si>
  <si>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</si>
  <si>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</si>
  <si>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</si>
  <si>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</si>
  <si>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</si>
  <si>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</si>
  <si>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</si>
  <si>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</si>
  <si>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</si>
  <si>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</si>
  <si>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</si>
  <si>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</si>
  <si>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</si>
  <si>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</si>
  <si>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</si>
  <si>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</si>
  <si>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</si>
  <si>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</si>
  <si>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</si>
  <si>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</si>
  <si>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</si>
  <si>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</si>
  <si>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</si>
  <si>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</si>
  <si>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</si>
  <si>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</si>
  <si>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</si>
  <si>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</si>
  <si>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</si>
  <si>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</si>
  <si>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</si>
  <si>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</si>
  <si>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</si>
  <si>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</si>
  <si>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</si>
  <si>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</si>
  <si>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</si>
  <si>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</si>
  <si>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</si>
  <si>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</si>
  <si>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</si>
  <si>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</si>
  <si>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</si>
  <si>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</si>
  <si>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</si>
  <si>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</si>
  <si>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</si>
  <si>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</si>
  <si>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</si>
  <si>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</si>
  <si>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</si>
  <si>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</si>
  <si>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</si>
  <si>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</si>
  <si>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</si>
  <si>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</si>
  <si>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</si>
  <si>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</si>
  <si>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</si>
  <si>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</si>
  <si>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</si>
  <si>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</si>
  <si>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</si>
  <si>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</si>
  <si>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</si>
  <si>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</si>
  <si>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</si>
  <si>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</si>
  <si>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</si>
  <si>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</si>
  <si>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</si>
  <si>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</si>
  <si>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</si>
  <si>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</si>
  <si>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</si>
  <si>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</si>
  <si>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</si>
  <si>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</si>
  <si>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</si>
  <si>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</si>
  <si>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</si>
  <si>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</si>
  <si>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</si>
  <si>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</si>
  <si>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</si>
  <si>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</si>
  <si>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</si>
  <si>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</si>
  <si>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</si>
  <si>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</si>
  <si>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</si>
  <si>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</si>
  <si>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</si>
  <si>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</si>
  <si>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</si>
  <si>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</si>
  <si>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</si>
  <si>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</si>
  <si>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</si>
  <si>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</si>
  <si>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</si>
  <si>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</si>
  <si>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</si>
  <si>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</si>
  <si>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</si>
  <si>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</si>
  <si>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</si>
  <si>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</si>
  <si>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</si>
  <si>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</si>
  <si>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</si>
  <si>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</si>
  <si>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</si>
  <si>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</si>
  <si>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</si>
  <si>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</si>
  <si>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</si>
  <si>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</si>
  <si>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</si>
  <si>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</si>
  <si>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</si>
  <si>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</si>
  <si>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</si>
  <si>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</si>
  <si>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</si>
  <si>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</si>
  <si>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</si>
  <si>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</si>
  <si>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</si>
  <si>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</si>
  <si>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</si>
  <si>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</si>
  <si>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</si>
  <si>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</si>
  <si>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</si>
  <si>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</si>
  <si>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</si>
  <si>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</si>
  <si>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</si>
  <si>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</si>
  <si>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</si>
  <si>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</si>
  <si>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</si>
  <si>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</si>
  <si>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</si>
  <si>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</si>
  <si>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</si>
  <si>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</si>
  <si>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</si>
  <si>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</si>
  <si>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</si>
  <si>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</si>
  <si>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</si>
  <si>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</si>
  <si>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</si>
  <si>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</si>
  <si>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</si>
  <si>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</si>
  <si>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</si>
  <si>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</si>
  <si>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</si>
  <si>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</si>
  <si>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</si>
  <si>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</si>
  <si>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</si>
  <si>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</si>
  <si>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</si>
  <si>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</si>
  <si>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</si>
  <si>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</si>
  <si>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</si>
  <si>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</si>
  <si>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</si>
  <si>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</si>
  <si>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</si>
  <si>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</si>
  <si>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</si>
  <si>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</si>
  <si>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</si>
  <si>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</si>
  <si>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</si>
  <si>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</si>
  <si>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</si>
  <si>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</si>
  <si>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</si>
  <si>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</si>
  <si>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</si>
  <si>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</si>
  <si>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</si>
  <si>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</si>
  <si>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</si>
  <si>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</si>
  <si>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</si>
  <si>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</si>
  <si>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</si>
  <si>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</si>
  <si>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</si>
  <si>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</si>
  <si>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</si>
  <si>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</si>
  <si>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</si>
  <si>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</si>
  <si>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</si>
  <si>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</si>
  <si>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</si>
  <si>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</si>
  <si>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</si>
  <si>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</si>
  <si>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</si>
  <si>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</si>
  <si>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</si>
  <si>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</si>
  <si>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</si>
  <si>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</si>
  <si>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</si>
  <si>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</si>
  <si>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</si>
  <si>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</si>
  <si>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</si>
  <si>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</si>
  <si>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</si>
  <si>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</si>
  <si>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</si>
  <si>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</si>
  <si>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</si>
  <si>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</si>
  <si>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</si>
  <si>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</si>
  <si>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</si>
  <si>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</si>
  <si>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</si>
  <si>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</si>
  <si>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</si>
  <si>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</si>
  <si>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</si>
  <si>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</si>
  <si>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</si>
  <si>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</si>
  <si>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</si>
  <si>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</si>
  <si>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</si>
  <si>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</si>
  <si>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</si>
  <si>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</si>
  <si>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</si>
  <si>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</si>
  <si>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</si>
  <si>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</si>
  <si>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</si>
  <si>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</si>
  <si>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</si>
  <si>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</si>
  <si>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</si>
  <si>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</si>
  <si>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</si>
  <si>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</si>
  <si>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</si>
  <si>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</si>
  <si>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</si>
  <si>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</si>
  <si>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</si>
  <si>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</si>
  <si>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</si>
  <si>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</si>
  <si>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</si>
  <si>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</si>
  <si>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</si>
  <si>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</si>
  <si>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</si>
  <si>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</si>
  <si>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</si>
  <si>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</si>
  <si>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</si>
  <si>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</si>
  <si>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</si>
  <si>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</si>
  <si>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</si>
  <si>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</si>
  <si>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</si>
  <si>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</si>
  <si>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</si>
  <si>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</si>
  <si>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</si>
  <si>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</si>
  <si>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</si>
  <si>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</si>
  <si>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</si>
  <si>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</si>
  <si>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</si>
  <si>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</si>
  <si>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</si>
  <si>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</si>
  <si>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</si>
  <si>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</si>
  <si>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</si>
  <si>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</si>
  <si>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</si>
  <si>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</si>
  <si>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</si>
  <si>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</si>
  <si>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</si>
  <si>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</si>
  <si>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</si>
  <si>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</si>
  <si>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</si>
  <si>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</si>
  <si>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</si>
  <si>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</si>
  <si>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</si>
  <si>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</si>
  <si>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</si>
  <si>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</si>
  <si>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</si>
  <si>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</si>
  <si>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</si>
  <si>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</si>
  <si>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</si>
  <si>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</si>
  <si>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</si>
  <si>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</si>
  <si>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</si>
  <si>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</si>
  <si>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</si>
  <si>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</si>
  <si>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</si>
  <si>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</si>
  <si>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</si>
  <si>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</si>
  <si>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</si>
  <si>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</si>
  <si>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</si>
  <si>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</si>
  <si>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</si>
  <si>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</si>
  <si>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</si>
  <si>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</si>
  <si>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</si>
  <si>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</si>
  <si>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</si>
  <si>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</si>
  <si>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</si>
  <si>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</si>
  <si>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</si>
  <si>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</si>
  <si>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</si>
  <si>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</si>
  <si>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</si>
  <si>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</si>
  <si>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</si>
  <si>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</si>
  <si>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</si>
  <si>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</si>
  <si>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</si>
  <si>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</si>
  <si>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</si>
  <si>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</si>
  <si>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</si>
  <si>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</si>
  <si>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</si>
  <si>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</si>
  <si>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</si>
  <si>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</si>
  <si>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</si>
  <si>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</si>
  <si>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</si>
  <si>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</si>
  <si>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</si>
  <si>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</si>
  <si>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</si>
  <si>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</si>
  <si>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</si>
  <si>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</si>
  <si>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</si>
  <si>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</si>
  <si>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</si>
  <si>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</si>
  <si>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</si>
  <si>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</si>
  <si>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</si>
  <si>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</si>
  <si>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</si>
  <si>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</si>
  <si>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</si>
  <si>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</si>
  <si>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</si>
  <si>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</si>
  <si>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</si>
  <si>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</si>
  <si>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</si>
  <si>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</si>
  <si>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</si>
  <si>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</si>
  <si>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</si>
  <si>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</si>
  <si>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</si>
  <si>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</si>
  <si>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</si>
  <si>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</si>
  <si>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</si>
  <si>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</si>
  <si>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</si>
  <si>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</si>
  <si>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</si>
  <si>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</si>
  <si>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</si>
  <si>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</si>
  <si>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</si>
  <si>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</si>
  <si>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</si>
  <si>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</si>
  <si>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</si>
  <si>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</si>
  <si>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</si>
  <si>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</si>
  <si>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</si>
  <si>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</si>
  <si>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</si>
  <si>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</si>
  <si>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</si>
  <si>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</si>
  <si>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</si>
  <si>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</si>
  <si>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</si>
  <si>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</si>
  <si>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</si>
  <si>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</si>
  <si>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</si>
  <si>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</si>
  <si>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</si>
  <si>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</si>
  <si>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</si>
  <si>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</si>
  <si>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</si>
  <si>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</si>
  <si>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</si>
  <si>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</si>
  <si>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</si>
  <si>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</si>
  <si>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</si>
  <si>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</si>
  <si>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</si>
  <si>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</si>
  <si>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</si>
  <si>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</si>
  <si>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</si>
  <si>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</si>
  <si>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</si>
  <si>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</si>
  <si>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</si>
  <si>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</si>
  <si>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</si>
  <si>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</si>
  <si>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</si>
  <si>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</si>
  <si>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</si>
  <si>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</si>
  <si>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</si>
  <si>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</si>
  <si>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</si>
  <si>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</si>
  <si>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</si>
  <si>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</si>
  <si>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</si>
  <si>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</si>
  <si>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</si>
  <si>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</si>
  <si>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</si>
  <si>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</si>
  <si>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</si>
  <si>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</si>
  <si>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</si>
  <si>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</si>
  <si>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</si>
  <si>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</si>
  <si>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</si>
  <si>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</si>
  <si>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</si>
  <si>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</si>
  <si>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</si>
  <si>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</si>
  <si>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</si>
  <si>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</si>
  <si>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</si>
  <si>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</si>
  <si>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</si>
  <si>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</si>
  <si>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</si>
  <si>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</si>
  <si>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</si>
  <si>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</si>
  <si>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</si>
  <si>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</si>
  <si>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</si>
  <si>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</si>
  <si>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</si>
  <si>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</si>
  <si>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</si>
  <si>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</si>
  <si>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</si>
  <si>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</si>
  <si>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</si>
  <si>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</si>
  <si>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</si>
  <si>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</si>
  <si>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</si>
  <si>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</si>
  <si>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</si>
  <si>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</si>
  <si>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</si>
  <si>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</si>
  <si>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</si>
  <si>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</si>
  <si>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</si>
  <si>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</si>
  <si>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</si>
  <si>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</si>
  <si>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</si>
  <si>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</si>
  <si>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</si>
  <si>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</si>
  <si>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</si>
  <si>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</si>
  <si>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</si>
  <si>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</si>
  <si>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</si>
  <si>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</si>
  <si>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</si>
  <si>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</si>
  <si>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</si>
  <si>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</si>
  <si>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</si>
  <si>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</si>
  <si>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</si>
  <si>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</si>
  <si>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</si>
  <si>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</si>
  <si>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</si>
  <si>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</si>
  <si>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</si>
  <si>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</si>
  <si>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</si>
  <si>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</si>
  <si>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</si>
  <si>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</si>
  <si>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</si>
  <si>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</si>
  <si>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</si>
  <si>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</si>
  <si>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</si>
  <si>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</si>
  <si>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</si>
  <si>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</si>
  <si>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</si>
  <si>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</si>
  <si>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</si>
  <si>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</si>
  <si>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</si>
  <si>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</si>
  <si>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</si>
  <si>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</si>
  <si>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</si>
  <si>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</si>
  <si>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</si>
  <si>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</si>
  <si>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</si>
  <si>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</si>
  <si>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</si>
  <si>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</si>
  <si>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</si>
  <si>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</si>
  <si>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</si>
  <si>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</si>
  <si>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</si>
  <si>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</si>
  <si>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</si>
  <si>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</si>
  <si>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</si>
  <si>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</si>
  <si>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</si>
  <si>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</si>
  <si>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</si>
  <si>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</si>
  <si>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</si>
  <si>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</si>
  <si>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</si>
  <si>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</si>
  <si>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</si>
  <si>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</si>
  <si>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</si>
  <si>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</si>
  <si>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</si>
  <si>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</si>
  <si>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</si>
  <si>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</si>
  <si>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</si>
  <si>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</si>
  <si>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</si>
  <si>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</si>
  <si>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</si>
  <si>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</si>
  <si>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</si>
  <si>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</si>
  <si>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</si>
  <si>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</si>
  <si>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</si>
  <si>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</si>
  <si>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</si>
  <si>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</si>
  <si>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</si>
  <si>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</si>
  <si>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</si>
  <si>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</si>
  <si>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</si>
  <si>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</si>
  <si>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</si>
  <si>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</si>
  <si>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</si>
  <si>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</si>
  <si>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</si>
  <si>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</si>
  <si>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</si>
  <si>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</si>
  <si>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</si>
  <si>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</si>
  <si>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</si>
  <si>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</si>
  <si>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</si>
  <si>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</si>
  <si>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</si>
  <si>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</si>
  <si>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</si>
  <si>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</si>
  <si>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</si>
  <si>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</si>
  <si>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</si>
  <si>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</si>
  <si>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</si>
  <si>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</si>
  <si>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</si>
  <si>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</si>
  <si>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</si>
  <si>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</si>
  <si>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</si>
  <si>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</si>
  <si>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</si>
  <si>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</si>
  <si>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</si>
  <si>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</si>
  <si>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</si>
  <si>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</si>
  <si>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</si>
  <si>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</si>
  <si>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</si>
  <si>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</si>
  <si>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</si>
  <si>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</si>
  <si>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</si>
  <si>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</si>
  <si>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</si>
  <si>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</si>
  <si>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</si>
  <si>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</si>
  <si>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</si>
  <si>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</si>
  <si>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</si>
  <si>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</si>
  <si>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</si>
  <si>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</si>
  <si>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</si>
  <si>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</si>
  <si>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</si>
  <si>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</si>
  <si>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</si>
  <si>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</si>
  <si>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</si>
  <si>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</si>
  <si>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</si>
  <si>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</si>
  <si>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</si>
  <si>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</si>
  <si>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</si>
  <si>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</si>
  <si>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</si>
  <si>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</si>
  <si>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</si>
  <si>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</si>
  <si>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</si>
  <si>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</si>
  <si>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</si>
  <si>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</si>
  <si>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</si>
  <si>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</si>
  <si>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</si>
  <si>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</si>
  <si>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</si>
  <si>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</si>
  <si>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</si>
  <si>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</si>
  <si>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</si>
  <si>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</si>
  <si>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</si>
  <si>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</si>
  <si>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</si>
  <si>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</si>
  <si>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</si>
  <si>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</si>
  <si>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</si>
  <si>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</si>
  <si>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</si>
  <si>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</si>
  <si>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</si>
  <si>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</si>
  <si>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</si>
  <si>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</si>
  <si>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</si>
  <si>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</si>
  <si>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</si>
  <si>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</si>
  <si>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</si>
  <si>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</si>
  <si>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</si>
  <si>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</si>
  <si>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</si>
  <si>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</si>
  <si>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</si>
  <si>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</si>
  <si>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</si>
  <si>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</si>
  <si>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</si>
  <si>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</si>
  <si>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</si>
  <si>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</si>
  <si>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</si>
  <si>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</si>
  <si>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</si>
  <si>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</si>
  <si>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</si>
  <si>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</si>
  <si>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</si>
  <si>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</si>
  <si>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</si>
  <si>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</si>
  <si>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</si>
  <si>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</si>
  <si>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</si>
  <si>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</si>
  <si>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</si>
  <si>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</si>
  <si>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</si>
  <si>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</si>
  <si>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</si>
  <si>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</si>
  <si>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</si>
  <si>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</si>
  <si>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</si>
  <si>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</si>
  <si>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</si>
  <si>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</si>
  <si>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</si>
  <si>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</si>
  <si>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</si>
  <si>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</si>
  <si>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</si>
  <si>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</si>
  <si>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</si>
  <si>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</si>
  <si>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</si>
  <si>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</si>
  <si>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</si>
  <si>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</si>
  <si>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</si>
  <si>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</si>
  <si>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</si>
  <si>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</si>
  <si>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</si>
  <si>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</si>
  <si>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</si>
  <si>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</si>
  <si>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</si>
  <si>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</si>
  <si>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</si>
  <si>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</si>
  <si>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</si>
  <si>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</si>
  <si>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</si>
  <si>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</si>
  <si>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</si>
  <si>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</si>
  <si>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</si>
  <si>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</si>
  <si>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</si>
  <si>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</si>
  <si>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</si>
  <si>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</si>
  <si>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</si>
  <si>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</si>
  <si>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</si>
  <si>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</si>
  <si>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</si>
  <si>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</si>
  <si>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</si>
  <si>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</si>
  <si>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</si>
  <si>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</si>
  <si>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</si>
  <si>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</si>
  <si>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</si>
  <si>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</si>
  <si>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</si>
  <si>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</si>
  <si>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</si>
  <si>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</si>
  <si>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</si>
  <si>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</si>
  <si>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</si>
  <si>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</si>
  <si>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</si>
  <si>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</si>
  <si>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</si>
  <si>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</si>
  <si>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</si>
  <si>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</si>
  <si>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</si>
  <si>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</si>
  <si>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</si>
  <si>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</si>
  <si>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</si>
  <si>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</si>
  <si>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</si>
  <si>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</si>
  <si>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</si>
  <si>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</si>
  <si>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</si>
  <si>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</si>
  <si>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</si>
  <si>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</si>
  <si>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</si>
  <si>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</si>
  <si>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</si>
  <si>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</si>
  <si>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</si>
  <si>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</si>
  <si>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</si>
  <si>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</si>
  <si>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</si>
  <si>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</si>
  <si>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</si>
  <si>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</si>
  <si>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</si>
  <si>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</si>
  <si>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</si>
  <si>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</si>
  <si>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</si>
  <si>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</si>
  <si>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</si>
  <si>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</si>
  <si>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</si>
  <si>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</si>
  <si>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</si>
  <si>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</si>
  <si>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</si>
  <si>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</si>
  <si>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</si>
  <si>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</si>
  <si>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</si>
  <si>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</si>
  <si>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</si>
  <si>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</si>
  <si>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</si>
  <si>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</si>
  <si>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</si>
  <si>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</si>
  <si>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</si>
  <si>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</si>
  <si>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</si>
  <si>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</si>
  <si>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</si>
  <si>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</si>
  <si>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</si>
  <si>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</si>
  <si>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</si>
  <si>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</si>
  <si>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</si>
  <si>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</si>
  <si>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</si>
  <si>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</si>
  <si>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</si>
  <si>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</si>
  <si>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</si>
  <si>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</si>
  <si>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</si>
  <si>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</si>
  <si>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</si>
  <si>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</si>
  <si>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</si>
  <si>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</si>
  <si>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</si>
  <si>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</si>
  <si>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</si>
  <si>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</si>
  <si>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</si>
  <si>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</si>
  <si>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</si>
  <si>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</si>
  <si>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</si>
  <si>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</si>
  <si>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</si>
  <si>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</si>
  <si>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</si>
  <si>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</si>
  <si>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</si>
  <si>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</si>
  <si>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</si>
  <si>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</si>
  <si>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</si>
  <si>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</si>
  <si>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</si>
  <si>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</si>
  <si>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</si>
  <si>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</si>
  <si>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</si>
  <si>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</si>
  <si>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</si>
  <si>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</si>
  <si>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</si>
  <si>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</si>
  <si>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</si>
  <si>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</si>
  <si>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</si>
  <si>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</si>
  <si>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</si>
  <si>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</si>
  <si>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</si>
  <si>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</si>
  <si>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</si>
  <si>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</si>
  <si>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</si>
  <si>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</si>
  <si>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</si>
  <si>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</si>
  <si>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</si>
  <si>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</si>
  <si>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</si>
  <si>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</si>
  <si>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</si>
  <si>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</si>
  <si>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</si>
  <si>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</si>
  <si>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</si>
  <si>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</si>
  <si>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</si>
  <si>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</si>
  <si>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</si>
  <si>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</si>
  <si>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</si>
  <si>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</si>
  <si>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</si>
  <si>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</si>
  <si>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</si>
  <si>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</si>
  <si>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</si>
  <si>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</si>
  <si>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</si>
  <si>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</si>
  <si>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</si>
  <si>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</si>
  <si>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</si>
  <si>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</si>
  <si>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</si>
  <si>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</si>
  <si>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</si>
  <si>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</si>
  <si>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</si>
  <si>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</si>
  <si>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</si>
  <si>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</si>
  <si>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</si>
  <si>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</si>
  <si>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</si>
  <si>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</si>
  <si>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</si>
  <si>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</si>
  <si>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</si>
  <si>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</si>
  <si>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</si>
  <si>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</si>
  <si>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</si>
  <si>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</si>
  <si>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</si>
  <si>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</si>
  <si>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</si>
  <si>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</si>
  <si>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</si>
  <si>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</si>
  <si>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</si>
  <si>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</si>
  <si>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</si>
  <si>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</si>
  <si>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</si>
  <si>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</si>
  <si>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</si>
  <si>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</si>
  <si>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</si>
  <si>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</si>
  <si>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</si>
  <si>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</si>
  <si>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</si>
  <si>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</si>
  <si>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</si>
  <si>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</si>
  <si>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</si>
  <si>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</si>
  <si>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</si>
  <si>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</si>
  <si>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</si>
  <si>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</si>
  <si>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</si>
  <si>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</si>
  <si>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</si>
  <si>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</si>
  <si>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</si>
  <si>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</si>
  <si>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</si>
  <si>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</si>
  <si>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</si>
  <si>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</si>
  <si>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</si>
  <si>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</si>
  <si>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</si>
  <si>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</si>
  <si>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</si>
  <si>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</si>
  <si>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</si>
  <si>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</si>
  <si>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</si>
  <si>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</si>
  <si>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</si>
  <si>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</si>
  <si>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</si>
  <si>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</si>
  <si>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</si>
  <si>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</si>
  <si>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</si>
  <si>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</si>
  <si>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</si>
  <si>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</si>
  <si>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</si>
  <si>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</si>
  <si>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</si>
  <si>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</si>
  <si>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</si>
  <si>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</si>
  <si>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</si>
  <si>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</si>
  <si>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</si>
  <si>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</si>
  <si>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</si>
  <si>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</si>
  <si>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</si>
  <si>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</si>
  <si>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</si>
  <si>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</si>
  <si>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</si>
  <si>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</si>
  <si>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</si>
  <si>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</si>
  <si>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</si>
  <si>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</si>
  <si>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</si>
  <si>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</si>
  <si>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</si>
  <si>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</si>
  <si>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</si>
  <si>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</si>
  <si>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</si>
  <si>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</si>
  <si>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</si>
  <si>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</si>
  <si>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</si>
  <si>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</si>
  <si>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</si>
  <si>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</si>
  <si>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</si>
  <si>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</si>
  <si>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</si>
  <si>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</si>
  <si>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</si>
  <si>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</si>
  <si>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</si>
  <si>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</si>
  <si>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</si>
  <si>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</si>
  <si>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</si>
  <si>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</si>
  <si>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</si>
  <si>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</si>
  <si>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</si>
  <si>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</si>
  <si>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</si>
  <si>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</si>
  <si>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</si>
  <si>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</si>
  <si>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</si>
  <si>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</si>
  <si>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</si>
  <si>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</si>
  <si>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</si>
  <si>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</si>
  <si>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</si>
  <si>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</si>
  <si>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</si>
  <si>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</si>
  <si>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</si>
  <si>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</si>
  <si>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</si>
  <si>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</si>
  <si>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</si>
  <si>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</si>
  <si>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</si>
  <si>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</si>
  <si>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</si>
  <si>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</si>
  <si>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</si>
  <si>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</si>
  <si>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</si>
  <si>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</si>
  <si>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</si>
  <si>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</si>
  <si>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</si>
  <si>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</si>
  <si>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</si>
  <si>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</si>
  <si>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</si>
  <si>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</si>
  <si>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</si>
  <si>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</si>
  <si>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</si>
  <si>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</si>
  <si>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</si>
  <si>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</si>
  <si>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</si>
  <si>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</si>
  <si>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</si>
  <si>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</si>
  <si>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</si>
  <si>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</si>
  <si>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</si>
  <si>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</si>
  <si>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</si>
  <si>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</si>
  <si>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</si>
  <si>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</si>
  <si>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</si>
  <si>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</si>
  <si>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</si>
  <si>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</si>
  <si>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</si>
  <si>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</si>
  <si>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</si>
  <si>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</si>
  <si>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</si>
  <si>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</si>
  <si>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</si>
  <si>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</si>
  <si>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</si>
  <si>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</si>
  <si>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</si>
  <si>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</si>
  <si>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</si>
  <si>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</si>
  <si>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</si>
  <si>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</si>
  <si>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</si>
  <si>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</si>
  <si>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</si>
  <si>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</si>
  <si>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</si>
  <si>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</si>
  <si>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</si>
  <si>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</si>
  <si>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</si>
  <si>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</si>
  <si>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</si>
  <si>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</si>
  <si>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</si>
  <si>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</si>
  <si>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</si>
  <si>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</si>
  <si>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</si>
  <si>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</si>
  <si>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</si>
  <si>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</si>
  <si>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</si>
  <si>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</si>
  <si>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</si>
  <si>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</si>
  <si>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</si>
  <si>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</si>
  <si>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</si>
  <si>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</si>
  <si>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</si>
  <si>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</si>
  <si>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</si>
  <si>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</si>
  <si>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</si>
  <si>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</si>
  <si>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</si>
  <si>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</si>
  <si>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</si>
  <si>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</si>
  <si>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</si>
  <si>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</si>
  <si>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</si>
  <si>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</si>
  <si>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</si>
  <si>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</si>
  <si>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</si>
  <si>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</si>
  <si>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</si>
  <si>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</si>
  <si>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</si>
  <si>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</si>
  <si>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</si>
  <si>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</si>
  <si>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</si>
  <si>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</si>
  <si>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</si>
  <si>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</si>
  <si>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</si>
  <si>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</si>
  <si>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</si>
  <si>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</si>
  <si>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</si>
  <si>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</si>
  <si>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</si>
  <si>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</si>
  <si>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</si>
  <si>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</si>
  <si>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</si>
  <si>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</si>
  <si>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</si>
  <si>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</si>
  <si>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</si>
  <si>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</si>
  <si>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</si>
  <si>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</si>
  <si>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</si>
  <si>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</si>
  <si>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</si>
  <si>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</si>
  <si>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</si>
  <si>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</si>
  <si>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</si>
  <si>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</si>
  <si>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</si>
  <si>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</si>
  <si>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</si>
  <si>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</si>
  <si>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</si>
  <si>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</si>
  <si>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</si>
  <si>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</si>
  <si>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</si>
  <si>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</si>
  <si>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</si>
  <si>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</si>
  <si>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</si>
  <si>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</si>
  <si>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</si>
  <si>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</si>
  <si>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</si>
  <si>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</si>
  <si>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</si>
  <si>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</si>
  <si>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</si>
  <si>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</si>
  <si>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</si>
  <si>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</si>
  <si>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</si>
  <si>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</si>
  <si>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</si>
  <si>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</si>
  <si>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</si>
  <si>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</si>
  <si>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</si>
  <si>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</si>
  <si>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</si>
  <si>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</si>
  <si>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</si>
  <si>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</si>
  <si>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</si>
  <si>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</si>
  <si>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</si>
  <si>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</si>
  <si>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</si>
  <si>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</si>
  <si>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</si>
  <si>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</si>
  <si>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</si>
  <si>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</si>
  <si>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</si>
  <si>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</si>
  <si>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</si>
  <si>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</si>
  <si>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</si>
  <si>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</si>
  <si>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</si>
  <si>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</si>
  <si>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</si>
  <si>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</si>
  <si>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</si>
  <si>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</si>
  <si>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</si>
  <si>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</si>
  <si>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</si>
  <si>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</si>
  <si>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</si>
  <si>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</si>
  <si>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</si>
  <si>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</si>
  <si>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</si>
  <si>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</si>
  <si>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</si>
  <si>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</si>
  <si>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</si>
  <si>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</si>
  <si>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</si>
  <si>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</si>
  <si>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</si>
  <si>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</si>
  <si>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</si>
  <si>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</si>
  <si>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</si>
  <si>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</si>
  <si>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</si>
  <si>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</si>
  <si>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</si>
  <si>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</si>
  <si>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</si>
  <si>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</si>
  <si>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</si>
  <si>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</si>
  <si>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</si>
  <si>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</si>
  <si>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</si>
  <si>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</si>
  <si>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</si>
  <si>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</si>
  <si>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</si>
  <si>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</si>
  <si>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</si>
  <si>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</si>
  <si>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</si>
  <si>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</si>
  <si>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</si>
  <si>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</si>
  <si>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</si>
  <si>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</si>
  <si>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</si>
  <si>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</si>
  <si>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</si>
  <si>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</si>
  <si>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</si>
  <si>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</si>
  <si>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</si>
  <si>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</si>
  <si>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</si>
  <si>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</si>
  <si>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</si>
  <si>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</si>
  <si>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</si>
  <si>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</si>
  <si>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</si>
  <si>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</si>
  <si>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</si>
  <si>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</si>
  <si>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</si>
  <si>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</si>
  <si>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</si>
  <si>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</si>
  <si>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</si>
  <si>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</si>
  <si>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</si>
  <si>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</si>
  <si>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</si>
  <si>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</si>
  <si>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</si>
  <si>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</si>
  <si>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</si>
  <si>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</si>
  <si>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</si>
  <si>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</si>
  <si>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</si>
  <si>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</si>
  <si>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</si>
  <si>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</si>
  <si>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</si>
  <si>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</si>
  <si>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</si>
  <si>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</si>
  <si>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</si>
  <si>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</si>
  <si>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</si>
  <si>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</si>
  <si>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</si>
  <si>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</si>
  <si>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</si>
  <si>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</si>
  <si>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</si>
  <si>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</si>
  <si>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</si>
  <si>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</si>
  <si>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</si>
  <si>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</si>
  <si>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</si>
  <si>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</si>
  <si>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</si>
  <si>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</si>
  <si>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</si>
  <si>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</si>
  <si>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</si>
  <si>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</si>
  <si>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</si>
  <si>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</si>
  <si>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</si>
  <si>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</si>
  <si>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</si>
  <si>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</si>
  <si>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</si>
  <si>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</si>
  <si>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</si>
  <si>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</si>
  <si>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</si>
  <si>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</si>
  <si>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</si>
  <si>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</si>
  <si>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</si>
  <si>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</si>
  <si>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</si>
  <si>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</si>
  <si>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</si>
  <si>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</si>
  <si>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</si>
  <si>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</si>
  <si>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</si>
  <si>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</si>
  <si>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</si>
  <si>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</si>
  <si>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</si>
  <si>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</si>
  <si>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</si>
  <si>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</si>
  <si>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</si>
  <si>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</si>
  <si>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</si>
  <si>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</si>
  <si>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</si>
  <si>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</si>
  <si>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</si>
  <si>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</si>
  <si>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</si>
  <si>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</si>
  <si>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</si>
  <si>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</si>
  <si>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</si>
  <si>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</si>
  <si>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</si>
  <si>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</si>
  <si>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</si>
  <si>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</si>
  <si>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</si>
  <si>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</si>
  <si>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</si>
  <si>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</si>
  <si>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</si>
  <si>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</si>
  <si>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</si>
  <si>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</si>
  <si>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</si>
  <si>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</si>
  <si>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</si>
  <si>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</si>
  <si>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</si>
  <si>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</si>
  <si>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</si>
  <si>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</si>
  <si>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</si>
  <si>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</si>
  <si>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</si>
  <si>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</si>
  <si>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</si>
  <si>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</si>
  <si>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</si>
  <si>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</si>
  <si>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</si>
  <si>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</si>
  <si>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</si>
  <si>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</si>
  <si>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</si>
  <si>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</si>
  <si>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</si>
  <si>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</si>
  <si>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</si>
  <si>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</si>
  <si>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</si>
  <si>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</si>
  <si>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</si>
  <si>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</si>
  <si>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</si>
  <si>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</si>
  <si>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</si>
  <si>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</si>
  <si>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</si>
  <si>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</si>
  <si>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</si>
  <si>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</si>
  <si>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</si>
  <si>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</si>
  <si>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</si>
  <si>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</si>
  <si>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</si>
  <si>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</si>
  <si>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</si>
  <si>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</si>
  <si>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</si>
  <si>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</si>
  <si>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</si>
  <si>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</si>
  <si>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</si>
  <si>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</si>
  <si>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</si>
  <si>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</si>
  <si>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</si>
  <si>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</si>
  <si>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</si>
  <si>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</si>
  <si>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</si>
  <si>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</si>
  <si>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</si>
  <si>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</si>
  <si>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</si>
  <si>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</si>
  <si>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</si>
  <si>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</si>
  <si>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</si>
  <si>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</si>
  <si>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</si>
  <si>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</si>
  <si>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</si>
  <si>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</si>
  <si>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</si>
  <si>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</si>
  <si>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</si>
  <si>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</si>
  <si>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</si>
  <si>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</si>
  <si>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</si>
  <si>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</si>
  <si>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</si>
  <si>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</si>
  <si>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</si>
  <si>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</si>
  <si>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</si>
  <si>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</si>
  <si>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</si>
  <si>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</si>
  <si>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</si>
  <si>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</si>
  <si>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</si>
  <si>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</si>
  <si>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</si>
  <si>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</si>
  <si>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</si>
  <si>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</si>
  <si>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</si>
  <si>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</si>
  <si>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</si>
  <si>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</si>
  <si>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</si>
  <si>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</si>
  <si>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</si>
  <si>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</si>
  <si>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</si>
  <si>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</si>
  <si>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</si>
  <si>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</si>
  <si>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</si>
  <si>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</si>
  <si>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</si>
  <si>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</si>
  <si>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</si>
  <si>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</si>
  <si>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</si>
  <si>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</si>
  <si>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</si>
  <si>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</si>
  <si>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</si>
  <si>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</si>
  <si>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</si>
  <si>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</si>
  <si>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</si>
  <si>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</si>
  <si>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</si>
  <si>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</si>
  <si>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</si>
  <si>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</si>
  <si>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</si>
  <si>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</si>
  <si>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</si>
  <si>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</si>
  <si>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</si>
  <si>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</si>
  <si>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</si>
  <si>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</si>
  <si>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</si>
  <si>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</si>
  <si>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</si>
  <si>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</si>
  <si>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</si>
  <si>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</si>
  <si>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</si>
  <si>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</si>
  <si>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</si>
  <si>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</si>
  <si>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</si>
  <si>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</si>
  <si>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</si>
  <si>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</si>
  <si>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</si>
  <si>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</si>
  <si>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</si>
  <si>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</si>
  <si>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</si>
  <si>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</si>
  <si>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</si>
  <si>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</si>
  <si>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</si>
  <si>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</si>
  <si>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</si>
  <si>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</si>
  <si>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</si>
  <si>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</si>
  <si>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</si>
  <si>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</si>
  <si>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</si>
  <si>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</si>
  <si>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</si>
  <si>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</si>
  <si>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</si>
  <si>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</si>
  <si>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</si>
  <si>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</si>
  <si>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</si>
  <si>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</si>
  <si>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</si>
  <si>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</si>
  <si>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</si>
  <si>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</si>
  <si>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</si>
  <si>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</si>
  <si>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</si>
  <si>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</si>
  <si>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</si>
  <si>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</si>
  <si>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</si>
  <si>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</si>
  <si>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</si>
  <si>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</si>
  <si>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</si>
  <si>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</si>
  <si>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</si>
  <si>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</si>
  <si>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</si>
  <si>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</si>
  <si>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</si>
  <si>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</si>
  <si>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</si>
  <si>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</si>
  <si>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</si>
  <si>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</si>
  <si>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</si>
  <si>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</si>
  <si>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</si>
  <si>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</si>
  <si>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</si>
  <si>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</si>
  <si>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</si>
  <si>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</si>
  <si>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</si>
  <si>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</si>
  <si>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</si>
  <si>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</si>
  <si>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</si>
  <si>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</si>
  <si>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</si>
  <si>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</si>
  <si>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</si>
  <si>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</si>
  <si>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</si>
  <si>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</si>
  <si>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</si>
  <si>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</si>
  <si>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</si>
  <si>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</si>
  <si>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</si>
  <si>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</si>
  <si>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</si>
  <si>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</si>
  <si>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</si>
  <si>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</si>
  <si>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</si>
  <si>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</si>
  <si>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</si>
  <si>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</si>
  <si>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</si>
  <si>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</si>
  <si>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</si>
  <si>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</si>
  <si>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</si>
  <si>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</si>
  <si>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</si>
  <si>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</si>
  <si>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</si>
  <si>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</si>
  <si>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</si>
  <si>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</si>
  <si>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</si>
  <si>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</si>
  <si>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</si>
  <si>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</si>
  <si>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</si>
  <si>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</si>
  <si>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</si>
  <si>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</si>
  <si>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</si>
  <si>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</si>
  <si>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</si>
  <si>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</si>
  <si>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</si>
  <si>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</si>
  <si>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</si>
  <si>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</si>
  <si>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</si>
  <si>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</si>
  <si>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</si>
  <si>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</si>
  <si>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</si>
  <si>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</si>
  <si>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</si>
  <si>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</si>
  <si>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</si>
  <si>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</si>
  <si>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</si>
  <si>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</si>
  <si>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</si>
  <si>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</si>
  <si>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</si>
  <si>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</si>
  <si>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</si>
  <si>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</si>
  <si>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</si>
  <si>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</si>
  <si>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</si>
  <si>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</si>
  <si>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</si>
  <si>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</si>
  <si>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</si>
  <si>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</si>
  <si>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</si>
  <si>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</si>
  <si>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</si>
  <si>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</si>
  <si>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</si>
  <si>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</si>
  <si>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</si>
  <si>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</si>
  <si>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</si>
  <si>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</si>
  <si>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</si>
  <si>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</si>
  <si>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</si>
  <si>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</si>
  <si>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</si>
  <si>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</si>
  <si>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</si>
  <si>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</si>
  <si>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</si>
  <si>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</si>
  <si>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</si>
  <si>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</si>
  <si>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</si>
  <si>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</si>
  <si>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</si>
  <si>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</si>
  <si>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</si>
  <si>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</si>
  <si>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</si>
  <si>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</si>
  <si>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</si>
  <si>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</si>
  <si>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</si>
  <si>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</si>
  <si>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</si>
  <si>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</si>
  <si>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</si>
  <si>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</si>
  <si>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</si>
  <si>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</si>
  <si>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</si>
  <si>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</si>
  <si>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</si>
  <si>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</si>
  <si>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</si>
  <si>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</si>
  <si>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</si>
  <si>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</si>
  <si>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</si>
  <si>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</si>
  <si>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</si>
  <si>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</si>
  <si>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</si>
  <si>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</si>
  <si>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</si>
  <si>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</si>
  <si>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</si>
  <si>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</si>
  <si>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</si>
  <si>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</si>
  <si>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</si>
  <si>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</si>
  <si>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</si>
  <si>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</si>
  <si>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</si>
  <si>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</si>
  <si>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</si>
  <si>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</si>
  <si>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</si>
  <si>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</si>
  <si>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</si>
  <si>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</si>
  <si>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</si>
  <si>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</si>
  <si>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</si>
  <si>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</si>
  <si>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</si>
  <si>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</si>
  <si>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</si>
  <si>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</si>
  <si>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</si>
  <si>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</si>
  <si>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</si>
  <si>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</si>
  <si>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</si>
  <si>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</si>
  <si>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</si>
  <si>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</si>
  <si>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</si>
  <si>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</si>
  <si>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</si>
  <si>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</si>
  <si>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</si>
  <si>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</si>
  <si>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</si>
  <si>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</si>
  <si>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</si>
  <si>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</si>
  <si>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</si>
  <si>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</si>
  <si>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</si>
  <si>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</si>
  <si>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</si>
  <si>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</si>
  <si>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</si>
  <si>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</si>
  <si>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</si>
  <si>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</si>
  <si>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</si>
  <si>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</si>
  <si>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</si>
  <si>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</si>
  <si>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</si>
  <si>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</si>
  <si>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</si>
  <si>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</si>
  <si>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</si>
  <si>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</si>
  <si>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</si>
  <si>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</si>
  <si>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</si>
  <si>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</si>
  <si>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</si>
  <si>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</si>
  <si>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</si>
  <si>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</si>
  <si>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</si>
  <si>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</si>
  <si>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</si>
  <si>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</si>
  <si>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</si>
  <si>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</si>
  <si>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</si>
  <si>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</si>
  <si>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</si>
  <si>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</si>
  <si>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</si>
  <si>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</si>
  <si>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</si>
  <si>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</si>
  <si>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</si>
  <si>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</si>
  <si>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</si>
  <si>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</si>
  <si>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</si>
  <si>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</si>
  <si>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</si>
  <si>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</si>
  <si>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</si>
  <si>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</si>
  <si>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</si>
  <si>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</si>
  <si>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</si>
  <si>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</si>
  <si>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</si>
  <si>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</si>
  <si>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</si>
  <si>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</si>
  <si>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</si>
  <si>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</si>
  <si>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</si>
  <si>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</si>
  <si>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</si>
  <si>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</si>
  <si>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</si>
  <si>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</si>
  <si>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</si>
  <si>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</si>
  <si>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</si>
  <si>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</si>
  <si>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</si>
  <si>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</si>
  <si>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</si>
  <si>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</si>
  <si>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</si>
  <si>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</si>
  <si>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</si>
  <si>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</si>
  <si>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</si>
  <si>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</si>
  <si>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</si>
  <si>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</si>
  <si>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</si>
  <si>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</si>
  <si>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</si>
  <si>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</si>
  <si>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</si>
  <si>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</si>
  <si>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</si>
  <si>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</si>
  <si>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</si>
  <si>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</si>
  <si>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</si>
  <si>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</si>
  <si>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</si>
  <si>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</si>
  <si>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</si>
  <si>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</si>
  <si>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</si>
  <si>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</si>
  <si>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</si>
  <si>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</si>
  <si>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</si>
  <si>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</si>
  <si>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</si>
  <si>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</si>
  <si>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</si>
  <si>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</si>
  <si>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</si>
  <si>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</si>
  <si>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</si>
  <si>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</si>
  <si>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</si>
  <si>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</si>
  <si>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</si>
  <si>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</si>
  <si>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</si>
  <si>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</si>
  <si>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</si>
  <si>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</si>
  <si>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</si>
  <si>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</si>
  <si>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</si>
  <si>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</si>
  <si>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</si>
  <si>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</si>
  <si>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</si>
  <si>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</si>
  <si>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</si>
  <si>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</si>
  <si>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</si>
  <si>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</si>
  <si>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</si>
  <si>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</si>
  <si>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</si>
  <si>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</si>
  <si>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</si>
  <si>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</si>
  <si>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</si>
  <si>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</si>
  <si>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</si>
  <si>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</si>
  <si>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</si>
  <si>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</si>
  <si>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</si>
  <si>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</si>
  <si>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</si>
  <si>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</si>
  <si>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</si>
  <si>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</si>
  <si>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</si>
  <si>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</si>
  <si>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</si>
  <si>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</si>
  <si>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</si>
  <si>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</si>
  <si>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</si>
  <si>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</si>
  <si>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</si>
  <si>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</si>
  <si>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</si>
  <si>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</si>
  <si>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</si>
  <si>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</si>
  <si>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</si>
  <si>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</si>
  <si>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</si>
  <si>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</si>
  <si>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</si>
  <si>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</si>
  <si>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</si>
  <si>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</si>
  <si>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</si>
  <si>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</si>
  <si>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</si>
  <si>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</si>
  <si>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</si>
  <si>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</si>
  <si>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</si>
  <si>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</si>
  <si>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</si>
  <si>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</si>
  <si>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</si>
  <si>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</si>
  <si>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</si>
  <si>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</si>
  <si>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</si>
  <si>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</si>
  <si>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</si>
  <si>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</si>
  <si>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</si>
  <si>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</si>
  <si>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</si>
  <si>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</si>
  <si>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</si>
  <si>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</si>
  <si>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</si>
  <si>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</si>
  <si>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</si>
  <si>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</si>
  <si>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</si>
  <si>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</si>
  <si>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</si>
  <si>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</si>
  <si>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</si>
  <si>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</si>
  <si>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</si>
  <si>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</si>
  <si>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</si>
  <si>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</si>
  <si>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</si>
  <si>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</si>
  <si>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</si>
  <si>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</si>
  <si>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</si>
  <si>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</si>
  <si>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</si>
  <si>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</si>
  <si>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</si>
  <si>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</si>
  <si>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</si>
  <si>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</si>
  <si>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</si>
  <si>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</si>
  <si>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</si>
  <si>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</si>
  <si>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</si>
  <si>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</si>
  <si>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</si>
  <si>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</si>
  <si>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</si>
  <si>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</si>
  <si>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</si>
  <si>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</si>
  <si>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</si>
  <si>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</si>
  <si>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</si>
  <si>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</si>
  <si>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</si>
  <si>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</si>
  <si>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</si>
  <si>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</si>
  <si>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</si>
  <si>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</si>
  <si>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</si>
  <si>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</si>
  <si>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</si>
  <si>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</si>
  <si>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</si>
  <si>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</si>
  <si>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</si>
  <si>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</si>
  <si>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</si>
  <si>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</si>
  <si>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</si>
  <si>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</si>
  <si>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</si>
  <si>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</si>
  <si>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</si>
  <si>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</si>
  <si>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</si>
  <si>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</si>
  <si>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</si>
  <si>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</si>
  <si>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</si>
  <si>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</si>
  <si>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</si>
  <si>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</si>
  <si>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</si>
  <si>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</si>
  <si>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</si>
  <si>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</si>
  <si>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</si>
  <si>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</si>
  <si>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</si>
  <si>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</si>
  <si>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</si>
  <si>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</si>
  <si>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</si>
  <si>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</si>
  <si>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</si>
  <si>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</si>
  <si>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</si>
  <si>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</si>
  <si>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</si>
  <si>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</si>
  <si>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</si>
  <si>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</si>
  <si>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</si>
  <si>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</si>
  <si>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</si>
  <si>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</si>
  <si>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</si>
  <si>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</si>
  <si>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</si>
  <si>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</si>
  <si>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</si>
  <si>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</si>
  <si>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</si>
  <si>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</si>
  <si>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</si>
  <si>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</si>
  <si>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</si>
  <si>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</si>
  <si>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</si>
  <si>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</si>
  <si>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</si>
  <si>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</si>
  <si>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</si>
  <si>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</si>
  <si>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</si>
  <si>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</si>
  <si>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</si>
  <si>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</si>
  <si>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</si>
  <si>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</si>
  <si>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</si>
  <si>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</si>
  <si>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</si>
  <si>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</si>
  <si>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</si>
  <si>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</si>
  <si>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</si>
  <si>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</si>
  <si>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</si>
  <si>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</si>
  <si>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</si>
  <si>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</si>
  <si>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</si>
  <si>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</si>
  <si>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</si>
  <si>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</si>
  <si>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</si>
  <si>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</si>
  <si>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</si>
  <si>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</si>
  <si>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</si>
  <si>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</si>
  <si>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</si>
  <si>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</si>
  <si>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</si>
  <si>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</si>
  <si>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</si>
  <si>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</si>
  <si>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</si>
  <si>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</si>
  <si>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</si>
  <si>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</si>
  <si>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</si>
  <si>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</si>
  <si>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</si>
  <si>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</si>
  <si>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</si>
  <si>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</si>
  <si>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</si>
  <si>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</si>
  <si>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</si>
  <si>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</si>
  <si>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</si>
  <si>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</si>
  <si>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</si>
  <si>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</si>
  <si>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</si>
  <si>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</si>
  <si>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</si>
  <si>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</si>
  <si>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</si>
  <si>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</si>
  <si>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</si>
  <si>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</si>
  <si>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</si>
  <si>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</si>
  <si>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</si>
  <si>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</si>
  <si>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</si>
  <si>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</si>
  <si>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</si>
  <si>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</si>
  <si>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</si>
  <si>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</si>
  <si>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</si>
  <si>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</si>
  <si>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</si>
  <si>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</si>
  <si>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</si>
  <si>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</si>
  <si>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</si>
  <si>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</si>
  <si>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</si>
  <si>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</si>
  <si>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</si>
  <si>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</si>
  <si>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</si>
  <si>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</si>
  <si>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</si>
  <si>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</si>
  <si>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</si>
  <si>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</si>
  <si>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</si>
  <si>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</si>
  <si>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</si>
  <si>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</si>
  <si>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</si>
  <si>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</si>
  <si>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</si>
  <si>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</si>
  <si>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</si>
  <si>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</si>
  <si>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</si>
  <si>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</si>
  <si>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</si>
  <si>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</si>
  <si>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</si>
  <si>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</si>
  <si>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</si>
  <si>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</si>
  <si>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</si>
  <si>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</si>
  <si>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</si>
  <si>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</si>
  <si>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</si>
  <si>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</si>
  <si>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</si>
  <si>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</si>
  <si>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</si>
  <si>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</si>
  <si>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</si>
  <si>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</si>
  <si>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</si>
  <si>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</si>
  <si>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</si>
  <si>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</si>
  <si>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</si>
  <si>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</si>
  <si>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</si>
  <si>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</si>
  <si>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</si>
  <si>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</si>
  <si>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</si>
  <si>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</si>
  <si>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</si>
  <si>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</si>
  <si>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</si>
  <si>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</si>
  <si>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</si>
  <si>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</si>
  <si>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</si>
  <si>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</si>
  <si>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</si>
  <si>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</si>
  <si>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</si>
  <si>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</si>
  <si>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</si>
  <si>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</si>
  <si>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</si>
  <si>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</si>
  <si>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</si>
  <si>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</si>
  <si>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</si>
  <si>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</si>
  <si>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</si>
  <si>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</si>
  <si>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</si>
  <si>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</si>
  <si>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</si>
  <si>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</si>
  <si>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</si>
  <si>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</si>
  <si>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</si>
  <si>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</si>
  <si>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</si>
  <si>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</si>
  <si>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</si>
  <si>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</si>
  <si>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</si>
  <si>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</si>
  <si>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</si>
  <si>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</si>
  <si>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</si>
  <si>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</si>
  <si>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</si>
  <si>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</si>
  <si>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</si>
  <si>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</si>
  <si>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</si>
  <si>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</si>
  <si>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</si>
  <si>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</si>
  <si>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</si>
  <si>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</si>
  <si>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</si>
  <si>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</si>
  <si>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</si>
  <si>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</si>
  <si>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</si>
  <si>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</si>
  <si>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</si>
  <si>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</si>
  <si>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</si>
  <si>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</si>
  <si>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</si>
  <si>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</si>
  <si>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</si>
  <si>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</si>
  <si>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</si>
  <si>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</si>
  <si>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</si>
  <si>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</si>
  <si>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</si>
  <si>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</si>
  <si>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</si>
  <si>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</si>
  <si>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</si>
  <si>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</si>
  <si>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</si>
  <si>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</si>
  <si>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</si>
  <si>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</si>
  <si>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</si>
  <si>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</si>
  <si>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</si>
  <si>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</si>
  <si>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</si>
  <si>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</si>
  <si>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</si>
  <si>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</si>
  <si>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</si>
  <si>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</si>
  <si>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</si>
  <si>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</si>
  <si>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</si>
  <si>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</si>
  <si>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</si>
  <si>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</si>
  <si>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</si>
  <si>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</si>
  <si>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</si>
  <si>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</si>
  <si>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</si>
  <si>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</si>
  <si>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</si>
  <si>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</si>
  <si>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</si>
  <si>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</si>
  <si>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</si>
  <si>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</si>
  <si>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</si>
  <si>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</si>
  <si>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</si>
  <si>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</si>
  <si>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</si>
  <si>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</si>
  <si>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</si>
  <si>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</si>
  <si>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</si>
  <si>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</si>
  <si>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</si>
  <si>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</si>
  <si>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</si>
  <si>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</si>
  <si>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</si>
  <si>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</si>
  <si>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</si>
  <si>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</si>
  <si>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</si>
  <si>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</si>
  <si>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</si>
  <si>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</si>
  <si>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</si>
  <si>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</si>
  <si>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</si>
  <si>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</si>
  <si>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</si>
  <si>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</si>
  <si>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</si>
  <si>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</si>
  <si>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</si>
  <si>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</si>
  <si>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</si>
  <si>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</si>
  <si>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</si>
  <si>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</si>
  <si>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</si>
  <si>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</si>
  <si>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</si>
  <si>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</si>
  <si>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</si>
  <si>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</si>
  <si>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</si>
  <si>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</si>
  <si>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</si>
  <si>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</si>
  <si>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</si>
  <si>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</si>
  <si>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</si>
  <si>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</si>
  <si>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</si>
  <si>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</si>
  <si>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</si>
  <si>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</si>
  <si>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</si>
  <si>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</si>
  <si>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</si>
  <si>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</si>
  <si>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</si>
  <si>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</si>
  <si>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</si>
  <si>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</si>
  <si>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</si>
  <si>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</si>
  <si>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</si>
  <si>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</si>
  <si>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</si>
  <si>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</si>
  <si>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</si>
  <si>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</si>
  <si>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</si>
  <si>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</si>
  <si>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</si>
  <si>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</si>
  <si>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</si>
  <si>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</si>
  <si>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</si>
  <si>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</si>
  <si>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</si>
  <si>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</si>
  <si>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</si>
  <si>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</si>
  <si>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</si>
  <si>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</si>
  <si>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</si>
  <si>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</si>
  <si>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</si>
  <si>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</si>
  <si>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</si>
  <si>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</si>
  <si>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</si>
  <si>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</si>
  <si>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</si>
  <si>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</si>
  <si>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</si>
  <si>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</si>
  <si>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</si>
  <si>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</si>
  <si>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</si>
  <si>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</si>
  <si>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</si>
  <si>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</si>
  <si>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</si>
  <si>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</si>
  <si>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</si>
  <si>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</si>
  <si>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</si>
  <si>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</si>
  <si>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</si>
  <si>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</si>
  <si>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</si>
  <si>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</si>
  <si>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</si>
  <si>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</si>
  <si>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</si>
  <si>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</si>
  <si>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</si>
  <si>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</si>
  <si>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</si>
  <si>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</si>
  <si>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</si>
  <si>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</si>
  <si>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</si>
  <si>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</si>
  <si>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</si>
  <si>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</si>
  <si>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</si>
  <si>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</si>
  <si>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</si>
  <si>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</si>
  <si>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</si>
  <si>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</si>
  <si>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</si>
  <si>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</si>
  <si>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</si>
  <si>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</si>
  <si>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</si>
  <si>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</si>
  <si>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</si>
  <si>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</si>
  <si>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</si>
  <si>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</si>
  <si>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</si>
  <si>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</si>
  <si>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</si>
  <si>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</si>
  <si>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</si>
  <si>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</si>
  <si>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</si>
  <si>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</si>
  <si>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</si>
  <si>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</si>
  <si>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</si>
  <si>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</si>
  <si>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</si>
  <si>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</si>
  <si>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</si>
  <si>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</si>
  <si>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</si>
  <si>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</si>
  <si>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</si>
  <si>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</si>
  <si>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</si>
  <si>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</si>
  <si>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</si>
  <si>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</si>
  <si>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</si>
  <si>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</si>
  <si>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</si>
  <si>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</si>
  <si>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</si>
  <si>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</si>
  <si>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</si>
  <si>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</si>
  <si>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</si>
  <si>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</si>
  <si>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</si>
  <si>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</si>
  <si>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</si>
  <si>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</si>
  <si>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</si>
  <si>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</si>
  <si>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</si>
  <si>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</si>
  <si>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</si>
  <si>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</si>
  <si>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</si>
  <si>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</si>
  <si>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</si>
  <si>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</si>
  <si>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</si>
  <si>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</si>
  <si>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</si>
  <si>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</si>
  <si>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</si>
  <si>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</si>
  <si>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</si>
  <si>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</si>
  <si>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</si>
  <si>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</si>
  <si>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</si>
  <si>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</si>
  <si>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</si>
  <si>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</si>
  <si>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</si>
  <si>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</si>
  <si>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</si>
  <si>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</si>
  <si>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</si>
  <si>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</si>
  <si>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</si>
  <si>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</si>
  <si>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</si>
  <si>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</si>
  <si>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</si>
  <si>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</si>
  <si>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</si>
  <si>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</si>
  <si>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</si>
  <si>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</si>
  <si>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</si>
  <si>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</si>
  <si>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</si>
  <si>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</si>
  <si>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</si>
  <si>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</si>
  <si>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</si>
  <si>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</si>
  <si>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</si>
  <si>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</si>
  <si>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</si>
  <si>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</si>
  <si>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</si>
  <si>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</si>
  <si>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</si>
  <si>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</si>
  <si>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</si>
  <si>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</si>
  <si>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</si>
  <si>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</si>
  <si>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</si>
  <si>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</si>
  <si>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</si>
  <si>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</si>
  <si>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</si>
  <si>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</si>
  <si>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</si>
  <si>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</si>
  <si>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</si>
  <si>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</si>
  <si>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</si>
  <si>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</si>
  <si>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</si>
  <si>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</si>
  <si>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</si>
  <si>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</si>
  <si>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</si>
  <si>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</si>
  <si>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</si>
  <si>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</si>
  <si>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</si>
  <si>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</si>
  <si>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</si>
  <si>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</si>
  <si>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</si>
  <si>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</si>
  <si>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</si>
  <si>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</si>
  <si>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</si>
  <si>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</si>
  <si>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</si>
  <si>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</si>
  <si>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</si>
  <si>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</si>
  <si>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</si>
  <si>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</si>
  <si>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</si>
  <si>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</si>
  <si>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</si>
  <si>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</si>
  <si>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</si>
  <si>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</si>
  <si>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</si>
  <si>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</si>
  <si>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</si>
  <si>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</si>
  <si>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</si>
  <si>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</si>
  <si>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</si>
  <si>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</si>
  <si>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</si>
  <si>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</si>
  <si>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</si>
  <si>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</si>
  <si>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</si>
  <si>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</si>
  <si>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</si>
  <si>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</si>
  <si>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</si>
  <si>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</si>
  <si>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</si>
  <si>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</si>
  <si>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</si>
  <si>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</si>
  <si>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</si>
  <si>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</si>
  <si>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</si>
  <si>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</si>
  <si>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</si>
  <si>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</si>
  <si>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</si>
  <si>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</si>
  <si>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</si>
  <si>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</si>
  <si>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</si>
  <si>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</si>
  <si>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</si>
  <si>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</si>
  <si>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</si>
  <si>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</si>
  <si>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</si>
  <si>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</si>
  <si>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</si>
  <si>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</si>
  <si>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</si>
  <si>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</si>
  <si>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</si>
  <si>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</si>
  <si>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</si>
  <si>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</si>
  <si>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</si>
  <si>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</si>
  <si>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</si>
  <si>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</si>
  <si>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</si>
  <si>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</si>
  <si>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</si>
  <si>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</si>
  <si>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</si>
  <si>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</si>
  <si>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</si>
  <si>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</si>
  <si>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</si>
  <si>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</si>
  <si>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</si>
  <si>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</si>
  <si>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</si>
  <si>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</si>
  <si>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</si>
  <si>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</si>
  <si>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</si>
  <si>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</si>
  <si>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</si>
  <si>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</si>
  <si>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</si>
  <si>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</si>
  <si>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</si>
  <si>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</si>
  <si>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</si>
  <si>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</si>
  <si>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</si>
  <si>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</si>
  <si>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</si>
  <si>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</si>
  <si>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</si>
  <si>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</si>
  <si>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</si>
  <si>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</si>
  <si>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</si>
  <si>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</si>
  <si>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</si>
  <si>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</si>
  <si>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</si>
  <si>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</si>
  <si>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</si>
  <si>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</si>
  <si>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</si>
  <si>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</si>
  <si>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</si>
  <si>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</si>
  <si>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</si>
  <si>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</si>
  <si>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</si>
  <si>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</si>
  <si>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</si>
  <si>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</si>
  <si>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</si>
  <si>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</si>
  <si>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</si>
  <si>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</si>
  <si>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</si>
  <si>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</si>
  <si>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</si>
  <si>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</si>
  <si>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</si>
  <si>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</si>
  <si>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</si>
  <si>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</si>
  <si>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</si>
  <si>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</si>
  <si>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</si>
  <si>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</si>
  <si>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</si>
  <si>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</si>
  <si>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</si>
  <si>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</si>
  <si>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</si>
  <si>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</si>
  <si>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</si>
  <si>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</si>
  <si>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</si>
  <si>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</si>
  <si>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</si>
  <si>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</si>
  <si>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</si>
  <si>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</si>
  <si>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</si>
  <si>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</si>
  <si>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</si>
  <si>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</si>
  <si>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</si>
  <si>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</si>
  <si>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</si>
  <si>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</si>
  <si>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</si>
  <si>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</si>
  <si>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</si>
  <si>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</si>
  <si>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</si>
  <si>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</si>
  <si>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</si>
  <si>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</si>
  <si>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</si>
  <si>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</si>
  <si>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</si>
  <si>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</si>
  <si>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</si>
  <si>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</si>
  <si>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</si>
  <si>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</si>
  <si>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</si>
  <si>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</si>
  <si>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</si>
  <si>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</si>
  <si>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</si>
  <si>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</si>
  <si>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</si>
  <si>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</si>
  <si>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</si>
  <si>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</si>
  <si>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</si>
  <si>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</si>
  <si>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</si>
  <si>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</si>
  <si>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</si>
  <si>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</si>
  <si>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</si>
  <si>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</si>
  <si>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</si>
  <si>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</si>
  <si>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</si>
  <si>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</si>
  <si>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</si>
  <si>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</si>
  <si>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</si>
  <si>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</si>
  <si>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</si>
  <si>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</si>
  <si>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</si>
  <si>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</si>
  <si>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</si>
  <si>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</si>
  <si>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</si>
  <si>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</si>
  <si>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</si>
  <si>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</si>
  <si>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</si>
  <si>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</si>
  <si>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</si>
  <si>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</si>
  <si>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</si>
  <si>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</si>
  <si>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</si>
  <si>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</si>
  <si>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</si>
  <si>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</si>
  <si>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</si>
  <si>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</si>
  <si>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</si>
  <si>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</si>
  <si>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</si>
  <si>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</si>
  <si>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</si>
  <si>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</si>
  <si>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</si>
  <si>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</si>
  <si>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</si>
  <si>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</si>
  <si>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</si>
  <si>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</si>
  <si>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</si>
  <si>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</si>
  <si>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</si>
  <si>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</si>
  <si>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</si>
  <si>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</si>
  <si>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</si>
  <si>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</si>
  <si>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</si>
  <si>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</si>
  <si>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</si>
  <si>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</si>
  <si>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</si>
  <si>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</si>
  <si>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</si>
  <si>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</si>
  <si>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</si>
  <si>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</si>
  <si>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</si>
  <si>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</si>
  <si>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</si>
  <si>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</si>
  <si>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</si>
  <si>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</si>
  <si>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</si>
  <si>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</si>
  <si>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</si>
  <si>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</si>
  <si>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</si>
  <si>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</si>
  <si>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</si>
  <si>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</si>
  <si>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</si>
  <si>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</si>
  <si>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</si>
  <si>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</si>
  <si>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</si>
  <si>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</si>
  <si>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</si>
  <si>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</si>
  <si>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</si>
  <si>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</si>
  <si>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</si>
  <si>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</si>
  <si>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</si>
  <si>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</si>
  <si>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</si>
  <si>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</si>
  <si>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</si>
  <si>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</si>
  <si>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</si>
  <si>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</si>
  <si>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</si>
  <si>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</si>
  <si>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</si>
  <si>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</si>
  <si>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</si>
  <si>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</si>
  <si>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</si>
  <si>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</si>
  <si>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</si>
  <si>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</si>
  <si>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</si>
  <si>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</si>
  <si>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</si>
  <si>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</si>
  <si>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</si>
  <si>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</si>
  <si>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</si>
  <si>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</si>
  <si>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</si>
  <si>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</si>
  <si>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</si>
  <si>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</si>
  <si>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</si>
  <si>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</si>
  <si>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</si>
  <si>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</si>
  <si>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</si>
  <si>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</si>
  <si>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</si>
  <si>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</si>
  <si>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</si>
  <si>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</si>
  <si>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</si>
  <si>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</si>
  <si>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</si>
  <si>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</si>
  <si>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</si>
  <si>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</si>
  <si>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</si>
  <si>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</si>
  <si>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</si>
  <si>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</si>
  <si>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</si>
  <si>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</si>
  <si>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</si>
  <si>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</si>
  <si>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</si>
  <si>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</si>
  <si>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</si>
  <si>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</si>
  <si>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</si>
  <si>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</si>
  <si>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</si>
  <si>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</si>
  <si>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</si>
  <si>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</si>
  <si>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</si>
  <si>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</si>
  <si>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</si>
  <si>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</si>
  <si>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</si>
  <si>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</si>
  <si>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</si>
  <si>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</si>
  <si>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</si>
  <si>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</si>
  <si>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</si>
  <si>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</si>
  <si>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</si>
  <si>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</si>
  <si>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</si>
  <si>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</si>
  <si>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</si>
  <si>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</si>
  <si>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</si>
  <si>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</si>
  <si>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</si>
  <si>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</si>
  <si>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</si>
  <si>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</si>
  <si>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</si>
  <si>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</si>
  <si>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</si>
  <si>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</si>
  <si>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</si>
  <si>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</si>
  <si>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</si>
  <si>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</si>
  <si>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</si>
  <si>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</si>
  <si>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</si>
  <si>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</si>
  <si>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</si>
  <si>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</si>
  <si>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</si>
  <si>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</si>
  <si>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</si>
  <si>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</si>
  <si>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</si>
  <si>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</si>
  <si>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</si>
  <si>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</si>
  <si>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</si>
  <si>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</si>
  <si>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</si>
  <si>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</si>
  <si>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</si>
  <si>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</si>
  <si>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</si>
  <si>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</si>
  <si>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</si>
  <si>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</si>
  <si>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</si>
  <si>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</si>
  <si>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</si>
  <si>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</si>
  <si>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</si>
  <si>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</si>
  <si>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</si>
  <si>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</si>
  <si>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</si>
  <si>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</si>
  <si>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</si>
  <si>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</si>
  <si>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</si>
  <si>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</si>
  <si>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</si>
  <si>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</si>
  <si>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</si>
  <si>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</si>
  <si>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</si>
  <si>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</si>
  <si>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</si>
  <si>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</si>
  <si>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</si>
  <si>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</si>
  <si>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</si>
  <si>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</si>
  <si>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</si>
  <si>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</si>
  <si>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</si>
  <si>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</si>
  <si>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</si>
  <si>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</si>
  <si>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</si>
  <si>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</si>
  <si>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</si>
  <si>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</si>
  <si>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</si>
  <si>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</si>
  <si>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</si>
  <si>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</si>
  <si>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</si>
  <si>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</si>
  <si>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</si>
  <si>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</si>
  <si>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</si>
  <si>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</si>
  <si>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</si>
  <si>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</si>
  <si>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</si>
  <si>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</si>
  <si>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</si>
  <si>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</si>
  <si>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</si>
  <si>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</si>
  <si>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</si>
  <si>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</si>
  <si>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</si>
  <si>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</si>
  <si>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</si>
  <si>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</si>
  <si>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</si>
  <si>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</si>
  <si>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</si>
  <si>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</si>
  <si>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</si>
  <si>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</si>
  <si>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</si>
  <si>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</si>
  <si>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</si>
  <si>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</si>
  <si>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</si>
  <si>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</si>
  <si>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</si>
  <si>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</si>
  <si>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</si>
  <si>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</si>
  <si>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</si>
  <si>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</si>
  <si>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</si>
  <si>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</si>
  <si>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</si>
  <si>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</si>
  <si>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</si>
  <si>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</si>
  <si>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</si>
  <si>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</si>
  <si>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</si>
  <si>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</si>
  <si>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</si>
  <si>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</si>
  <si>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</si>
  <si>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</si>
  <si>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</si>
  <si>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</si>
  <si>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</si>
  <si>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</si>
  <si>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</si>
  <si>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</si>
  <si>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</si>
  <si>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</si>
  <si>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</si>
  <si>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</si>
  <si>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</si>
  <si>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</si>
  <si>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</si>
  <si>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</si>
  <si>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</si>
  <si>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</si>
  <si>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</si>
  <si>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</si>
  <si>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</si>
  <si>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</si>
  <si>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</si>
  <si>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</si>
  <si>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</si>
  <si>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</si>
  <si>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</si>
  <si>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</si>
  <si>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</si>
  <si>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</si>
  <si>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</si>
  <si>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</si>
  <si>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</si>
  <si>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</si>
  <si>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</si>
  <si>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</si>
  <si>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</si>
  <si>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</si>
  <si>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</si>
  <si>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</si>
  <si>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</si>
  <si>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</si>
  <si>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</si>
  <si>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</si>
  <si>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</si>
  <si>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</si>
  <si>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</si>
  <si>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</si>
  <si>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</si>
  <si>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</si>
  <si>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</si>
  <si>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</si>
  <si>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</si>
  <si>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</si>
  <si>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</si>
  <si>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</si>
  <si>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</si>
  <si>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</si>
  <si>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</si>
  <si>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</si>
  <si>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</si>
  <si>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</si>
  <si>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</si>
  <si>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</si>
  <si>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</si>
  <si>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</si>
  <si>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</si>
  <si>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</si>
  <si>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</si>
  <si>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</si>
  <si>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</si>
  <si>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</si>
  <si>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</si>
  <si>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</si>
  <si>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</si>
  <si>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</si>
  <si>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</si>
  <si>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</si>
  <si>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</si>
  <si>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</si>
  <si>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</si>
  <si>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</si>
  <si>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</si>
  <si>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</si>
  <si>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</si>
  <si>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</si>
  <si>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</si>
  <si>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</si>
  <si>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</si>
  <si>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</si>
  <si>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</si>
  <si>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</si>
  <si>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</si>
  <si>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</si>
  <si>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</si>
  <si>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</si>
  <si>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</si>
  <si>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</si>
  <si>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</si>
  <si>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</si>
  <si>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</si>
  <si>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</si>
  <si>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</si>
  <si>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</si>
  <si>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</si>
  <si>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</si>
  <si>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</si>
  <si>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</si>
  <si>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</si>
  <si>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</si>
  <si>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</si>
  <si>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</si>
  <si>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</si>
  <si>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</si>
  <si>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</si>
  <si>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</si>
  <si>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</si>
  <si>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</si>
  <si>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</si>
  <si>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</si>
  <si>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</si>
  <si>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</si>
  <si>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</si>
  <si>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</si>
  <si>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</si>
  <si>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</si>
  <si>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</si>
  <si>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</si>
  <si>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</si>
  <si>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</si>
  <si>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</si>
  <si>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</si>
  <si>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</si>
  <si>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</si>
  <si>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</si>
  <si>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</si>
  <si>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</si>
  <si>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</si>
  <si>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</si>
  <si>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</si>
  <si>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</si>
  <si>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</si>
  <si>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</si>
  <si>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</si>
  <si>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</si>
  <si>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</si>
  <si>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</si>
  <si>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</si>
  <si>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</si>
  <si>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</si>
  <si>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</si>
  <si>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</si>
  <si>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</si>
  <si>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</si>
  <si>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</si>
  <si>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</si>
  <si>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</si>
  <si>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</si>
  <si>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</si>
  <si>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</si>
  <si>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</si>
  <si>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</si>
  <si>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</si>
  <si>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</si>
  <si>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</si>
  <si>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</si>
  <si>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</si>
  <si>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</si>
  <si>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</si>
  <si>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</si>
  <si>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</si>
  <si>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</si>
  <si>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</si>
  <si>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</si>
  <si>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</si>
  <si>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</si>
  <si>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</si>
  <si>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</si>
  <si>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</si>
  <si>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</si>
  <si>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</si>
  <si>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</si>
  <si>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</si>
  <si>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</si>
  <si>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</si>
  <si>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</si>
  <si>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</si>
  <si>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</si>
  <si>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</si>
  <si>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</si>
  <si>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</si>
  <si>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</si>
  <si>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</si>
  <si>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</si>
  <si>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</si>
  <si>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</si>
  <si>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</si>
  <si>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</si>
  <si>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</si>
  <si>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</si>
  <si>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</si>
  <si>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</si>
  <si>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</si>
  <si>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</si>
  <si>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</si>
  <si>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</si>
  <si>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</si>
  <si>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</si>
  <si>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</si>
  <si>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</si>
  <si>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</si>
  <si>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</si>
  <si>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</si>
  <si>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</si>
  <si>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</si>
  <si>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</si>
  <si>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</si>
  <si>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</si>
  <si>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</si>
  <si>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</si>
  <si>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</si>
  <si>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</si>
  <si>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</si>
  <si>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</si>
  <si>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</si>
  <si>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</si>
  <si>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</si>
  <si>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</si>
  <si>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</si>
  <si>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</si>
  <si>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</si>
  <si>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</si>
  <si>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</si>
  <si>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</si>
  <si>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</si>
  <si>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</si>
  <si>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</si>
  <si>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</si>
  <si>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</si>
  <si>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</si>
  <si>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</si>
  <si>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</si>
  <si>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</si>
  <si>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</si>
  <si>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</si>
  <si>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</si>
  <si>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</si>
  <si>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</si>
  <si>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</si>
  <si>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</si>
  <si>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</si>
  <si>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</si>
  <si>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</si>
  <si>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</si>
  <si>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</si>
  <si>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</si>
  <si>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</si>
  <si>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</si>
  <si>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</si>
  <si>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</si>
  <si>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</si>
  <si>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</si>
  <si>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</si>
  <si>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</si>
  <si>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</si>
  <si>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</si>
  <si>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</si>
  <si>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</si>
  <si>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</si>
  <si>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</si>
  <si>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</si>
  <si>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</si>
  <si>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</si>
  <si>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</si>
  <si>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</si>
  <si>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</si>
  <si>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</si>
  <si>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</si>
  <si>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</si>
  <si>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</si>
  <si>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</si>
  <si>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</si>
  <si>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</si>
  <si>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</si>
  <si>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</si>
  <si>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</si>
  <si>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</si>
  <si>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</si>
  <si>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</si>
  <si>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</si>
  <si>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</si>
  <si>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</si>
  <si>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</si>
  <si>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</si>
  <si>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</si>
  <si>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</si>
  <si>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</si>
  <si>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</si>
  <si>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</si>
  <si>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</si>
  <si>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</si>
  <si>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</si>
  <si>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</si>
  <si>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</si>
  <si>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</si>
  <si>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</si>
  <si>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</si>
  <si>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</si>
  <si>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</si>
  <si>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</si>
  <si>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</si>
  <si>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</si>
  <si>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</si>
  <si>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</si>
  <si>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</si>
  <si>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</si>
  <si>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</si>
  <si>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</si>
  <si>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</si>
  <si>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</si>
  <si>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</si>
  <si>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</si>
  <si>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</si>
  <si>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</si>
  <si>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</si>
  <si>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</si>
  <si>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</si>
  <si>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</si>
  <si>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</si>
  <si>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</si>
  <si>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</si>
  <si>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</si>
  <si>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</si>
  <si>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</si>
  <si>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</si>
  <si>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</si>
  <si>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</si>
  <si>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</si>
  <si>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</si>
  <si>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</si>
  <si>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</si>
  <si>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</si>
  <si>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</si>
  <si>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</si>
  <si>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</si>
  <si>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</si>
  <si>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</si>
  <si>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</si>
  <si>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</si>
  <si>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</si>
  <si>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</si>
  <si>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</si>
  <si>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</si>
  <si>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</si>
  <si>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</si>
  <si>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</si>
  <si>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</si>
  <si>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</si>
  <si>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</si>
  <si>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</si>
  <si>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</si>
  <si>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</si>
  <si>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</si>
  <si>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</si>
  <si>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</si>
  <si>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</si>
  <si>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</si>
  <si>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</si>
  <si>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</si>
  <si>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</si>
  <si>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</si>
  <si>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</si>
  <si>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</si>
  <si>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</si>
  <si>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</si>
  <si>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</si>
  <si>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</si>
  <si>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</si>
  <si>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</si>
  <si>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</si>
  <si>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</si>
  <si>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</si>
  <si>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</si>
  <si>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</si>
  <si>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</si>
  <si>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</si>
  <si>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</si>
  <si>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</si>
  <si>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</si>
  <si>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</si>
  <si>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</si>
  <si>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</si>
  <si>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</si>
  <si>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</si>
  <si>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</si>
  <si>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</si>
  <si>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</si>
  <si>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</si>
  <si>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</si>
  <si>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</si>
  <si>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</si>
  <si>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</si>
  <si>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</si>
  <si>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</si>
  <si>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</si>
  <si>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</si>
  <si>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</si>
  <si>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</si>
  <si>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</si>
  <si>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</si>
  <si>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</si>
  <si>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</si>
  <si>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</si>
  <si>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</si>
  <si>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</si>
  <si>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</si>
  <si>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</si>
  <si>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</si>
  <si>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</si>
  <si>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</si>
  <si>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</si>
  <si>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</si>
  <si>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</si>
  <si>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</si>
  <si>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</si>
  <si>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</si>
  <si>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</si>
  <si>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</si>
  <si>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</si>
  <si>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</si>
  <si>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</si>
  <si>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</si>
  <si>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</si>
  <si>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</si>
  <si>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</si>
  <si>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</si>
  <si>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</si>
  <si>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</si>
  <si>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</si>
  <si>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</si>
  <si>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</si>
  <si>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</si>
  <si>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</si>
  <si>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</si>
  <si>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</si>
  <si>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</si>
  <si>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</si>
  <si>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</si>
  <si>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</si>
  <si>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</si>
  <si>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</si>
  <si>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</si>
  <si>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</si>
  <si>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</si>
  <si>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</si>
  <si>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</si>
  <si>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</si>
  <si>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</si>
  <si>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</si>
  <si>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</si>
  <si>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</si>
  <si>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</si>
  <si>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</si>
  <si>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</si>
  <si>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</si>
  <si>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</si>
  <si>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</si>
  <si>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</si>
  <si>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</si>
  <si>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</si>
  <si>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</si>
  <si>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</si>
  <si>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</si>
  <si>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</si>
  <si>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</si>
  <si>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</si>
  <si>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</si>
  <si>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</si>
  <si>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</si>
  <si>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</si>
  <si>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</si>
  <si>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</si>
  <si>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</si>
  <si>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</si>
  <si>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</si>
  <si>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</si>
  <si>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</si>
  <si>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</si>
  <si>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</si>
  <si>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</si>
  <si>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</si>
  <si>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</si>
  <si>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</si>
  <si>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</si>
  <si>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</si>
  <si>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</si>
  <si>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</si>
  <si>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</si>
  <si>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</si>
  <si>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</si>
  <si>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</si>
  <si>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</si>
  <si>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</si>
  <si>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</si>
  <si>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</si>
  <si>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</si>
  <si>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</si>
  <si>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</si>
  <si>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</si>
  <si>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</si>
  <si>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</si>
  <si>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</si>
  <si>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</si>
  <si>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</si>
  <si>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</si>
  <si>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</si>
  <si>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</si>
  <si>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</si>
  <si>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</si>
  <si>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</si>
  <si>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</si>
  <si>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</si>
  <si>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</si>
  <si>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</si>
  <si>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</si>
  <si>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</si>
  <si>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</si>
  <si>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</si>
  <si>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</si>
  <si>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</si>
  <si>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</si>
  <si>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</si>
  <si>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</si>
  <si>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</si>
  <si>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</si>
  <si>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</si>
  <si>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</si>
  <si>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</si>
  <si>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</si>
  <si>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</si>
  <si>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</si>
  <si>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</si>
  <si>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</si>
  <si>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</si>
  <si>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</si>
  <si>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</si>
  <si>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</si>
  <si>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</si>
  <si>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</si>
  <si>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</si>
  <si>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</si>
  <si>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</si>
  <si>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</si>
  <si>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</si>
  <si>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</si>
  <si>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</si>
  <si>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</si>
  <si>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</si>
  <si>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</si>
  <si>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</si>
  <si>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</si>
  <si>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</si>
  <si>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</si>
  <si>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</si>
  <si>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</si>
  <si>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</si>
  <si>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</si>
  <si>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</si>
  <si>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</si>
  <si>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</si>
  <si>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</si>
  <si>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</si>
  <si>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</si>
  <si>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</si>
  <si>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</si>
  <si>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</si>
  <si>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</si>
  <si>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</si>
  <si>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</si>
  <si>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</si>
  <si>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</si>
  <si>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</si>
  <si>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</si>
  <si>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</si>
  <si>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</si>
  <si>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</si>
  <si>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</si>
  <si>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</si>
  <si>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</si>
  <si>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</si>
  <si>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</si>
  <si>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</si>
  <si>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</si>
  <si>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</si>
  <si>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</si>
  <si>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</si>
  <si>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</si>
  <si>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</si>
  <si>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</si>
  <si>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</si>
  <si>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</si>
  <si>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</si>
  <si>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</si>
  <si>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</si>
  <si>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</si>
  <si>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</si>
  <si>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</si>
  <si>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</si>
  <si>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</si>
  <si>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</si>
  <si>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</si>
  <si>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</si>
  <si>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</si>
  <si>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</si>
  <si>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</si>
  <si>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</si>
  <si>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</si>
  <si>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</si>
  <si>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</si>
  <si>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</si>
  <si>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</si>
  <si>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</si>
  <si>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</si>
  <si>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</si>
  <si>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</si>
  <si>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</si>
  <si>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</si>
  <si>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</si>
  <si>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</si>
  <si>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</si>
  <si>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</si>
  <si>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</si>
  <si>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</si>
  <si>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</si>
  <si>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</si>
  <si>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</si>
  <si>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</si>
  <si>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</si>
  <si>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</si>
  <si>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</si>
  <si>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</si>
  <si>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</si>
  <si>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</si>
  <si>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</si>
  <si>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</si>
  <si>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</si>
  <si>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</si>
  <si>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</si>
  <si>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</si>
  <si>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</si>
  <si>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</si>
  <si>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</si>
  <si>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</si>
  <si>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</si>
  <si>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</si>
  <si>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</si>
  <si>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</si>
  <si>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</si>
  <si>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</si>
  <si>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</si>
  <si>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</si>
  <si>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</si>
  <si>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</si>
  <si>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</si>
  <si>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</si>
  <si>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</si>
  <si>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</si>
  <si>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</si>
  <si>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</si>
  <si>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</si>
  <si>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</si>
  <si>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</si>
  <si>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</si>
  <si>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</si>
  <si>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</si>
  <si>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</si>
  <si>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</si>
  <si>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</si>
  <si>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</si>
  <si>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</si>
  <si>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</si>
  <si>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</si>
  <si>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</si>
  <si>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</si>
  <si>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</si>
  <si>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</si>
  <si>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</si>
  <si>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</si>
  <si>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</si>
  <si>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</si>
  <si>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</si>
  <si>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</si>
  <si>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</si>
  <si>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</si>
  <si>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</si>
  <si>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</si>
  <si>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</si>
  <si>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</si>
  <si>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</si>
  <si>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</si>
  <si>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</si>
  <si>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</si>
  <si>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</si>
  <si>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</si>
  <si>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</si>
  <si>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</si>
  <si>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</si>
  <si>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</si>
  <si>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</si>
  <si>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</si>
  <si>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</si>
  <si>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</si>
  <si>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</si>
  <si>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</si>
  <si>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</si>
  <si>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</si>
  <si>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</si>
  <si>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</si>
  <si>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</si>
  <si>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</si>
  <si>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</si>
  <si>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</si>
  <si>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</si>
  <si>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</si>
  <si>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</si>
  <si>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</si>
  <si>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</si>
  <si>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</si>
  <si>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</si>
  <si>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</si>
  <si>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</si>
  <si>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</si>
  <si>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</si>
  <si>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</si>
  <si>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</si>
  <si>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</si>
  <si>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</si>
  <si>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</si>
  <si>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</si>
  <si>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</si>
  <si>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</si>
  <si>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</si>
  <si>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</si>
  <si>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</si>
  <si>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</si>
  <si>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</si>
  <si>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</si>
  <si>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</si>
  <si>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</si>
  <si>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</si>
  <si>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</si>
  <si>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</si>
  <si>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</si>
  <si>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</si>
  <si>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</si>
  <si>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</si>
  <si>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</si>
  <si>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</si>
  <si>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</si>
  <si>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</si>
  <si>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</si>
  <si>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</si>
  <si>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</si>
  <si>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</si>
  <si>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</si>
  <si>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</si>
  <si>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</si>
  <si>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</si>
  <si>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</si>
  <si>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</si>
  <si>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</si>
  <si>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</si>
  <si>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</si>
  <si>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</si>
  <si>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</si>
  <si>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</si>
  <si>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</si>
  <si>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</si>
  <si>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</si>
  <si>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</si>
  <si>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</si>
  <si>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</si>
  <si>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</si>
  <si>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</si>
  <si>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</si>
  <si>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</si>
  <si>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</si>
  <si>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</si>
  <si>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</si>
  <si>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</si>
  <si>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</si>
  <si>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</si>
  <si>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</si>
  <si>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</si>
  <si>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</si>
  <si>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</si>
  <si>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</si>
  <si>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</si>
  <si>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</si>
  <si>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</si>
  <si>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</si>
  <si>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</si>
  <si>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</si>
  <si>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</si>
  <si>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</si>
  <si>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</si>
  <si>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</si>
  <si>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</si>
  <si>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</si>
  <si>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</si>
  <si>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</si>
  <si>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</si>
  <si>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</si>
  <si>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</si>
  <si>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</si>
  <si>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</si>
  <si>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</si>
  <si>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</si>
  <si>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</si>
  <si>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</si>
  <si>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</si>
  <si>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</si>
  <si>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</si>
  <si>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</si>
  <si>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</si>
  <si>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</si>
  <si>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</si>
  <si>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</si>
  <si>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</si>
  <si>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</si>
  <si>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</si>
  <si>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</si>
  <si>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</si>
  <si>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</si>
  <si>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</si>
  <si>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</si>
  <si>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</si>
  <si>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</si>
  <si>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</si>
  <si>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</si>
  <si>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</si>
  <si>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</si>
  <si>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</si>
  <si>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</si>
  <si>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</si>
  <si>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</si>
  <si>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</si>
  <si>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</si>
  <si>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</si>
  <si>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</si>
  <si>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</si>
  <si>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</si>
  <si>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</si>
  <si>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</si>
  <si>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</si>
  <si>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</si>
  <si>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</si>
  <si>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</si>
  <si>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</si>
  <si>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</si>
  <si>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</si>
  <si>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</si>
  <si>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</si>
  <si>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</si>
  <si>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</si>
  <si>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</si>
  <si>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</si>
  <si>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</si>
  <si>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</si>
  <si>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</si>
  <si>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</si>
  <si>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</si>
  <si>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</si>
  <si>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</si>
  <si>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</si>
  <si>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</si>
  <si>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</si>
  <si>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</si>
  <si>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</si>
  <si>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</si>
  <si>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</si>
  <si>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</si>
  <si>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</si>
  <si>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</si>
  <si>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</si>
  <si>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</si>
  <si>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</si>
  <si>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</si>
  <si>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</si>
  <si>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</si>
  <si>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</si>
  <si>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</si>
  <si>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</si>
  <si>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</si>
  <si>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</si>
  <si>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</si>
  <si>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</si>
  <si>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</si>
  <si>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</si>
  <si>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</si>
  <si>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</si>
  <si>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</si>
  <si>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</si>
  <si>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</si>
  <si>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</si>
  <si>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</si>
  <si>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</si>
  <si>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</si>
  <si>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</si>
  <si>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</si>
  <si>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</si>
  <si>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</si>
  <si>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</si>
  <si>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</si>
  <si>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</si>
  <si>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</si>
  <si>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</si>
  <si>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</si>
  <si>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</si>
  <si>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</si>
  <si>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</si>
  <si>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</si>
  <si>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</si>
  <si>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</si>
  <si>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</si>
  <si>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</si>
  <si>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</si>
  <si>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</si>
  <si>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</si>
  <si>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</si>
  <si>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</si>
  <si>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</si>
  <si>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</si>
  <si>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</si>
  <si>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</si>
  <si>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</si>
  <si>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</si>
  <si>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</si>
  <si>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</si>
  <si>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</si>
  <si>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</si>
  <si>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</si>
  <si>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</si>
  <si>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</si>
  <si>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</si>
  <si>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</si>
  <si>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</si>
  <si>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</si>
  <si>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</si>
  <si>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</si>
  <si>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</si>
  <si>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</si>
  <si>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</si>
  <si>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</si>
  <si>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</si>
  <si>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</si>
  <si>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</si>
  <si>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</si>
  <si>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</si>
  <si>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</si>
  <si>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</si>
  <si>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</si>
  <si>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</si>
  <si>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</si>
  <si>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</si>
  <si>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</si>
  <si>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</si>
  <si>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</si>
  <si>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</si>
  <si>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</si>
  <si>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</si>
  <si>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</si>
  <si>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</si>
  <si>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</si>
  <si>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</si>
  <si>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</si>
  <si>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</si>
  <si>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</si>
  <si>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</si>
  <si>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</si>
  <si>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</si>
  <si>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</si>
  <si>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</si>
  <si>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</si>
  <si>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</si>
  <si>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</si>
  <si>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</si>
  <si>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</si>
  <si>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</si>
  <si>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</si>
  <si>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</si>
  <si>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</si>
  <si>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</si>
  <si>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</si>
  <si>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</si>
  <si>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</si>
  <si>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</si>
  <si>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</si>
  <si>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</si>
  <si>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</si>
  <si>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</si>
  <si>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</si>
  <si>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</si>
  <si>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</si>
  <si>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</si>
  <si>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</si>
  <si>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</si>
  <si>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</si>
  <si>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</si>
  <si>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</si>
  <si>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</si>
  <si>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</si>
  <si>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</si>
  <si>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</si>
  <si>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</si>
  <si>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</si>
  <si>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</si>
  <si>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</si>
  <si>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</si>
  <si>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</si>
  <si>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</si>
  <si>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</si>
  <si>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</si>
  <si>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</si>
  <si>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</si>
  <si>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</si>
  <si>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</si>
  <si>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</si>
  <si>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</si>
  <si>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</si>
  <si>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</si>
  <si>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</si>
  <si>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</si>
  <si>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</si>
  <si>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</si>
  <si>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</si>
  <si>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</si>
  <si>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</si>
  <si>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</si>
  <si>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</si>
  <si>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</si>
  <si>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</si>
  <si>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</si>
  <si>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</si>
  <si>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</si>
  <si>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</si>
  <si>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</si>
  <si>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</si>
  <si>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</si>
  <si>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</si>
  <si>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</si>
  <si>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</si>
  <si>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</si>
  <si>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</si>
  <si>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</si>
  <si>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</si>
  <si>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</si>
  <si>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</si>
  <si>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</si>
  <si>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</si>
  <si>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</si>
  <si>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</si>
  <si>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</si>
  <si>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</si>
  <si>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</si>
  <si>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</si>
  <si>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</si>
  <si>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</si>
  <si>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</si>
  <si>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</si>
  <si>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</si>
  <si>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</si>
  <si>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</si>
  <si>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</si>
  <si>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</si>
  <si>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</si>
  <si>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</si>
  <si>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</si>
  <si>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</si>
  <si>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</si>
  <si>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</si>
  <si>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</si>
  <si>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</si>
  <si>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</si>
  <si>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</si>
  <si>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</si>
  <si>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</si>
  <si>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</si>
  <si>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</si>
  <si>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</si>
  <si>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</si>
  <si>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</si>
  <si>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</si>
  <si>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</si>
  <si>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</si>
  <si>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</si>
  <si>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</si>
  <si>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</si>
  <si>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</si>
  <si>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</si>
  <si>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</si>
  <si>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</si>
  <si>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</si>
  <si>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</si>
  <si>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</si>
  <si>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</si>
  <si>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</si>
  <si>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</si>
  <si>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</si>
  <si>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</si>
  <si>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</si>
  <si>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</si>
  <si>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</si>
  <si>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</si>
  <si>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</si>
  <si>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</si>
  <si>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</si>
  <si>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</si>
  <si>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</si>
  <si>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</si>
  <si>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</si>
  <si>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</si>
  <si>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</si>
  <si>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</si>
  <si>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</si>
  <si>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</si>
  <si>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</si>
  <si>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</si>
  <si>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</si>
  <si>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</si>
  <si>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</si>
  <si>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</si>
  <si>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</si>
  <si>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</si>
  <si>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</si>
  <si>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</si>
  <si>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</si>
  <si>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</si>
  <si>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</si>
  <si>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</si>
  <si>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</si>
  <si>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</si>
  <si>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</si>
  <si>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</si>
  <si>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</si>
  <si>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</si>
  <si>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</si>
  <si>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</si>
  <si>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</si>
  <si>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</si>
  <si>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</si>
  <si>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</si>
  <si>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</si>
  <si>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</si>
  <si>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</si>
  <si>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</si>
  <si>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</si>
  <si>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</si>
  <si>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</si>
  <si>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</si>
  <si>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</si>
  <si>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</si>
  <si>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</si>
  <si>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</si>
  <si>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</si>
  <si>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</si>
  <si>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</si>
  <si>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</si>
  <si>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</si>
  <si>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</si>
  <si>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</si>
  <si>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</si>
  <si>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</si>
  <si>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</si>
  <si>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</si>
  <si>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</si>
  <si>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</si>
  <si>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</si>
  <si>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</si>
  <si>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</si>
  <si>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</si>
  <si>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</si>
  <si>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</si>
  <si>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</si>
  <si>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</si>
  <si>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</si>
  <si>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</si>
  <si>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</si>
  <si>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</si>
  <si>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</si>
  <si>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</si>
  <si>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</si>
  <si>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</si>
  <si>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</si>
  <si>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</si>
  <si>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</si>
  <si>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</si>
  <si>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</si>
  <si>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</si>
  <si>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</si>
  <si>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</si>
  <si>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</si>
  <si>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</si>
  <si>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</si>
  <si>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</si>
  <si>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</si>
  <si>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</si>
  <si>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</si>
  <si>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</si>
  <si>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</si>
  <si>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</si>
  <si>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</si>
  <si>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</si>
  <si>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</si>
  <si>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</si>
  <si>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</si>
  <si>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</si>
  <si>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</si>
  <si>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</si>
  <si>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</si>
  <si>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</si>
  <si>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</si>
  <si>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</si>
  <si>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</si>
  <si>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</si>
  <si>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</si>
  <si>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</si>
  <si>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</si>
  <si>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</si>
  <si>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</si>
  <si>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</si>
  <si>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</si>
  <si>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</si>
  <si>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</si>
  <si>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</si>
  <si>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</si>
  <si>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</si>
  <si>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</si>
  <si>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</si>
  <si>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</si>
  <si>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</si>
  <si>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</si>
  <si>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</si>
  <si>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</si>
  <si>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</si>
  <si>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</si>
  <si>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</si>
  <si>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</si>
  <si>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</si>
  <si>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</si>
  <si>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</si>
  <si>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</si>
  <si>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</si>
  <si>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</si>
  <si>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</si>
  <si>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</si>
  <si>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</si>
  <si>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</si>
  <si>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</si>
  <si>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</si>
  <si>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</si>
  <si>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</si>
  <si>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</si>
  <si>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</si>
  <si>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</si>
  <si>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</si>
  <si>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</si>
  <si>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</si>
  <si>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</si>
  <si>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</si>
  <si>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</si>
  <si>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</si>
  <si>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</si>
  <si>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</si>
  <si>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</si>
  <si>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</si>
  <si>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</si>
  <si>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</si>
  <si>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</si>
  <si>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</si>
  <si>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</si>
  <si>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</si>
  <si>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</si>
  <si>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</si>
  <si>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</si>
  <si>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</si>
  <si>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</si>
  <si>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</si>
  <si>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</si>
  <si>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</si>
  <si>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</si>
  <si>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</si>
  <si>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</si>
  <si>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</si>
  <si>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</si>
  <si>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</si>
  <si>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</si>
  <si>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</si>
  <si>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</si>
  <si>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</si>
  <si>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</si>
  <si>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</si>
  <si>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</si>
  <si>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</si>
  <si>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</si>
  <si>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</si>
  <si>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</si>
  <si>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</si>
  <si>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</si>
  <si>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</si>
  <si>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</si>
  <si>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</si>
  <si>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</si>
  <si>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</si>
  <si>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</si>
  <si>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</si>
  <si>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</si>
  <si>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</si>
  <si>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</si>
  <si>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</si>
  <si>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</si>
  <si>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</si>
  <si>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</si>
  <si>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</si>
  <si>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</si>
  <si>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</si>
  <si>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</si>
  <si>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</si>
  <si>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</si>
  <si>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</si>
  <si>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</si>
  <si>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</si>
  <si>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</si>
  <si>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</si>
  <si>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</si>
  <si>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</si>
  <si>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</si>
  <si>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</si>
  <si>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</si>
  <si>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</si>
  <si>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</si>
  <si>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</si>
  <si>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</si>
  <si>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</si>
  <si>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</si>
  <si>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</si>
  <si>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</si>
  <si>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</si>
  <si>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</si>
  <si>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</si>
  <si>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</si>
  <si>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</si>
  <si>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</si>
  <si>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</si>
  <si>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</si>
  <si>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</si>
  <si>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</si>
  <si>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</si>
  <si>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</si>
  <si>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</si>
  <si>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</si>
  <si>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</si>
  <si>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</si>
  <si>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</si>
  <si>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</si>
  <si>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</si>
  <si>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</si>
  <si>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</si>
  <si>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</si>
  <si>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</si>
  <si>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</si>
  <si>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</si>
  <si>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</si>
  <si>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</si>
  <si>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</si>
  <si>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</si>
  <si>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</si>
  <si>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</si>
  <si>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</si>
  <si>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</si>
  <si>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</si>
  <si>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</si>
  <si>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</si>
  <si>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</si>
  <si>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</si>
  <si>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</si>
  <si>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</si>
  <si>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</si>
  <si>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</si>
  <si>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</si>
  <si>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</si>
  <si>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</si>
  <si>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</si>
  <si>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</si>
  <si>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</si>
  <si>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</si>
  <si>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</si>
  <si>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</si>
  <si>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</si>
  <si>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</si>
  <si>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</si>
  <si>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</si>
  <si>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</si>
  <si>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</si>
  <si>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</si>
  <si>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</si>
  <si>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</si>
  <si>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</si>
  <si>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</si>
  <si>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</si>
  <si>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</si>
  <si>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</si>
  <si>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</si>
  <si>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</si>
  <si>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</si>
  <si>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</si>
  <si>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</si>
  <si>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</si>
  <si>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</si>
  <si>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</si>
  <si>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</si>
  <si>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</si>
  <si>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</si>
  <si>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</si>
  <si>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</si>
  <si>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</si>
  <si>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</si>
  <si>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</si>
  <si>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</si>
  <si>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</si>
  <si>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</si>
  <si>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</si>
  <si>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</si>
  <si>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</si>
  <si>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</si>
  <si>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</si>
  <si>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</si>
  <si>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</si>
  <si>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</si>
  <si>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</si>
  <si>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</si>
  <si>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</si>
  <si>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</si>
  <si>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</si>
  <si>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</si>
  <si>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</si>
  <si>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</si>
  <si>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</si>
  <si>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</si>
  <si>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</si>
  <si>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</si>
  <si>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</si>
  <si>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</si>
  <si>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</si>
  <si>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</si>
  <si>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</si>
  <si>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</si>
  <si>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</si>
  <si>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</si>
  <si>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</si>
  <si>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</si>
  <si>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</si>
  <si>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</si>
  <si>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</si>
  <si>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</si>
  <si>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</si>
  <si>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</si>
  <si>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</si>
  <si>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</si>
  <si>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</si>
  <si>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</si>
  <si>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</si>
  <si>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</si>
  <si>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</si>
  <si>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</si>
  <si>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</si>
  <si>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</si>
  <si>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</si>
  <si>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</si>
  <si>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</si>
  <si>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</si>
  <si>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</si>
  <si>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</si>
  <si>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</si>
  <si>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</si>
  <si>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</si>
  <si>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</si>
  <si>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</si>
  <si>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</si>
  <si>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</si>
  <si>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</si>
  <si>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</si>
  <si>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</si>
  <si>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</si>
  <si>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</si>
  <si>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</si>
  <si>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</si>
  <si>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</si>
  <si>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</si>
  <si>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</si>
  <si>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</si>
  <si>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</si>
  <si>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</si>
  <si>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</si>
  <si>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</si>
  <si>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</si>
  <si>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</si>
  <si>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</si>
  <si>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</si>
  <si>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</si>
  <si>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</si>
  <si>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</si>
  <si>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</si>
  <si>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</si>
  <si>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</si>
  <si>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</si>
  <si>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</si>
  <si>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</si>
  <si>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</si>
  <si>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</si>
  <si>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</si>
  <si>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</si>
  <si>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</si>
  <si>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</si>
  <si>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</si>
  <si>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</si>
  <si>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</si>
  <si>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</si>
  <si>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</si>
  <si>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</si>
  <si>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</si>
  <si>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</si>
  <si>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</si>
  <si>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</si>
  <si>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</si>
  <si>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</si>
  <si>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</si>
  <si>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</si>
  <si>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</si>
  <si>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</si>
  <si>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</si>
  <si>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</si>
  <si>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</si>
  <si>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</si>
  <si>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</si>
  <si>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</si>
  <si>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</si>
  <si>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</si>
  <si>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</si>
  <si>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</si>
  <si>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</si>
  <si>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</si>
  <si>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</si>
  <si>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</si>
  <si>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</si>
  <si>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</si>
  <si>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</si>
  <si>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</si>
  <si>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</si>
  <si>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</si>
  <si>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</si>
  <si>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</si>
  <si>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</si>
  <si>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</si>
  <si>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</si>
  <si>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</si>
  <si>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</si>
  <si>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</si>
  <si>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</si>
  <si>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</si>
  <si>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</si>
  <si>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</si>
  <si>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</si>
  <si>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</si>
  <si>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</si>
  <si>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</si>
  <si>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</si>
  <si>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</si>
  <si>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</si>
  <si>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</si>
  <si>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</si>
  <si>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</si>
  <si>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</si>
  <si>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</si>
  <si>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</si>
  <si>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</si>
  <si>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</si>
  <si>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</si>
  <si>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</si>
  <si>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</si>
  <si>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</si>
  <si>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</si>
  <si>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</si>
  <si>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</si>
  <si>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</si>
  <si>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</si>
  <si>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</si>
  <si>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</si>
  <si>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</si>
  <si>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</si>
  <si>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</si>
  <si>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</si>
  <si>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</si>
  <si>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</si>
  <si>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</si>
  <si>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</si>
  <si>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</si>
  <si>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</si>
  <si>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</si>
  <si>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</si>
  <si>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</si>
  <si>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</si>
  <si>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</si>
  <si>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</si>
  <si>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</si>
  <si>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</si>
  <si>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</si>
  <si>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</si>
  <si>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</si>
  <si>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</si>
  <si>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</si>
  <si>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</si>
  <si>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</si>
  <si>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</si>
  <si>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</si>
  <si>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</si>
  <si>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</si>
  <si>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</si>
  <si>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</si>
  <si>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</si>
  <si>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</si>
  <si>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</si>
  <si>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</si>
  <si>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</si>
  <si>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</si>
  <si>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</si>
  <si>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</si>
  <si>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</si>
  <si>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</si>
  <si>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</si>
  <si>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</si>
  <si>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</si>
  <si>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</si>
  <si>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</si>
  <si>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</si>
  <si>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</si>
  <si>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</si>
  <si>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</si>
  <si>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</si>
  <si>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</si>
  <si>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</si>
  <si>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</si>
  <si>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</si>
  <si>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</si>
  <si>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</si>
  <si>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</si>
  <si>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</si>
  <si>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</si>
  <si>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</si>
  <si>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</si>
  <si>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</si>
  <si>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</si>
  <si>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</si>
  <si>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</si>
  <si>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</si>
  <si>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</si>
  <si>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</si>
  <si>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</si>
  <si>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</si>
  <si>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</si>
  <si>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</si>
  <si>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</si>
  <si>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</si>
  <si>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</si>
  <si>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</si>
  <si>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</si>
  <si>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</si>
  <si>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</si>
  <si>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</si>
  <si>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</si>
  <si>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</si>
  <si>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</si>
  <si>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</si>
  <si>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</si>
  <si>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</si>
  <si>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</si>
  <si>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</si>
  <si>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</si>
  <si>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</si>
  <si>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</si>
  <si>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</si>
  <si>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</si>
  <si>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</si>
  <si>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</si>
  <si>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</si>
  <si>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</si>
  <si>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</si>
  <si>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</si>
  <si>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</si>
  <si>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</si>
  <si>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</si>
  <si>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</si>
  <si>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</si>
  <si>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</si>
  <si>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</si>
  <si>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</si>
  <si>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</si>
  <si>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</si>
  <si>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</si>
  <si>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</si>
  <si>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</si>
  <si>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</si>
  <si>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</si>
  <si>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</si>
  <si>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</si>
  <si>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</si>
  <si>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</si>
  <si>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</si>
  <si>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</si>
  <si>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</si>
  <si>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</si>
  <si>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</si>
  <si>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</si>
  <si>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</si>
  <si>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</si>
  <si>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</si>
  <si>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</si>
  <si>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</si>
  <si>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</si>
  <si>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</si>
  <si>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</si>
  <si>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</si>
  <si>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</si>
  <si>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</si>
  <si>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</si>
  <si>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</si>
  <si>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</si>
  <si>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</si>
  <si>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</si>
  <si>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</si>
  <si>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</si>
  <si>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</si>
  <si>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</si>
  <si>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</si>
  <si>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</si>
  <si>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</si>
  <si>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</si>
  <si>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</si>
  <si>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</si>
  <si>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</si>
  <si>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</si>
  <si>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</si>
  <si>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</si>
  <si>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</si>
  <si>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</si>
  <si>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</si>
  <si>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</si>
  <si>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</si>
  <si>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</si>
  <si>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</si>
  <si>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</si>
  <si>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</si>
  <si>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</si>
  <si>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</si>
  <si>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</si>
  <si>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</si>
  <si>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</si>
  <si>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</si>
  <si>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</si>
  <si>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</si>
  <si>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</si>
  <si>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</si>
  <si>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</si>
  <si>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</si>
  <si>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</si>
  <si>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</si>
  <si>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</si>
  <si>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</si>
  <si>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</si>
  <si>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</si>
  <si>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</si>
  <si>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</si>
  <si>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</si>
  <si>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</si>
  <si>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</si>
  <si>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</si>
  <si>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</si>
  <si>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</si>
  <si>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</si>
  <si>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</si>
  <si>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</si>
  <si>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</si>
  <si>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</si>
  <si>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</si>
  <si>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</si>
  <si>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</si>
  <si>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</si>
  <si>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</si>
  <si>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</si>
  <si>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</si>
  <si>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</si>
  <si>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</si>
  <si>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</si>
  <si>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</si>
  <si>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</si>
  <si>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</si>
  <si>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</si>
  <si>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</si>
  <si>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</si>
  <si>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</si>
  <si>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</si>
  <si>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</si>
  <si>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</si>
  <si>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</si>
  <si>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</si>
  <si>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</si>
  <si>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</si>
  <si>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</si>
  <si>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</si>
  <si>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</si>
  <si>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</si>
  <si>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</si>
  <si>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</si>
  <si>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</si>
  <si>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</si>
  <si>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</si>
  <si>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</si>
  <si>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</si>
  <si>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</si>
  <si>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</si>
  <si>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</si>
  <si>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</si>
  <si>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</si>
  <si>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</si>
  <si>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</si>
  <si>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</si>
  <si>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</si>
  <si>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</si>
  <si>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</si>
  <si>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</si>
  <si>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</si>
  <si>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</si>
  <si>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</si>
  <si>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</si>
  <si>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</si>
  <si>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</si>
  <si>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</si>
  <si>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</si>
  <si>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</si>
  <si>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</si>
  <si>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</si>
  <si>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</si>
  <si>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</si>
  <si>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</si>
  <si>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</si>
  <si>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</si>
  <si>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</si>
  <si>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</si>
  <si>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</si>
  <si>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</si>
  <si>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</si>
  <si>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</si>
  <si>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</si>
  <si>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</si>
  <si>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</si>
  <si>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</si>
  <si>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</si>
  <si>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</si>
  <si>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</si>
  <si>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</si>
  <si>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</si>
  <si>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</si>
  <si>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</si>
  <si>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</si>
  <si>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</si>
  <si>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</si>
  <si>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</si>
  <si>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</si>
  <si>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</si>
  <si>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</si>
  <si>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</si>
  <si>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</si>
  <si>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</si>
  <si>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</si>
  <si>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</si>
  <si>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</si>
  <si>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</si>
  <si>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</si>
  <si>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</si>
  <si>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</si>
  <si>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</si>
  <si>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</si>
  <si>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</si>
  <si>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</si>
  <si>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</si>
  <si>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</si>
  <si>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</si>
  <si>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</si>
  <si>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</si>
  <si>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</si>
  <si>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</si>
  <si>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</si>
  <si>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</si>
  <si>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</si>
  <si>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</si>
  <si>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</si>
  <si>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</si>
  <si>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</si>
  <si>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</si>
  <si>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</si>
  <si>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</si>
  <si>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</si>
  <si>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</si>
  <si>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</si>
  <si>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</si>
  <si>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</si>
  <si>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</si>
  <si>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</si>
  <si>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</si>
  <si>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</si>
  <si>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</si>
  <si>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</si>
  <si>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</si>
  <si>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</si>
  <si>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</si>
  <si>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</si>
  <si>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</si>
  <si>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</si>
  <si>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</si>
  <si>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</si>
  <si>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</si>
  <si>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</si>
  <si>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</si>
  <si>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</si>
  <si>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</si>
  <si>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</si>
  <si>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</si>
  <si>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</si>
  <si>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</si>
  <si>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</si>
  <si>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</si>
  <si>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</si>
  <si>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</si>
  <si>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</si>
  <si>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</si>
  <si>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</si>
  <si>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</si>
  <si>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</si>
  <si>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</si>
  <si>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</si>
  <si>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</si>
  <si>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</si>
  <si>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</si>
  <si>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</si>
  <si>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</si>
  <si>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</si>
  <si>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</si>
  <si>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</si>
  <si>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</si>
  <si>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</si>
  <si>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</si>
  <si>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</si>
  <si>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</si>
  <si>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</si>
  <si>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</si>
  <si>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</si>
  <si>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</si>
  <si>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</si>
  <si>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</si>
  <si>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</si>
  <si>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</si>
  <si>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</si>
  <si>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</si>
  <si>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</si>
  <si>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</si>
  <si>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</si>
  <si>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</si>
  <si>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</si>
  <si>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</si>
  <si>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</si>
  <si>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</si>
  <si>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</si>
  <si>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</si>
  <si>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</si>
  <si>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</si>
  <si>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</si>
  <si>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</si>
  <si>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</si>
  <si>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</si>
  <si>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</si>
  <si>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</si>
  <si>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</si>
  <si>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</si>
  <si>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</si>
  <si>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</si>
  <si>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</si>
  <si>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</si>
  <si>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</si>
  <si>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</si>
  <si>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</si>
  <si>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</si>
  <si>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</si>
  <si>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</si>
  <si>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</si>
  <si>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</si>
  <si>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</si>
  <si>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</si>
  <si>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</si>
  <si>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</si>
  <si>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</si>
  <si>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</si>
  <si>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</si>
  <si>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</si>
  <si>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</si>
  <si>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</si>
  <si>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</si>
  <si>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</si>
  <si>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</si>
  <si>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</si>
  <si>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</si>
  <si>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</si>
  <si>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</si>
  <si>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</si>
  <si>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</si>
  <si>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</si>
  <si>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</si>
  <si>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</si>
  <si>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</si>
  <si>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</si>
  <si>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</si>
  <si>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</si>
  <si>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</si>
  <si>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</si>
  <si>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</si>
  <si>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</si>
  <si>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</si>
  <si>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</si>
  <si>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</si>
  <si>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</si>
  <si>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</si>
  <si>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</si>
  <si>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</si>
  <si>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</si>
  <si>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</si>
  <si>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</si>
  <si>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</si>
  <si>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</si>
  <si>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</si>
  <si>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</si>
  <si>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</si>
  <si>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</si>
  <si>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</si>
  <si>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</si>
  <si>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</si>
  <si>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</si>
  <si>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</si>
  <si>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</si>
  <si>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</si>
  <si>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</si>
  <si>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</si>
  <si>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</si>
  <si>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</si>
  <si>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</si>
  <si>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</si>
  <si>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</si>
  <si>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</si>
  <si>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</si>
  <si>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</si>
  <si>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</si>
  <si>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</si>
  <si>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</si>
  <si>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</si>
  <si>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</si>
  <si>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</si>
  <si>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</si>
  <si>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</si>
  <si>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</si>
  <si>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</si>
  <si>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</si>
  <si>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</si>
  <si>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</si>
  <si>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</si>
  <si>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</si>
  <si>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</si>
  <si>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</si>
  <si>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</si>
  <si>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</si>
  <si>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</si>
  <si>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</si>
  <si>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</si>
  <si>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</si>
  <si>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</si>
  <si>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</si>
  <si>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</si>
  <si>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</si>
  <si>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</si>
  <si>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</si>
  <si>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</si>
  <si>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</si>
  <si>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</si>
  <si>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</si>
  <si>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</si>
  <si>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</si>
  <si>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</si>
  <si>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</si>
  <si>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</si>
  <si>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</si>
  <si>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</si>
  <si>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</si>
  <si>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</si>
  <si>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</si>
  <si>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</si>
  <si>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</si>
  <si>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</si>
  <si>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</si>
  <si>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</si>
  <si>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</si>
  <si>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</si>
  <si>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</si>
  <si>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</si>
  <si>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</si>
  <si>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</si>
  <si>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</si>
  <si>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</si>
  <si>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</si>
  <si>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</si>
  <si>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</si>
  <si>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</si>
  <si>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</si>
  <si>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</si>
  <si>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</si>
  <si>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</si>
  <si>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</si>
  <si>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</si>
  <si>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</si>
  <si>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</si>
  <si>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</si>
  <si>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</si>
  <si>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</si>
  <si>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</si>
  <si>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</si>
  <si>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</si>
  <si>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</si>
  <si>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</si>
  <si>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</si>
  <si>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</si>
  <si>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</si>
  <si>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</si>
  <si>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</si>
  <si>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</si>
  <si>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</si>
  <si>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</si>
  <si>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</si>
  <si>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</si>
  <si>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</si>
  <si>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</si>
  <si>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</si>
  <si>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</si>
  <si>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</si>
  <si>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</si>
  <si>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</si>
  <si>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</si>
  <si>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</si>
  <si>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</si>
  <si>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</si>
  <si>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</si>
  <si>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</si>
  <si>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</si>
  <si>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</si>
  <si>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</si>
  <si>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</si>
  <si>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</si>
  <si>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</si>
  <si>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</si>
  <si>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</si>
  <si>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</si>
  <si>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</si>
  <si>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</si>
  <si>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</si>
  <si>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</si>
  <si>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</si>
  <si>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</si>
  <si>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</si>
  <si>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</si>
  <si>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</si>
  <si>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</si>
  <si>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</si>
  <si>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</si>
  <si>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</si>
  <si>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</si>
  <si>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</si>
  <si>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</si>
  <si>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</si>
  <si>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</si>
  <si>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</si>
  <si>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</si>
  <si>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</si>
  <si>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</si>
  <si>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</si>
  <si>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</si>
  <si>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</si>
  <si>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</si>
  <si>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</si>
  <si>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</si>
  <si>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</si>
  <si>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</si>
  <si>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</si>
  <si>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</si>
  <si>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</si>
  <si>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</si>
  <si>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</si>
  <si>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</si>
  <si>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</si>
  <si>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</si>
  <si>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</si>
  <si>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</si>
  <si>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</si>
  <si>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</si>
  <si>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</si>
  <si>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</si>
  <si>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</si>
  <si>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</si>
  <si>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</si>
  <si>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</si>
  <si>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</si>
  <si>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</si>
  <si>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</si>
  <si>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</si>
  <si>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</si>
  <si>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</si>
  <si>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</si>
  <si>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</si>
  <si>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</si>
  <si>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</si>
  <si>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</si>
  <si>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</si>
  <si>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</si>
  <si>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</si>
  <si>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</si>
  <si>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</si>
  <si>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</si>
  <si>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</si>
  <si>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</si>
  <si>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</si>
  <si>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</si>
  <si>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</si>
  <si>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</si>
  <si>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</si>
  <si>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</si>
  <si>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</si>
  <si>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</si>
  <si>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</si>
  <si>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</si>
  <si>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</si>
  <si>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</si>
  <si>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</si>
  <si>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</si>
  <si>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</si>
  <si>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</si>
  <si>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</si>
  <si>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</si>
  <si>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</si>
  <si>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</si>
  <si>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</si>
  <si>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</si>
  <si>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</si>
  <si>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</si>
  <si>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</si>
  <si>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</si>
  <si>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</si>
  <si>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</si>
  <si>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</si>
  <si>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</si>
  <si>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</si>
  <si>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</si>
  <si>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</si>
  <si>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</si>
  <si>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</si>
  <si>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</si>
  <si>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</si>
  <si>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</si>
  <si>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</si>
  <si>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</si>
  <si>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</si>
  <si>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</si>
  <si>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</si>
  <si>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</si>
  <si>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</si>
  <si>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</si>
  <si>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</si>
  <si>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</si>
  <si>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</si>
  <si>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</si>
  <si>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</si>
  <si>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</si>
  <si>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</si>
  <si>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</si>
  <si>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</si>
  <si>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</si>
  <si>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</si>
  <si>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</si>
  <si>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</si>
  <si>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</si>
  <si>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</si>
  <si>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</si>
  <si>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</si>
  <si>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</si>
  <si>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</si>
  <si>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</si>
  <si>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</si>
  <si>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</si>
  <si>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</si>
  <si>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</si>
  <si>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</si>
  <si>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</si>
  <si>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</si>
  <si>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</si>
  <si>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</si>
  <si>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</si>
  <si>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</si>
  <si>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</si>
  <si>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</si>
  <si>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</si>
  <si>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</si>
  <si>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</si>
  <si>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</si>
  <si>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</si>
  <si>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</si>
  <si>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</si>
  <si>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</si>
  <si>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</si>
  <si>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</si>
  <si>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</si>
  <si>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</si>
  <si>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</si>
  <si>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</si>
  <si>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</si>
  <si>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</si>
  <si>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</si>
  <si>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</si>
  <si>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</si>
  <si>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</si>
  <si>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</si>
  <si>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</si>
  <si>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</si>
  <si>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</si>
  <si>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</si>
  <si>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</si>
  <si>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</si>
  <si>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</si>
  <si>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</si>
  <si>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</si>
  <si>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</si>
  <si>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</si>
  <si>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</si>
  <si>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</si>
  <si>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</si>
  <si>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</si>
  <si>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</si>
  <si>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</si>
  <si>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</si>
  <si>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</si>
  <si>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</si>
  <si>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</si>
  <si>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</si>
  <si>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</si>
  <si>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</si>
  <si>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</si>
  <si>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</si>
  <si>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</si>
  <si>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</si>
  <si>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</si>
  <si>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</si>
  <si>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</si>
  <si>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</si>
  <si>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</si>
  <si>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</si>
  <si>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</si>
  <si>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</si>
  <si>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</si>
  <si>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</si>
  <si>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</si>
  <si>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</si>
  <si>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</si>
  <si>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</si>
  <si>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</si>
  <si>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</si>
  <si>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</si>
  <si>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</si>
  <si>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</si>
  <si>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</si>
  <si>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</si>
  <si>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</si>
  <si>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</si>
  <si>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</si>
  <si>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</si>
  <si>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</si>
  <si>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</si>
  <si>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</si>
  <si>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</si>
  <si>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</si>
  <si>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</si>
  <si>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</si>
  <si>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</si>
  <si>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</si>
  <si>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</si>
  <si>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</si>
  <si>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</si>
  <si>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</si>
  <si>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</si>
  <si>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</si>
  <si>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</si>
  <si>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</si>
  <si>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</si>
  <si>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</si>
  <si>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</si>
  <si>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</si>
  <si>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</si>
  <si>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</si>
  <si>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</si>
  <si>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</si>
  <si>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</si>
  <si>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</si>
  <si>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</si>
  <si>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</si>
  <si>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</si>
  <si>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</si>
  <si>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</si>
  <si>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</si>
  <si>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</si>
  <si>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</si>
  <si>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</si>
  <si>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</si>
  <si>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</si>
  <si>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</si>
  <si>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</si>
  <si>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</si>
  <si>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</si>
  <si>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</si>
  <si>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</si>
  <si>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</si>
  <si>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</si>
  <si>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</si>
  <si>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</si>
  <si>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</si>
  <si>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</si>
  <si>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</si>
  <si>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</si>
  <si>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</si>
  <si>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</si>
  <si>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</si>
  <si>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</si>
  <si>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</si>
  <si>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</si>
  <si>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</si>
  <si>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</si>
  <si>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</si>
  <si>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</si>
  <si>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</si>
  <si>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</si>
  <si>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</si>
  <si>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</si>
  <si>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</si>
  <si>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</si>
  <si>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</si>
  <si>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</si>
  <si>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</si>
  <si>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</si>
  <si>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</si>
  <si>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</si>
  <si>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</si>
  <si>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</si>
  <si>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</si>
  <si>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</si>
  <si>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</si>
  <si>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</si>
  <si>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</si>
  <si>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</si>
  <si>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</si>
  <si>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</si>
  <si>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</si>
  <si>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</si>
  <si>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</si>
  <si>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</si>
  <si>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</si>
  <si>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</si>
  <si>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</si>
  <si>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</si>
  <si>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</si>
  <si>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</si>
  <si>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</si>
  <si>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</si>
  <si>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</si>
  <si>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</si>
  <si>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</si>
  <si>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</si>
  <si>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</si>
  <si>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</si>
  <si>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</si>
  <si>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</si>
  <si>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</si>
  <si>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</si>
  <si>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</si>
  <si>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</si>
  <si>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</si>
  <si>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</si>
  <si>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</si>
  <si>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</si>
  <si>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</si>
  <si>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</si>
  <si>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</si>
  <si>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</si>
  <si>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</si>
  <si>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</si>
  <si>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</si>
  <si>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</si>
  <si>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</si>
  <si>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</si>
  <si>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</si>
  <si>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</si>
  <si>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</si>
  <si>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</si>
  <si>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</si>
  <si>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</si>
  <si>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</si>
  <si>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</si>
  <si>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</si>
  <si>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</si>
  <si>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</si>
  <si>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</si>
  <si>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</si>
  <si>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</si>
  <si>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</si>
  <si>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</si>
  <si>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</si>
  <si>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</si>
  <si>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</si>
  <si>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</si>
  <si>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</si>
  <si>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</si>
  <si>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</si>
  <si>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</si>
  <si>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</si>
  <si>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</si>
  <si>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</si>
  <si>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</si>
  <si>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</si>
  <si>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</si>
  <si>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</si>
  <si>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</si>
  <si>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</si>
  <si>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</si>
  <si>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</si>
  <si>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</si>
  <si>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</si>
  <si>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</si>
  <si>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</si>
  <si>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</si>
  <si>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</si>
  <si>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</si>
  <si>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</si>
  <si>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</si>
  <si>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</si>
  <si>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</si>
  <si>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</si>
  <si>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</si>
  <si>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</si>
  <si>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</si>
  <si>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</si>
  <si>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</si>
  <si>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</si>
  <si>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</si>
  <si>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</si>
  <si>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</si>
  <si>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</si>
  <si>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</si>
  <si>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</si>
  <si>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</si>
  <si>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</si>
  <si>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</si>
  <si>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</si>
  <si>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</si>
  <si>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</si>
  <si>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</si>
  <si>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</si>
  <si>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</si>
  <si>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</si>
  <si>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</si>
  <si>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</si>
  <si>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</si>
  <si>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</si>
  <si>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</si>
  <si>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</si>
  <si>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</si>
  <si>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</si>
  <si>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</si>
  <si>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</si>
  <si>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</si>
  <si>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</si>
  <si>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</si>
  <si>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</si>
  <si>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</si>
  <si>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</si>
  <si>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</si>
  <si>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</si>
  <si>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</si>
  <si>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</si>
  <si>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</si>
  <si>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</si>
  <si>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</si>
  <si>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</si>
  <si>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</si>
  <si>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</si>
  <si>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</si>
  <si>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</si>
  <si>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</si>
  <si>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</si>
  <si>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</si>
  <si>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</si>
  <si>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</si>
  <si>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</si>
  <si>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</si>
  <si>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</si>
  <si>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</si>
  <si>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</si>
  <si>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</si>
  <si>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</si>
  <si>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</si>
  <si>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</si>
  <si>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</si>
  <si>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</si>
  <si>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</si>
  <si>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</si>
  <si>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</si>
  <si>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</si>
  <si>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</si>
  <si>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</si>
  <si>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</si>
  <si>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</si>
  <si>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</si>
  <si>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</si>
  <si>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</si>
  <si>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</si>
  <si>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</si>
  <si>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</si>
  <si>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</si>
  <si>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</si>
  <si>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</si>
  <si>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</si>
  <si>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</si>
  <si>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</si>
  <si>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</si>
  <si>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</si>
  <si>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</si>
  <si>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</si>
  <si>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</si>
  <si>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</si>
  <si>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</si>
  <si>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</si>
  <si>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</si>
  <si>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</si>
  <si>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</si>
  <si>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</si>
  <si>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</si>
  <si>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</si>
  <si>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</si>
  <si>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</si>
  <si>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</si>
  <si>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</si>
  <si>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</si>
  <si>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</si>
  <si>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</si>
  <si>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</si>
  <si>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</si>
  <si>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</si>
  <si>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</si>
  <si>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</si>
  <si>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</si>
  <si>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</si>
  <si>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</si>
  <si>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</si>
  <si>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</si>
  <si>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</si>
  <si>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</si>
  <si>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</si>
  <si>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</si>
  <si>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</si>
  <si>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</si>
  <si>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</si>
  <si>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</si>
  <si>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</si>
  <si>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</si>
  <si>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</si>
  <si>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</si>
  <si>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</si>
  <si>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</si>
  <si>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</si>
  <si>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</si>
  <si>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</si>
  <si>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</si>
  <si>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</si>
  <si>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</si>
  <si>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</si>
  <si>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</si>
  <si>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</si>
  <si>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</si>
  <si>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</si>
  <si>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</si>
  <si>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</si>
  <si>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</si>
  <si>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</si>
  <si>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</si>
  <si>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</si>
  <si>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</si>
  <si>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</si>
  <si>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</si>
  <si>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</si>
  <si>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</si>
  <si>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</si>
  <si>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</si>
  <si>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</si>
  <si>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</si>
  <si>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</si>
  <si>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</si>
  <si>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</si>
  <si>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</si>
  <si>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</si>
  <si>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</si>
  <si>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</si>
  <si>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</si>
  <si>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</si>
  <si>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</si>
  <si>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</si>
  <si>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</si>
  <si>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</si>
  <si>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</si>
  <si>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</si>
  <si>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</si>
  <si>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</si>
  <si>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</si>
  <si>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</si>
  <si>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</si>
  <si>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</si>
  <si>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</si>
  <si>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</si>
  <si>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</si>
  <si>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</si>
  <si>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</si>
  <si>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</si>
  <si>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</si>
  <si>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</si>
  <si>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</si>
  <si>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</si>
  <si>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</si>
  <si>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</si>
  <si>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</si>
  <si>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</si>
  <si>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</si>
  <si>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</si>
  <si>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</si>
  <si>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</si>
  <si>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</si>
  <si>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</si>
  <si>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</si>
  <si>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</si>
  <si>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</si>
  <si>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</si>
  <si>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</si>
  <si>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</si>
  <si>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</si>
  <si>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</si>
  <si>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</si>
  <si>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</si>
  <si>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</si>
  <si>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</si>
  <si>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</si>
  <si>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</si>
  <si>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</si>
  <si>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</si>
  <si>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</si>
  <si>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</si>
  <si>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</si>
  <si>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</si>
  <si>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</si>
  <si>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</si>
  <si>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</si>
  <si>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</si>
  <si>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</si>
  <si>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</si>
  <si>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</si>
  <si>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</si>
  <si>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</si>
  <si>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</si>
  <si>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</si>
  <si>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</si>
  <si>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</si>
  <si>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</si>
  <si>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</si>
  <si>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</si>
  <si>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</si>
  <si>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</si>
  <si>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</si>
  <si>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</si>
  <si>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</si>
  <si>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</si>
  <si>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</si>
  <si>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</si>
  <si>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</si>
  <si>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</si>
  <si>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</si>
  <si>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</si>
  <si>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</si>
  <si>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</si>
  <si>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</si>
  <si>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</si>
  <si>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</si>
  <si>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</si>
  <si>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</si>
  <si>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</si>
  <si>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</si>
  <si>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</si>
  <si>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</si>
  <si>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</si>
  <si>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</si>
  <si>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</si>
  <si>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</si>
  <si>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</si>
  <si>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</si>
  <si>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</si>
  <si>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</si>
  <si>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</si>
  <si>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</si>
  <si>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</si>
  <si>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</si>
  <si>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</si>
  <si>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</si>
  <si>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</si>
  <si>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</si>
  <si>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</si>
  <si>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</si>
  <si>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</si>
  <si>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</si>
  <si>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</si>
  <si>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</si>
  <si>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</si>
  <si>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</si>
  <si>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</si>
  <si>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</si>
  <si>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</si>
  <si>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</si>
  <si>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</si>
  <si>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</si>
  <si>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</si>
  <si>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</si>
  <si>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</si>
  <si>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</si>
  <si>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</si>
  <si>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</si>
  <si>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</si>
  <si>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</si>
  <si>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</si>
  <si>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</si>
  <si>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</si>
  <si>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</si>
  <si>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</si>
  <si>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</si>
  <si>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</si>
  <si>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</si>
  <si>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</si>
  <si>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</si>
  <si>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</si>
  <si>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</si>
  <si>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</si>
  <si>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</si>
  <si>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</si>
  <si>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</si>
  <si>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</si>
  <si>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</si>
  <si>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</si>
  <si>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</si>
  <si>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</si>
  <si>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</si>
  <si>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</si>
  <si>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</si>
  <si>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</si>
  <si>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</si>
  <si>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</si>
  <si>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</si>
  <si>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</si>
  <si>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</si>
  <si>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</si>
  <si>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</si>
  <si>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</si>
  <si>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</si>
  <si>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</si>
  <si>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</si>
  <si>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</si>
  <si>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</si>
  <si>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</si>
  <si>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</si>
  <si>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</si>
  <si>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</si>
  <si>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</si>
  <si>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</si>
  <si>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</si>
  <si>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</si>
  <si>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</si>
  <si>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</si>
  <si>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</si>
  <si>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</si>
  <si>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</si>
  <si>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</si>
  <si>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</si>
  <si>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</si>
  <si>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</si>
  <si>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</si>
  <si>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</si>
  <si>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</si>
  <si>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</si>
  <si>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</si>
  <si>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</si>
  <si>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</si>
  <si>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</si>
  <si>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</si>
  <si>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</si>
  <si>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</si>
  <si>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</si>
  <si>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</si>
  <si>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</si>
  <si>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</si>
  <si>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</si>
  <si>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</si>
  <si>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</si>
  <si>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</si>
  <si>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</si>
  <si>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</si>
  <si>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</si>
  <si>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</si>
  <si>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</si>
  <si>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</si>
  <si>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</si>
  <si>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</si>
  <si>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</si>
  <si>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</si>
  <si>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</si>
  <si>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</si>
  <si>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</si>
  <si>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</si>
  <si>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</si>
  <si>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</si>
  <si>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</si>
  <si>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</si>
  <si>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</si>
  <si>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</si>
  <si>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</si>
  <si>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</si>
  <si>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</si>
  <si>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</si>
  <si>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</si>
  <si>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</si>
  <si>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</si>
  <si>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</si>
  <si>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</si>
  <si>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</si>
  <si>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</si>
  <si>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</si>
  <si>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</si>
  <si>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</si>
  <si>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</si>
  <si>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</si>
  <si>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</si>
  <si>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</si>
  <si>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</si>
  <si>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</si>
  <si>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</si>
  <si>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</si>
  <si>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</si>
  <si>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</si>
  <si>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</si>
  <si>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</si>
  <si>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</si>
  <si>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</si>
  <si>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</si>
  <si>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</si>
  <si>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</si>
  <si>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</si>
  <si>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</si>
  <si>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</si>
  <si>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</si>
  <si>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</si>
  <si>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</si>
  <si>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</si>
  <si>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</si>
  <si>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</si>
  <si>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</si>
  <si>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</si>
  <si>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</si>
  <si>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</si>
  <si>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</si>
  <si>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</si>
  <si>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</si>
  <si>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</si>
  <si>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</si>
  <si>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</si>
  <si>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</si>
  <si>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</si>
  <si>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</si>
  <si>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</si>
  <si>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</si>
  <si>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</si>
  <si>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</si>
  <si>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</si>
  <si>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</si>
  <si>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</si>
  <si>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</si>
  <si>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</si>
  <si>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</si>
  <si>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</si>
  <si>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</si>
  <si>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</si>
  <si>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</si>
  <si>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</si>
  <si>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</si>
  <si>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</si>
  <si>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</si>
  <si>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</si>
  <si>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</si>
  <si>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</si>
  <si>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</si>
  <si>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</si>
  <si>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</si>
  <si>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</si>
  <si>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</si>
  <si>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</si>
  <si>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</si>
  <si>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</si>
  <si>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</si>
  <si>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</si>
  <si>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</si>
  <si>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</si>
  <si>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</si>
  <si>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</si>
  <si>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</si>
  <si>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</si>
  <si>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</si>
  <si>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</si>
  <si>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</si>
  <si>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</si>
  <si>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</si>
  <si>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</si>
  <si>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</si>
  <si>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</si>
  <si>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</si>
  <si>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</si>
  <si>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</si>
  <si>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</si>
  <si>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</si>
  <si>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</si>
  <si>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</si>
  <si>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</si>
  <si>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</si>
  <si>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</si>
  <si>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</si>
  <si>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</si>
  <si>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</si>
  <si>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</si>
  <si>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</si>
  <si>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</si>
  <si>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</si>
  <si>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</si>
  <si>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</si>
  <si>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</si>
  <si>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</si>
  <si>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</si>
  <si>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</si>
  <si>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</si>
  <si>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</si>
  <si>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</si>
  <si>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</si>
  <si>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</si>
  <si>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</si>
  <si>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</si>
  <si>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</si>
  <si>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</si>
  <si>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</si>
  <si>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</si>
  <si>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</si>
  <si>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</si>
  <si>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</si>
  <si>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</si>
  <si>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</si>
  <si>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</si>
  <si>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</si>
  <si>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</si>
  <si>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</si>
  <si>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</si>
  <si>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</si>
  <si>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</si>
  <si>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</si>
  <si>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</si>
  <si>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</si>
  <si>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</si>
  <si>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</si>
  <si>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</si>
  <si>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</si>
  <si>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</si>
  <si>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</si>
  <si>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</si>
  <si>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</si>
  <si>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</si>
  <si>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</si>
  <si>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</si>
  <si>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</si>
  <si>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</si>
  <si>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</si>
  <si>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</si>
  <si>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</si>
  <si>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</si>
  <si>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</si>
  <si>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</si>
  <si>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</si>
  <si>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</si>
  <si>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</si>
  <si>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</si>
  <si>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</si>
  <si>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</si>
  <si>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</si>
  <si>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</si>
  <si>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</si>
  <si>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</si>
  <si>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</si>
  <si>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</si>
  <si>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</si>
  <si>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</si>
  <si>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</si>
  <si>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</si>
  <si>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</si>
  <si>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</si>
  <si>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</si>
  <si>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</si>
  <si>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</si>
  <si>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</si>
  <si>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</si>
  <si>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</si>
  <si>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</si>
  <si>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</si>
  <si>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</si>
  <si>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</si>
  <si>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</si>
  <si>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</si>
  <si>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</si>
  <si>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</si>
  <si>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</si>
  <si>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</si>
  <si>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</si>
  <si>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</si>
  <si>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</si>
  <si>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</si>
  <si>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</si>
  <si>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</si>
  <si>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</si>
  <si>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</si>
  <si>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</si>
  <si>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</si>
  <si>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</si>
  <si>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</si>
  <si>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</si>
  <si>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</si>
  <si>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</si>
  <si>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</si>
  <si>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</si>
  <si>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</si>
  <si>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</si>
  <si>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</si>
  <si>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</si>
  <si>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</si>
  <si>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</si>
  <si>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</si>
  <si>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</si>
  <si>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</si>
  <si>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</si>
  <si>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</si>
  <si>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</si>
  <si>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</si>
  <si>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</si>
  <si>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</si>
  <si>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</si>
  <si>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</si>
  <si>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</si>
  <si>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</si>
  <si>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</si>
  <si>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</si>
  <si>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</si>
  <si>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</si>
  <si>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</si>
  <si>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</si>
  <si>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</si>
  <si>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</si>
  <si>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</si>
  <si>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</si>
  <si>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</si>
  <si>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</si>
  <si>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</si>
  <si>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</si>
  <si>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</si>
  <si>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</si>
  <si>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</si>
  <si>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</si>
  <si>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</si>
  <si>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</si>
  <si>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</si>
  <si>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</si>
  <si>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</si>
  <si>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</si>
  <si>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</si>
  <si>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</si>
  <si>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</si>
  <si>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</si>
  <si>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</si>
  <si>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</si>
  <si>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</si>
  <si>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</si>
  <si>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</si>
  <si>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</si>
  <si>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</si>
  <si>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</si>
  <si>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</si>
  <si>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</si>
  <si>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</si>
  <si>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</si>
  <si>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</si>
  <si>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</si>
  <si>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</si>
  <si>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</si>
  <si>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</si>
  <si>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</si>
  <si>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</si>
  <si>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</si>
  <si>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</si>
  <si>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</si>
  <si>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</si>
  <si>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</si>
  <si>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</si>
  <si>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</si>
  <si>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</si>
  <si>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</si>
  <si>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</si>
  <si>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</si>
  <si>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</si>
  <si>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</si>
  <si>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</si>
  <si>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</si>
  <si>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</si>
  <si>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</si>
  <si>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</si>
  <si>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</si>
  <si>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</si>
  <si>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</si>
  <si>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</si>
  <si>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</si>
  <si>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</si>
  <si>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</si>
  <si>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</si>
  <si>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</si>
  <si>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</si>
  <si>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</si>
  <si>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</si>
  <si>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</si>
  <si>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</si>
  <si>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</si>
  <si>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</si>
  <si>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</si>
  <si>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</si>
  <si>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</si>
  <si>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</si>
  <si>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</si>
  <si>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</si>
  <si>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</si>
  <si>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</si>
  <si>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</si>
  <si>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</si>
  <si>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</si>
  <si>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</si>
  <si>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</si>
  <si>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</si>
  <si>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</si>
  <si>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</si>
  <si>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</si>
  <si>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</si>
  <si>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</si>
  <si>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</si>
  <si>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</si>
  <si>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</si>
  <si>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</si>
  <si>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</si>
  <si>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</si>
  <si>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</si>
  <si>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</si>
  <si>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</si>
  <si>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</si>
  <si>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</si>
  <si>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</si>
  <si>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</si>
  <si>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</si>
  <si>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</si>
  <si>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</si>
  <si>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</si>
  <si>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</si>
  <si>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</si>
  <si>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</si>
  <si>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</si>
  <si>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</si>
  <si>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</si>
  <si>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</si>
  <si>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</si>
  <si>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</si>
  <si>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</si>
  <si>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</si>
  <si>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</si>
  <si>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</si>
  <si>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</si>
  <si>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</si>
  <si>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</si>
  <si>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</si>
  <si>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</si>
  <si>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</si>
  <si>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</si>
  <si>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</si>
  <si>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</si>
  <si>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</si>
  <si>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</si>
  <si>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</si>
  <si>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</si>
  <si>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</si>
  <si>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</si>
  <si>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</si>
  <si>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</si>
  <si>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</si>
  <si>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</si>
  <si>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</si>
  <si>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</si>
  <si>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</si>
  <si>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</si>
  <si>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</si>
  <si>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</si>
  <si>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</si>
  <si>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</si>
  <si>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</si>
  <si>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</si>
  <si>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</si>
  <si>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</si>
  <si>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</si>
  <si>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</si>
  <si>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</si>
  <si>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</si>
  <si>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</si>
  <si>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</si>
  <si>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</si>
  <si>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</si>
  <si>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</si>
  <si>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</si>
  <si>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</si>
  <si>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</si>
  <si>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</si>
  <si>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</si>
  <si>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</si>
  <si>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</si>
  <si>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</si>
  <si>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</si>
  <si>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</si>
  <si>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</si>
  <si>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</si>
  <si>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</si>
  <si>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</si>
  <si>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</si>
  <si>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</si>
  <si>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</si>
  <si>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</si>
  <si>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</si>
  <si>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</si>
  <si>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</si>
  <si>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</si>
  <si>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</si>
  <si>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</si>
  <si>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</si>
  <si>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</si>
  <si>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</si>
  <si>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</si>
  <si>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</si>
  <si>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</si>
  <si>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</si>
  <si>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</si>
  <si>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</si>
  <si>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</si>
  <si>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</si>
  <si>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</si>
  <si>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</si>
  <si>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</si>
  <si>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</si>
  <si>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</si>
  <si>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</si>
  <si>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</si>
  <si>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</si>
  <si>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</si>
  <si>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</si>
  <si>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</si>
  <si>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</si>
  <si>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</si>
  <si>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</si>
  <si>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</si>
  <si>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</si>
  <si>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</si>
  <si>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</si>
  <si>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</si>
  <si>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</si>
  <si>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</si>
  <si>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</si>
  <si>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</si>
  <si>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</si>
  <si>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</si>
  <si>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</si>
  <si>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</si>
  <si>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</si>
  <si>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</si>
  <si>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</si>
  <si>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</si>
  <si>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</si>
  <si>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</si>
  <si>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</si>
  <si>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</si>
  <si>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</si>
  <si>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</si>
  <si>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</si>
  <si>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</si>
  <si>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</si>
  <si>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</si>
  <si>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</si>
  <si>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</si>
  <si>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</si>
  <si>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</si>
  <si>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</si>
  <si>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</si>
  <si>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</si>
  <si>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</si>
  <si>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</si>
  <si>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</si>
  <si>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</si>
  <si>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</si>
  <si>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</si>
  <si>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</si>
  <si>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</si>
  <si>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</si>
  <si>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</si>
  <si>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</si>
  <si>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</si>
  <si>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</si>
  <si>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</si>
  <si>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</si>
  <si>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</si>
  <si>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</si>
  <si>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</si>
  <si>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</si>
  <si>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</si>
  <si>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</si>
  <si>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</si>
  <si>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</si>
  <si>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</si>
  <si>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</si>
  <si>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</si>
  <si>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</si>
  <si>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</si>
  <si>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</si>
  <si>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</si>
  <si>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</si>
  <si>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</si>
  <si>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</si>
  <si>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</si>
  <si>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</si>
  <si>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</si>
  <si>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</si>
  <si>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</si>
  <si>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</si>
  <si>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</si>
  <si>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</si>
  <si>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</si>
  <si>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</si>
  <si>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</si>
  <si>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</si>
  <si>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</si>
  <si>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</si>
  <si>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</si>
  <si>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</si>
  <si>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</si>
  <si>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</si>
  <si>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</si>
  <si>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</si>
  <si>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</si>
  <si>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</si>
  <si>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</si>
  <si>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</si>
  <si>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</si>
  <si>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</si>
  <si>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</si>
  <si>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</si>
  <si>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</si>
  <si>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</si>
  <si>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</si>
  <si>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</si>
  <si>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</si>
  <si>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</si>
  <si>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</si>
  <si>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</si>
  <si>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</si>
  <si>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</si>
  <si>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</si>
  <si>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</si>
  <si>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</si>
  <si>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</si>
  <si>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</si>
  <si>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</si>
  <si>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</si>
  <si>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</si>
  <si>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</si>
  <si>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</si>
  <si>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</si>
  <si>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</si>
  <si>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</si>
  <si>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</si>
  <si>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</si>
  <si>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</si>
  <si>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</si>
  <si>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</si>
  <si>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</si>
  <si>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</si>
  <si>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</si>
  <si>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</si>
  <si>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</si>
  <si>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</si>
  <si>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</si>
  <si>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</si>
  <si>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</si>
  <si>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</si>
  <si>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</si>
  <si>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</si>
  <si>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</si>
  <si>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</si>
  <si>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</si>
  <si>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</si>
  <si>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</si>
  <si>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</si>
  <si>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</si>
  <si>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</si>
  <si>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</si>
  <si>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</si>
  <si>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</si>
  <si>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</si>
  <si>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</si>
  <si>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</si>
  <si>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</si>
  <si>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</si>
  <si>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</si>
  <si>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</si>
  <si>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</si>
  <si>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</si>
  <si>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</si>
  <si>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</si>
  <si>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</si>
  <si>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</si>
  <si>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</si>
  <si>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</si>
  <si>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</si>
  <si>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</si>
  <si>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</si>
  <si>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</si>
  <si>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</si>
  <si>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</si>
  <si>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</si>
  <si>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</si>
  <si>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</si>
  <si>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</si>
  <si>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</si>
  <si>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</si>
  <si>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</si>
  <si>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</si>
  <si>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</si>
  <si>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</si>
  <si>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</si>
  <si>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</si>
  <si>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</si>
  <si>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</si>
  <si>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</si>
  <si>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</si>
  <si>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</si>
  <si>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</si>
  <si>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</si>
  <si>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</si>
  <si>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</si>
  <si>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</si>
  <si>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</si>
  <si>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</si>
  <si>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</si>
  <si>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</si>
  <si>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</si>
  <si>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</si>
  <si>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</si>
  <si>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</si>
  <si>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</si>
  <si>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</si>
  <si>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</si>
  <si>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</si>
  <si>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</si>
  <si>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</si>
  <si>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</si>
  <si>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</si>
  <si>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</si>
  <si>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</si>
  <si>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</si>
  <si>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</si>
  <si>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</si>
  <si>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</si>
  <si>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</si>
  <si>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</si>
  <si>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</si>
  <si>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</si>
  <si>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</si>
  <si>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</si>
  <si>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</si>
  <si>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</si>
  <si>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</si>
  <si>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</si>
  <si>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</si>
  <si>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</si>
  <si>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</si>
  <si>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</si>
  <si>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</si>
  <si>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</si>
  <si>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</si>
  <si>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</si>
  <si>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</si>
  <si>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</si>
  <si>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</si>
  <si>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</si>
  <si>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</si>
  <si>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</si>
  <si>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</si>
  <si>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</si>
  <si>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</si>
  <si>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</si>
  <si>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</si>
  <si>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</si>
  <si>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</si>
  <si>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</si>
  <si>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</si>
  <si>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</si>
  <si>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</si>
  <si>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</si>
  <si>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</si>
  <si>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</si>
  <si>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</si>
  <si>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</si>
  <si>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</si>
  <si>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</si>
  <si>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</si>
  <si>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</si>
  <si>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</si>
  <si>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</si>
  <si>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</si>
  <si>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</si>
  <si>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</si>
  <si>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</si>
  <si>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</si>
  <si>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</si>
  <si>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</si>
  <si>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</si>
  <si>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</si>
  <si>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</si>
  <si>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</si>
  <si>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</si>
  <si>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</si>
  <si>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</si>
  <si>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</si>
  <si>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</si>
  <si>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</si>
  <si>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</si>
  <si>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</si>
  <si>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</si>
  <si>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</si>
  <si>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</si>
  <si>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</si>
  <si>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</si>
  <si>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</si>
  <si>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</si>
  <si>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</si>
  <si>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</si>
  <si>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</si>
  <si>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</si>
  <si>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</si>
  <si>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</si>
  <si>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</si>
  <si>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</si>
  <si>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</si>
  <si>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</si>
  <si>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</si>
  <si>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</si>
  <si>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</si>
  <si>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</si>
  <si>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</si>
  <si>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</si>
  <si>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</si>
  <si>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</si>
  <si>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</si>
  <si>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</si>
  <si>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</si>
  <si>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</si>
  <si>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</si>
  <si>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</si>
  <si>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</si>
  <si>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</si>
  <si>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</si>
  <si>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</si>
  <si>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</si>
  <si>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</si>
  <si>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</si>
  <si>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</si>
  <si>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</si>
  <si>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</si>
  <si>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</si>
  <si>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</si>
  <si>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</si>
  <si>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</si>
  <si>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</si>
  <si>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</si>
  <si>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</si>
  <si>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</si>
  <si>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</si>
  <si>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</si>
  <si>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</si>
  <si>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</si>
  <si>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</si>
  <si>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</si>
  <si>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</si>
  <si>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</si>
  <si>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</si>
  <si>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</si>
  <si>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</si>
  <si>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</si>
  <si>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</si>
  <si>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</si>
  <si>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</si>
  <si>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</si>
  <si>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</si>
  <si>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</si>
  <si>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</si>
  <si>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</si>
  <si>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</si>
  <si>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</si>
  <si>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</si>
  <si>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</si>
  <si>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</si>
  <si>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</si>
  <si>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</si>
  <si>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</si>
  <si>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</si>
  <si>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</si>
  <si>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</si>
  <si>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</si>
  <si>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</si>
  <si>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</si>
  <si>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</si>
  <si>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</si>
  <si>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</si>
  <si>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</si>
  <si>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</si>
  <si>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</si>
  <si>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</si>
  <si>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</si>
  <si>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</si>
  <si>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</si>
  <si>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</si>
  <si>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</si>
  <si>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</si>
  <si>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</si>
  <si>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</si>
  <si>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</si>
  <si>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</si>
  <si>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</si>
  <si>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</si>
  <si>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</si>
  <si>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</si>
  <si>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</si>
  <si>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</si>
  <si>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</si>
  <si>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</si>
  <si>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</si>
  <si>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</si>
  <si>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</si>
  <si>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</si>
  <si>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</si>
  <si>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</si>
  <si>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</si>
  <si>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</si>
  <si>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</si>
  <si>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</si>
  <si>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</si>
  <si>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</si>
  <si>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</si>
  <si>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</si>
  <si>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</si>
  <si>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</si>
  <si>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</si>
  <si>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</si>
  <si>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</si>
  <si>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</si>
  <si>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</si>
  <si>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</si>
  <si>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</si>
  <si>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</si>
  <si>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</si>
  <si>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</si>
  <si>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</si>
  <si>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</si>
  <si>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</si>
  <si>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</si>
  <si>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</si>
  <si>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</si>
  <si>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</si>
  <si>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</si>
  <si>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</si>
  <si>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</si>
  <si>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</si>
  <si>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</si>
  <si>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</si>
  <si>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</si>
  <si>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</si>
  <si>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</si>
  <si>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</si>
  <si>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</si>
  <si>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</si>
  <si>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</si>
  <si>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</si>
  <si>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</si>
  <si>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</si>
  <si>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</si>
  <si>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</si>
  <si>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</si>
  <si>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</si>
  <si>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</si>
  <si>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</si>
  <si>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</si>
  <si>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</si>
  <si>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</si>
  <si>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</si>
  <si>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</si>
  <si>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</si>
  <si>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</si>
  <si>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</si>
  <si>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</si>
  <si>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</si>
  <si>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</si>
  <si>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</si>
  <si>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</si>
  <si>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</si>
  <si>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</si>
  <si>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</si>
  <si>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</si>
  <si>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</si>
  <si>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</si>
  <si>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</si>
  <si>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</si>
  <si>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</si>
  <si>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</si>
  <si>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</si>
  <si>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</si>
  <si>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</si>
  <si>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</si>
  <si>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</si>
  <si>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</si>
  <si>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</si>
  <si>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</si>
  <si>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</si>
  <si>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</si>
  <si>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</si>
  <si>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</si>
  <si>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</si>
  <si>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</si>
  <si>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</si>
  <si>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</si>
  <si>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</si>
  <si>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</si>
  <si>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</si>
  <si>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</si>
  <si>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</si>
  <si>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</si>
  <si>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</si>
  <si>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</si>
  <si>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</si>
  <si>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</si>
  <si>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</si>
  <si>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</si>
  <si>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</si>
  <si>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</si>
  <si>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</si>
  <si>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</si>
  <si>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</si>
  <si>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</si>
  <si>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</si>
  <si>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</si>
  <si>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</si>
  <si>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</si>
  <si>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</si>
  <si>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</si>
  <si>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</si>
  <si>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</si>
  <si>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</si>
  <si>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</si>
  <si>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</si>
  <si>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</si>
  <si>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</si>
  <si>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</si>
  <si>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</si>
  <si>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</si>
  <si>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</si>
  <si>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</si>
  <si>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</si>
  <si>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</si>
  <si>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</si>
  <si>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</si>
  <si>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</si>
  <si>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</si>
  <si>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</si>
  <si>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</si>
  <si>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</si>
  <si>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</si>
  <si>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</si>
  <si>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</si>
  <si>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</si>
  <si>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</si>
  <si>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</si>
  <si>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</si>
  <si>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</si>
  <si>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</si>
  <si>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</si>
  <si>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</si>
  <si>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</si>
  <si>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</si>
  <si>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</si>
  <si>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</si>
  <si>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</si>
  <si>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</si>
  <si>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</si>
  <si>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</si>
  <si>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</si>
  <si>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</si>
  <si>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</si>
  <si>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</si>
  <si>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</si>
  <si>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</si>
  <si>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</si>
  <si>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</si>
  <si>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</si>
  <si>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</si>
  <si>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</si>
  <si>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</si>
  <si>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</si>
  <si>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</si>
  <si>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</si>
  <si>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</si>
  <si>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</si>
  <si>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</si>
  <si>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</si>
  <si>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</si>
  <si>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</si>
  <si>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</si>
  <si>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</si>
  <si>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</si>
  <si>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</si>
  <si>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</si>
  <si>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</si>
  <si>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</si>
  <si>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</si>
  <si>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</si>
  <si>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</si>
  <si>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</si>
  <si>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</si>
  <si>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</si>
  <si>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</si>
  <si>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</si>
  <si>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</si>
  <si>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</si>
  <si>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</si>
  <si>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</si>
  <si>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</si>
  <si>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</si>
  <si>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</si>
  <si>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</si>
  <si>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</si>
  <si>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</si>
  <si>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</si>
  <si>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</si>
  <si>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</si>
  <si>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</si>
  <si>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</si>
  <si>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</si>
  <si>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</si>
  <si>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</si>
  <si>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</si>
  <si>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</si>
  <si>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</si>
  <si>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</si>
  <si>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</si>
  <si>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</si>
  <si>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</si>
  <si>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</si>
  <si>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</si>
  <si>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</si>
  <si>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</si>
  <si>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</si>
  <si>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</si>
  <si>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</si>
  <si>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</si>
  <si>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</si>
  <si>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</si>
  <si>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</si>
  <si>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</si>
  <si>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</si>
  <si>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</si>
  <si>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</si>
  <si>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</si>
  <si>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</si>
  <si>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</si>
  <si>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</si>
  <si>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</si>
  <si>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</si>
  <si>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</si>
  <si>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</si>
  <si>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</si>
  <si>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</si>
  <si>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</si>
  <si>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</si>
  <si>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Category</t>
  </si>
  <si>
    <t>Success</t>
  </si>
  <si>
    <t>Total</t>
  </si>
  <si>
    <t xml:space="preserve">rock </t>
  </si>
  <si>
    <t>Goal</t>
  </si>
  <si>
    <t>Number Succesful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</si>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</sst>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- 9232018.xlsx]Pivot Table-1!PivotTable4</c:name>
    <c:fmtId val="7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85-4B9D-9FDE-20E927E44689}"/>
            </c:ext>
          </c:extLst>
        </c:ser>
        <c:ser>
          <c:idx val="1"/>
          <c:order val="1"/>
          <c:tx>
            <c:strRef>
              <c:f>'Pivot Table-1'!$C$3:$C$4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85-4B9D-9FDE-20E927E44689}"/>
            </c:ext>
          </c:extLst>
        </c:ser>
        <c:ser>
          <c:idx val="2"/>
          <c:order val="2"/>
          <c:tx>
            <c:strRef>
              <c:f>'Pivot Table-1'!$D$3:$D$4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85-4B9D-9FDE-20E927E44689}"/>
            </c:ext>
          </c:extLst>
        </c:ser>
        <c:ser>
          <c:idx val="3"/>
          <c:order val="3"/>
          <c:tx>
            <c:strRef>
              <c:f>'Pivot Table-1'!$E$3:$E$4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85-4B9D-9FDE-20E927E44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1242528"/>
        <c:axId val="871239576"/>
      </c:barChart>
      <c:catAx>
        <c:axId val="87124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239576"/>
        <c:crosses val="autoZero"/>
        <c:auto val="1"/>
        <c:lblAlgn val="ctr"/>
        <c:lblOffset val="100"/>
        <c:noMultiLvlLbl val="0"/>
      </c:catAx>
      <c:valAx>
        <c:axId val="87123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24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- 9232018.xlsx]Pivot Table-2!PivotTable5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Table-2'!$A$6:$A$15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Table-2'!$B$6:$B$15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CD-43BD-82EC-057CE5D217F2}"/>
            </c:ext>
          </c:extLst>
        </c:ser>
        <c:ser>
          <c:idx val="1"/>
          <c:order val="1"/>
          <c:tx>
            <c:strRef>
              <c:f>'Pivot Table-2'!$C$4:$C$5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Table-2'!$A$6:$A$15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Table-2'!$C$6:$C$15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CD-43BD-82EC-057CE5D217F2}"/>
            </c:ext>
          </c:extLst>
        </c:ser>
        <c:ser>
          <c:idx val="2"/>
          <c:order val="2"/>
          <c:tx>
            <c:strRef>
              <c:f>'Pivot Table-2'!$D$4:$D$5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Table-2'!$A$6:$A$15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Table-2'!$D$6:$D$15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CD-43BD-82EC-057CE5D217F2}"/>
            </c:ext>
          </c:extLst>
        </c:ser>
        <c:ser>
          <c:idx val="3"/>
          <c:order val="3"/>
          <c:tx>
            <c:strRef>
              <c:f>'Pivot Table-2'!$E$4:$E$5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Table-2'!$A$6:$A$15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Table-2'!$E$6:$E$15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CD-43BD-82EC-057CE5D21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3652576"/>
        <c:axId val="593664056"/>
      </c:barChart>
      <c:catAx>
        <c:axId val="59365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64056"/>
        <c:crosses val="autoZero"/>
        <c:auto val="1"/>
        <c:lblAlgn val="ctr"/>
        <c:lblOffset val="100"/>
        <c:noMultiLvlLbl val="0"/>
      </c:catAx>
      <c:valAx>
        <c:axId val="59366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5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- 9232018.xlsx]Pivot Table-3!PivotTable6</c:name>
    <c:fmtId val="9"/>
  </c:pivotSource>
  <c:chart>
    <c:autoTitleDeleted val="0"/>
    <c:pivotFmts>
      <c:pivotFmt>
        <c:idx val="0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2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3"/>
      </c:pivotFmt>
      <c:pivotFmt>
        <c:idx val="4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Table-3'!$B$4:$B$5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'Pivot Table-3'!$A$6:$A$18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42-4DDC-A487-364CB2121CBA}"/>
            </c:ext>
          </c:extLst>
        </c:ser>
        <c:ser>
          <c:idx val="1"/>
          <c:order val="1"/>
          <c:tx>
            <c:strRef>
              <c:f>'Pivot Table-3'!$C$4:$C$5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'Pivot Table-3'!$A$6:$A$18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42-4DDC-A487-364CB2121CBA}"/>
            </c:ext>
          </c:extLst>
        </c:ser>
        <c:ser>
          <c:idx val="2"/>
          <c:order val="2"/>
          <c:tx>
            <c:strRef>
              <c:f>'Pivot Table-3'!$D$4:$D$5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'Pivot Table-3'!$A$6:$A$18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42-4DDC-A487-364CB2121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6990400"/>
        <c:axId val="776987776"/>
      </c:lineChart>
      <c:catAx>
        <c:axId val="776990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987776"/>
        <c:crosses val="autoZero"/>
        <c:auto val="1"/>
        <c:lblAlgn val="ctr"/>
        <c:lblOffset val="100"/>
        <c:noMultiLvlLbl val="0"/>
      </c:catAx>
      <c:valAx>
        <c:axId val="77698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99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Sucess Rate by </a:t>
            </a:r>
          </a:p>
          <a:p>
            <a:pPr>
              <a:defRPr/>
            </a:pPr>
            <a:r>
              <a:rPr lang="en-US"/>
              <a:t>MUSic</a:t>
            </a:r>
            <a:r>
              <a:rPr lang="en-US" baseline="0"/>
              <a:t> Sub</a:t>
            </a:r>
            <a:r>
              <a:rPr lang="en-US"/>
              <a:t>category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Pt>
            <c:idx val="4"/>
            <c:invertIfNegative val="0"/>
            <c:bubble3D val="0"/>
            <c:spPr>
              <a:noFill/>
              <a:ln>
                <a:solidFill>
                  <a:sysClr val="windowText" lastClr="000000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B469-4978-89ED-2074920F5B40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solidFill>
                  <a:sysClr val="windowText" lastClr="000000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B469-4978-89ED-2074920F5B40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469-4978-89ED-2074920F5B40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469-4978-89ED-2074920F5B40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469-4978-89ED-2074920F5B40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469-4978-89ED-2074920F5B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'Other Chart'!$E$4:$E$14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pop</c:v>
                </c:pt>
                <c:pt idx="3">
                  <c:v>rock </c:v>
                </c:pt>
                <c:pt idx="4">
                  <c:v>indie rock</c:v>
                </c:pt>
                <c:pt idx="5">
                  <c:v>metal</c:v>
                </c:pt>
                <c:pt idx="6">
                  <c:v>faith</c:v>
                </c:pt>
                <c:pt idx="7">
                  <c:v>jazz</c:v>
                </c:pt>
                <c:pt idx="8">
                  <c:v>world music</c:v>
                </c:pt>
              </c:strCache>
            </c:strRef>
          </c:cat>
          <c:val>
            <c:numRef>
              <c:f>'Other Chart'!$H$4:$H$14</c:f>
              <c:numCache>
                <c:formatCode>0%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0.875</c:v>
                </c:pt>
                <c:pt idx="5">
                  <c:v>9.0909090909090912E-2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69-4978-89ED-2074920F5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785265856"/>
        <c:axId val="785263232"/>
      </c:barChart>
      <c:catAx>
        <c:axId val="78526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263232"/>
        <c:crosses val="autoZero"/>
        <c:auto val="1"/>
        <c:lblAlgn val="ctr"/>
        <c:lblOffset val="100"/>
        <c:noMultiLvlLbl val="0"/>
      </c:catAx>
      <c:valAx>
        <c:axId val="785263232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26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2E-4FCC-8281-3274B3A60435}"/>
            </c:ext>
          </c:extLst>
        </c:ser>
        <c:ser>
          <c:idx val="1"/>
          <c:order val="1"/>
          <c:tx>
            <c:strRef>
              <c:f>Sheet6!$G$1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2E-4FCC-8281-3274B3A60435}"/>
            </c:ext>
          </c:extLst>
        </c:ser>
        <c:ser>
          <c:idx val="2"/>
          <c:order val="2"/>
          <c:tx>
            <c:strRef>
              <c:f>Sheet6!$H$1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2E-4FCC-8281-3274B3A60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9506200"/>
        <c:axId val="785263560"/>
      </c:lineChart>
      <c:catAx>
        <c:axId val="599506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263560"/>
        <c:crosses val="autoZero"/>
        <c:auto val="1"/>
        <c:lblAlgn val="ctr"/>
        <c:lblOffset val="100"/>
        <c:noMultiLvlLbl val="0"/>
      </c:catAx>
      <c:valAx>
        <c:axId val="785263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06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180981</xdr:colOff>
      <xdr:row>1</xdr:row>
      <xdr:rowOff>4762</xdr:rowOff>
    </xdr:from>
    <xdr:to>
      <xdr:col>14</xdr:col>
      <xdr:colOff>485781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5306E4-68A5-4744-AD92-726518BDD5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152405</xdr:colOff>
      <xdr:row>4</xdr:row>
      <xdr:rowOff>66675</xdr:rowOff>
    </xdr:from>
    <xdr:to>
      <xdr:col>15</xdr:col>
      <xdr:colOff>104774</xdr:colOff>
      <xdr:row>19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772AD4-4BD8-48B2-B840-148660B94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228606</xdr:colOff>
      <xdr:row>3</xdr:row>
      <xdr:rowOff>119062</xdr:rowOff>
    </xdr:from>
    <xdr:to>
      <xdr:col>13</xdr:col>
      <xdr:colOff>371481</xdr:colOff>
      <xdr:row>18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997BAD-0D70-4674-8808-1787129AC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238125</xdr:colOff>
      <xdr:row>13</xdr:row>
      <xdr:rowOff>114300</xdr:rowOff>
    </xdr:from>
    <xdr:to>
      <xdr:col>12</xdr:col>
      <xdr:colOff>657225</xdr:colOff>
      <xdr:row>31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245F7A-1EB0-4D49-95AD-14ECF2D43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13</xdr:row>
      <xdr:rowOff>161924</xdr:rowOff>
    </xdr:from>
    <xdr:to>
      <xdr:col>10</xdr:col>
      <xdr:colOff>133350</xdr:colOff>
      <xdr:row>30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8D28F9-0249-4073-85D4-37D622F97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e" refreshedDate="43366.898606944444" createdVersion="6" refreshedVersion="6" minRefreshableVersion="3" recordCount="4115" xr:uid="{01BE1565-D020-47DD-A313-5F82E28332A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e" refreshedDate="43366.918888078704" createdVersion="6" refreshedVersion="6" minRefreshableVersion="3" recordCount="4115" xr:uid="{19C1A771-7577-40B2-AF18-CF51D1CBD191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  <r>
    <m/>
    <m/>
    <m/>
    <m/>
    <m/>
    <x v="4"/>
    <m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631E71-4565-40BD-8F25-12A3A5982406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D6B582-5E5A-4307-A077-B8D6CABF626B}" name="PivotTable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35A65D-422F-4E2F-B23C-D609554ADCA5}" name="PivotTable6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6A2983-70D0-4285-8049-A0ED8DE4B631}" name="PivotTable7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C11" firstHeaderRow="0" firstDataRow="1" firstDataCol="1" rowPageCount="2" colPageCount="1"/>
  <pivotFields count="22">
    <pivotField showAll="0"/>
    <pivotField showAll="0"/>
    <pivotField showAll="0"/>
    <pivotField showAll="0"/>
    <pivotField showAll="0"/>
    <pivotField axis="axisPage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7"/>
  </rowFields>
  <rowItems count="7">
    <i>
      <x v="4"/>
    </i>
    <i>
      <x v="7"/>
    </i>
    <i>
      <x v="13"/>
    </i>
    <i>
      <x v="16"/>
    </i>
    <i>
      <x v="25"/>
    </i>
    <i>
      <x v="28"/>
    </i>
    <i t="grand">
      <x/>
    </i>
  </rowItems>
  <colFields count="1">
    <field x="-2"/>
  </colFields>
  <colItems count="2">
    <i>
      <x/>
    </i>
    <i i="1">
      <x v="1"/>
    </i>
  </colItems>
  <pageFields count="2">
    <pageField fld="5" item="3" hier="-1"/>
    <pageField fld="16" item="4" hier="-1"/>
  </pageFields>
  <dataFields count="2">
    <dataField name="Count of Category" fld="16" subtotal="count" baseField="0" baseItem="0"/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B364A-1EF7-421B-BB0F-8B7A1EB61B0A}">
  <sheetPr codeName="Sheet1"/>
  <dimension ref="A1:F31"/>
  <sheetViews>
    <sheetView workbookViewId="0">
      <selection activeCell="C8" sqref="C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8321</v>
      </c>
      <c r="B3" s="7" t="s">
        <v>8322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23" spans="2:4" x14ac:dyDescent="0.25">
      <c r="B23" t="s">
        <v>8311</v>
      </c>
      <c r="C23">
        <f>GETPIVOTDATA("state",$A$3,"state","successful","Category","film &amp; video")/GETPIVOTDATA("state",$A$3,"Category","film &amp; video")</f>
        <v>0.57692307692307687</v>
      </c>
      <c r="D23">
        <f>839/1393</f>
        <v>0.60229720028715006</v>
      </c>
    </row>
    <row r="24" spans="2:4" x14ac:dyDescent="0.25">
      <c r="B24" t="s">
        <v>8312</v>
      </c>
      <c r="C24">
        <f>GETPIVOTDATA("state",$A$3,"state","successful","Category","food")/GETPIVOTDATA("state",$A$3,"Category","food")</f>
        <v>0.17</v>
      </c>
      <c r="D24">
        <f>540/700</f>
        <v>0.77142857142857146</v>
      </c>
    </row>
    <row r="25" spans="2:4" x14ac:dyDescent="0.25">
      <c r="B25" t="s">
        <v>8313</v>
      </c>
      <c r="C25">
        <f>GETPIVOTDATA("state",$A$3,"state","successful","Category","games")/GETPIVOTDATA("state",$A$3,"Category","games")</f>
        <v>0.36363636363636365</v>
      </c>
      <c r="D25">
        <f>103/220</f>
        <v>0.4681818181818182</v>
      </c>
    </row>
    <row r="26" spans="2:4" x14ac:dyDescent="0.25">
      <c r="B26" t="s">
        <v>8314</v>
      </c>
      <c r="C26">
        <f>GETPIVOTDATA("state",$A$3,"state","successful","Category","journalism")/GETPIVOTDATA("state",$A$3,"Category","journalism")</f>
        <v>0</v>
      </c>
    </row>
    <row r="27" spans="2:4" x14ac:dyDescent="0.25">
      <c r="B27" t="s">
        <v>8315</v>
      </c>
      <c r="C27">
        <f>GETPIVOTDATA("state",$A$3,"state","successful","Category","music")/GETPIVOTDATA("state",$A$3,"Category","music")</f>
        <v>0.77142857142857146</v>
      </c>
    </row>
    <row r="28" spans="2:4" x14ac:dyDescent="0.25">
      <c r="B28" t="s">
        <v>8316</v>
      </c>
      <c r="C28">
        <f>GETPIVOTDATA("state",$A$3,"state","successful","Category","photography")/GETPIVOTDATA("state",$A$3,"Category","photography")</f>
        <v>0.4681818181818182</v>
      </c>
    </row>
    <row r="29" spans="2:4" x14ac:dyDescent="0.25">
      <c r="B29" t="s">
        <v>8317</v>
      </c>
      <c r="C29">
        <f>GETPIVOTDATA("state",$A$3,"state","successful","Category","publishing")/GETPIVOTDATA("state",$A$3,"Category","publishing")</f>
        <v>0.33755274261603374</v>
      </c>
    </row>
    <row r="30" spans="2:4" x14ac:dyDescent="0.25">
      <c r="B30" t="s">
        <v>8318</v>
      </c>
      <c r="C30">
        <f>GETPIVOTDATA("state",$A$3,"state","successful","Category","technology")/GETPIVOTDATA("state",$A$3,"Category","technology")</f>
        <v>0.34833333333333333</v>
      </c>
    </row>
    <row r="31" spans="2:4" x14ac:dyDescent="0.25">
      <c r="B31" t="s">
        <v>8319</v>
      </c>
      <c r="C31">
        <f>GETPIVOTDATA("state",$A$3,"state","successful","Category","theater")/GETPIVOTDATA("state",$A$3,"Category","theater")</f>
        <v>0.60229720028715006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0F9A3-2645-494A-B205-A1341710884A}">
  <sheetPr codeName="Sheet2"/>
  <dimension ref="A1:F15"/>
  <sheetViews>
    <sheetView workbookViewId="0">
      <selection activeCell="B1" sqref="B1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8308</v>
      </c>
      <c r="B2" t="s">
        <v>8315</v>
      </c>
    </row>
    <row r="4" spans="1:6" x14ac:dyDescent="0.25">
      <c r="A4" s="7" t="s">
        <v>8321</v>
      </c>
      <c r="B4" s="7" t="s">
        <v>8322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8" t="s">
        <v>8324</v>
      </c>
      <c r="B6" s="9">
        <v>40</v>
      </c>
      <c r="C6" s="9"/>
      <c r="D6" s="9"/>
      <c r="E6" s="9"/>
      <c r="F6" s="9">
        <v>40</v>
      </c>
    </row>
    <row r="7" spans="1:6" x14ac:dyDescent="0.25">
      <c r="A7" s="8" t="s">
        <v>8325</v>
      </c>
      <c r="B7" s="9">
        <v>40</v>
      </c>
      <c r="C7" s="9"/>
      <c r="D7" s="9"/>
      <c r="E7" s="9"/>
      <c r="F7" s="9">
        <v>40</v>
      </c>
    </row>
    <row r="8" spans="1:6" x14ac:dyDescent="0.25">
      <c r="A8" s="8" t="s">
        <v>8326</v>
      </c>
      <c r="B8" s="9"/>
      <c r="C8" s="9">
        <v>40</v>
      </c>
      <c r="D8" s="9"/>
      <c r="E8" s="9">
        <v>20</v>
      </c>
      <c r="F8" s="9">
        <v>60</v>
      </c>
    </row>
    <row r="9" spans="1:6" x14ac:dyDescent="0.25">
      <c r="A9" s="8" t="s">
        <v>8327</v>
      </c>
      <c r="B9" s="9">
        <v>140</v>
      </c>
      <c r="C9" s="9">
        <v>20</v>
      </c>
      <c r="D9" s="9"/>
      <c r="E9" s="9"/>
      <c r="F9" s="9">
        <v>160</v>
      </c>
    </row>
    <row r="10" spans="1:6" x14ac:dyDescent="0.25">
      <c r="A10" s="8" t="s">
        <v>8328</v>
      </c>
      <c r="B10" s="9"/>
      <c r="C10" s="9">
        <v>60</v>
      </c>
      <c r="D10" s="9"/>
      <c r="E10" s="9"/>
      <c r="F10" s="9">
        <v>60</v>
      </c>
    </row>
    <row r="11" spans="1:6" x14ac:dyDescent="0.25">
      <c r="A11" s="8" t="s">
        <v>8329</v>
      </c>
      <c r="B11" s="9">
        <v>20</v>
      </c>
      <c r="C11" s="9"/>
      <c r="D11" s="9"/>
      <c r="E11" s="9"/>
      <c r="F11" s="9">
        <v>20</v>
      </c>
    </row>
    <row r="12" spans="1:6" x14ac:dyDescent="0.25">
      <c r="A12" s="8" t="s">
        <v>8330</v>
      </c>
      <c r="B12" s="9">
        <v>40</v>
      </c>
      <c r="C12" s="9"/>
      <c r="D12" s="9"/>
      <c r="E12" s="9"/>
      <c r="F12" s="9">
        <v>40</v>
      </c>
    </row>
    <row r="13" spans="1:6" x14ac:dyDescent="0.25">
      <c r="A13" s="8" t="s">
        <v>8331</v>
      </c>
      <c r="B13" s="9">
        <v>260</v>
      </c>
      <c r="C13" s="9"/>
      <c r="D13" s="9"/>
      <c r="E13" s="9"/>
      <c r="F13" s="9">
        <v>260</v>
      </c>
    </row>
    <row r="14" spans="1:6" x14ac:dyDescent="0.25">
      <c r="A14" s="8" t="s">
        <v>8332</v>
      </c>
      <c r="B14" s="9"/>
      <c r="C14" s="9"/>
      <c r="D14" s="9">
        <v>20</v>
      </c>
      <c r="E14" s="9"/>
      <c r="F14" s="9">
        <v>20</v>
      </c>
    </row>
    <row r="15" spans="1:6" x14ac:dyDescent="0.25">
      <c r="A15" s="8" t="s">
        <v>8320</v>
      </c>
      <c r="B15" s="9">
        <v>540</v>
      </c>
      <c r="C15" s="9">
        <v>120</v>
      </c>
      <c r="D15" s="9">
        <v>20</v>
      </c>
      <c r="E15" s="9">
        <v>20</v>
      </c>
      <c r="F15" s="9">
        <v>700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99796-31D7-450F-9B88-D4FD1CAA8891}">
  <sheetPr codeName="Sheet3"/>
  <dimension ref="A1:E18"/>
  <sheetViews>
    <sheetView workbookViewId="0">
      <selection activeCell="A18" sqref="A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7" t="s">
        <v>8308</v>
      </c>
      <c r="B1" t="s">
        <v>8323</v>
      </c>
    </row>
    <row r="2" spans="1:5" x14ac:dyDescent="0.25">
      <c r="A2" s="7" t="s">
        <v>8347</v>
      </c>
      <c r="B2" t="s">
        <v>8323</v>
      </c>
    </row>
    <row r="4" spans="1:5" x14ac:dyDescent="0.25">
      <c r="A4" s="7" t="s">
        <v>8321</v>
      </c>
      <c r="B4" s="7" t="s">
        <v>8322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8" t="s">
        <v>8341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8" t="s">
        <v>8342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8" t="s">
        <v>8343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8" t="s">
        <v>8344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8" t="s">
        <v>8335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8" t="s">
        <v>8345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8" t="s">
        <v>8336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8" t="s">
        <v>8337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8" t="s">
        <v>8338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8" t="s">
        <v>8339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8" t="s">
        <v>8340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8" t="s">
        <v>8346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8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95987-AA8F-4760-8F1E-855512A55ED4}">
  <sheetPr codeName="Sheet5"/>
  <dimension ref="A1:H14"/>
  <sheetViews>
    <sheetView topLeftCell="A12" workbookViewId="0">
      <selection activeCell="C31" sqref="C31"/>
    </sheetView>
  </sheetViews>
  <sheetFormatPr defaultRowHeight="15" x14ac:dyDescent="0.25"/>
  <cols>
    <col min="1" max="1" width="15.5703125" bestFit="1" customWidth="1"/>
    <col min="2" max="2" width="17" bestFit="1" customWidth="1"/>
    <col min="3" max="3" width="13.5703125" bestFit="1" customWidth="1"/>
    <col min="4" max="4" width="13.5703125" customWidth="1"/>
    <col min="5" max="5" width="17.140625" customWidth="1"/>
    <col min="6" max="6" width="10" bestFit="1" customWidth="1"/>
    <col min="7" max="7" width="7.28515625" bestFit="1" customWidth="1"/>
    <col min="8" max="8" width="13.5703125" bestFit="1" customWidth="1"/>
    <col min="9" max="9" width="6.140625" bestFit="1" customWidth="1"/>
    <col min="10" max="10" width="4.28515625" bestFit="1" customWidth="1"/>
    <col min="11" max="11" width="10" bestFit="1" customWidth="1"/>
    <col min="12" max="12" width="7.28515625" bestFit="1" customWidth="1"/>
    <col min="13" max="13" width="22.140625" bestFit="1" customWidth="1"/>
    <col min="14" max="14" width="18.5703125" bestFit="1" customWidth="1"/>
  </cols>
  <sheetData>
    <row r="1" spans="1:8" x14ac:dyDescent="0.25">
      <c r="A1" s="7" t="s">
        <v>8218</v>
      </c>
      <c r="B1" t="s">
        <v>8219</v>
      </c>
    </row>
    <row r="2" spans="1:8" x14ac:dyDescent="0.25">
      <c r="A2" s="7" t="s">
        <v>8308</v>
      </c>
      <c r="B2" t="s">
        <v>8315</v>
      </c>
    </row>
    <row r="3" spans="1:8" x14ac:dyDescent="0.25">
      <c r="F3" t="s">
        <v>8349</v>
      </c>
      <c r="G3" t="s">
        <v>8350</v>
      </c>
    </row>
    <row r="4" spans="1:8" x14ac:dyDescent="0.25">
      <c r="A4" s="7" t="s">
        <v>8310</v>
      </c>
      <c r="B4" t="s">
        <v>8348</v>
      </c>
      <c r="C4" t="s">
        <v>8321</v>
      </c>
      <c r="D4" s="9"/>
      <c r="E4" t="s">
        <v>8324</v>
      </c>
      <c r="F4">
        <v>40</v>
      </c>
      <c r="G4">
        <v>40</v>
      </c>
      <c r="H4" s="5">
        <f>F4/G4</f>
        <v>1</v>
      </c>
    </row>
    <row r="5" spans="1:8" x14ac:dyDescent="0.25">
      <c r="A5" s="8" t="s">
        <v>8324</v>
      </c>
      <c r="B5" s="9">
        <v>40</v>
      </c>
      <c r="C5" s="9">
        <v>40</v>
      </c>
      <c r="D5" s="9"/>
      <c r="E5" t="s">
        <v>8325</v>
      </c>
      <c r="F5">
        <v>40</v>
      </c>
      <c r="G5">
        <v>40</v>
      </c>
      <c r="H5" s="5">
        <f>F5/G5</f>
        <v>1</v>
      </c>
    </row>
    <row r="6" spans="1:8" x14ac:dyDescent="0.25">
      <c r="A6" s="8" t="s">
        <v>8325</v>
      </c>
      <c r="B6" s="9">
        <v>40</v>
      </c>
      <c r="C6" s="9">
        <v>40</v>
      </c>
      <c r="D6" s="9"/>
      <c r="E6" t="s">
        <v>8330</v>
      </c>
      <c r="F6">
        <v>40</v>
      </c>
      <c r="G6">
        <v>40</v>
      </c>
      <c r="H6" s="5">
        <f>F6/G6</f>
        <v>1</v>
      </c>
    </row>
    <row r="7" spans="1:8" x14ac:dyDescent="0.25">
      <c r="A7" s="8" t="s">
        <v>8327</v>
      </c>
      <c r="B7" s="9">
        <v>140</v>
      </c>
      <c r="C7" s="9">
        <v>140</v>
      </c>
      <c r="D7" s="9"/>
      <c r="E7" t="s">
        <v>8351</v>
      </c>
      <c r="F7">
        <v>260</v>
      </c>
      <c r="G7">
        <v>260</v>
      </c>
      <c r="H7" s="5">
        <f>F7/G7</f>
        <v>1</v>
      </c>
    </row>
    <row r="8" spans="1:8" x14ac:dyDescent="0.25">
      <c r="A8" s="8" t="s">
        <v>8329</v>
      </c>
      <c r="B8" s="9">
        <v>20</v>
      </c>
      <c r="C8" s="9">
        <v>20</v>
      </c>
      <c r="D8" s="9"/>
      <c r="E8" t="s">
        <v>8327</v>
      </c>
      <c r="F8">
        <v>140</v>
      </c>
      <c r="G8">
        <v>160</v>
      </c>
      <c r="H8" s="5">
        <f>F8/G8</f>
        <v>0.875</v>
      </c>
    </row>
    <row r="9" spans="1:8" x14ac:dyDescent="0.25">
      <c r="A9" s="8" t="s">
        <v>8330</v>
      </c>
      <c r="B9" s="9">
        <v>40</v>
      </c>
      <c r="C9" s="9">
        <v>40</v>
      </c>
      <c r="D9" s="9"/>
      <c r="E9" t="s">
        <v>8329</v>
      </c>
      <c r="F9">
        <v>20</v>
      </c>
      <c r="G9">
        <v>220</v>
      </c>
      <c r="H9" s="5">
        <f>F9/G9</f>
        <v>9.0909090909090912E-2</v>
      </c>
    </row>
    <row r="10" spans="1:8" x14ac:dyDescent="0.25">
      <c r="A10" s="8" t="s">
        <v>8331</v>
      </c>
      <c r="B10" s="9">
        <v>260</v>
      </c>
      <c r="C10" s="9">
        <v>260</v>
      </c>
      <c r="D10" s="9"/>
      <c r="E10" t="s">
        <v>8326</v>
      </c>
      <c r="F10">
        <v>0</v>
      </c>
      <c r="G10">
        <v>60</v>
      </c>
      <c r="H10" s="5">
        <f>F10/G10</f>
        <v>0</v>
      </c>
    </row>
    <row r="11" spans="1:8" x14ac:dyDescent="0.25">
      <c r="A11" s="8" t="s">
        <v>8320</v>
      </c>
      <c r="B11" s="9">
        <v>540</v>
      </c>
      <c r="C11" s="9">
        <v>540</v>
      </c>
      <c r="D11" s="9"/>
      <c r="E11" t="s">
        <v>8328</v>
      </c>
      <c r="F11">
        <v>0</v>
      </c>
      <c r="G11">
        <v>60</v>
      </c>
      <c r="H11" s="5">
        <f>F11/G11</f>
        <v>0</v>
      </c>
    </row>
    <row r="12" spans="1:8" x14ac:dyDescent="0.25">
      <c r="D12" s="9"/>
      <c r="E12" t="s">
        <v>8332</v>
      </c>
      <c r="F12">
        <v>0</v>
      </c>
      <c r="G12">
        <v>20</v>
      </c>
      <c r="H12" s="5">
        <f>F12/G12</f>
        <v>0</v>
      </c>
    </row>
    <row r="13" spans="1:8" x14ac:dyDescent="0.25">
      <c r="H13" s="5"/>
    </row>
    <row r="14" spans="1:8" x14ac:dyDescent="0.25">
      <c r="H14" s="5"/>
    </row>
  </sheetData>
  <sortState ref="E4:H12">
    <sortCondition descending="1" ref="H4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9B735-B59F-41F3-83DE-3A71DF9EDAB4}">
  <sheetPr codeName="Sheet6"/>
  <dimension ref="A1:H13"/>
  <sheetViews>
    <sheetView tabSelected="1" topLeftCell="A5" workbookViewId="0">
      <selection activeCell="I9" sqref="I9"/>
    </sheetView>
  </sheetViews>
  <sheetFormatPr defaultRowHeight="15" x14ac:dyDescent="0.25"/>
  <cols>
    <col min="1" max="1" width="28.140625" bestFit="1" customWidth="1"/>
    <col min="2" max="2" width="17.28515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8352</v>
      </c>
      <c r="B1" t="s">
        <v>8353</v>
      </c>
      <c r="C1" t="s">
        <v>8354</v>
      </c>
      <c r="D1" t="s">
        <v>8371</v>
      </c>
      <c r="E1" t="s">
        <v>8355</v>
      </c>
      <c r="F1" t="s">
        <v>8356</v>
      </c>
      <c r="G1" t="s">
        <v>8357</v>
      </c>
      <c r="H1" t="s">
        <v>8358</v>
      </c>
    </row>
    <row r="2" spans="1:8" x14ac:dyDescent="0.25">
      <c r="A2" t="s">
        <v>8359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COUNTIFS(Sheet1!$D:$D,"&lt;1000")</f>
        <v>461</v>
      </c>
      <c r="F2" s="5">
        <f>B2/E2</f>
        <v>0.69848156182212584</v>
      </c>
      <c r="G2" s="5">
        <f>C2/E2</f>
        <v>0.24511930585683298</v>
      </c>
      <c r="H2" s="5">
        <f>D2/E2</f>
        <v>3.9045553145336226E-2</v>
      </c>
    </row>
    <row r="3" spans="1:8" x14ac:dyDescent="0.25">
      <c r="A3" t="s">
        <v>8360</v>
      </c>
      <c r="B3">
        <f>COUNTIFS(Sheet1!$F:$F,"successful",Sheet1!$D:$D,"&gt;=1000",Sheet1!$D:$D, "&lt;=4999")</f>
        <v>932</v>
      </c>
      <c r="C3">
        <f>COUNTIFS(Sheet1!$F:$F,"failed",Sheet1!$D:$D,"&gt;=1000",Sheet1!$D:$D, "&lt;=4999")</f>
        <v>420</v>
      </c>
      <c r="D3">
        <f>COUNTIFS(Sheet1!$F:$F,"canceled",Sheet1!$D:$D,"&gt;=1000",Sheet1!$D:$D, "&lt;=4999")</f>
        <v>60</v>
      </c>
      <c r="E3">
        <f>COUNTIFS(Sheet1!$D:$D,"&gt;=1000",Sheet1!$D:$D, "&lt;=4999")</f>
        <v>1425</v>
      </c>
      <c r="F3" s="5">
        <f t="shared" ref="F3:F13" si="0">B3/E3</f>
        <v>0.65403508771929819</v>
      </c>
      <c r="G3" s="5">
        <f t="shared" ref="G3:G13" si="1">C3/E3</f>
        <v>0.29473684210526313</v>
      </c>
      <c r="H3" s="5">
        <f t="shared" ref="H3:H13" si="2">D3/E3</f>
        <v>4.2105263157894736E-2</v>
      </c>
    </row>
    <row r="4" spans="1:8" x14ac:dyDescent="0.25">
      <c r="A4" t="s">
        <v>8361</v>
      </c>
      <c r="B4">
        <f>COUNTIFS(Sheet1!$F:$F,"successful",Sheet1!$D:$D,"&gt;=5000",Sheet1!$D:$D, "&lt;=9999")</f>
        <v>381</v>
      </c>
      <c r="C4">
        <f>COUNTIFS(Sheet1!$F:$F,"failed",Sheet1!$D:$D,"&gt;=5000",Sheet1!$D:$D, "&lt;=9999")</f>
        <v>283</v>
      </c>
      <c r="D4">
        <f>COUNTIFS(Sheet1!$F:$F,"canceled",Sheet1!$D:$D,"&gt;=5000",Sheet1!$D:$D, "&lt;=9999")</f>
        <v>52</v>
      </c>
      <c r="E4">
        <f>COUNTIFS(Sheet1!$D:$D,"&gt;=5000",Sheet1!$D:$D, "&lt;=9999")</f>
        <v>722</v>
      </c>
      <c r="F4" s="5">
        <f t="shared" si="0"/>
        <v>0.52770083102493071</v>
      </c>
      <c r="G4" s="5">
        <f t="shared" si="1"/>
        <v>0.39196675900277006</v>
      </c>
      <c r="H4" s="5">
        <f t="shared" si="2"/>
        <v>7.2022160664819951E-2</v>
      </c>
    </row>
    <row r="5" spans="1:8" x14ac:dyDescent="0.25">
      <c r="A5" t="s">
        <v>8362</v>
      </c>
      <c r="B5">
        <f>COUNTIFS(Sheet1!$F:$F,"successful",Sheet1!$D:$D,"&gt;=10000",Sheet1!$D:$D, "&lt;=14999")</f>
        <v>168</v>
      </c>
      <c r="C5">
        <f>COUNTIFS(Sheet1!$F:$F,"failed",Sheet1!$D:$D,"&gt;=10000",Sheet1!$D:$D, "&lt;=14999")</f>
        <v>144</v>
      </c>
      <c r="D5">
        <f>COUNTIFS(Sheet1!$F:$F,"canceled",Sheet1!$D:$D,"&gt;=10000",Sheet1!$D:$D, "&lt;=14999")</f>
        <v>40</v>
      </c>
      <c r="E5">
        <f>COUNTIFS(Sheet1!$D:$D,"&gt;=10000",Sheet1!$D:$D, "&lt;=14999")</f>
        <v>361</v>
      </c>
      <c r="F5" s="5">
        <f t="shared" si="0"/>
        <v>0.46537396121883656</v>
      </c>
      <c r="G5" s="5">
        <f t="shared" si="1"/>
        <v>0.39889196675900279</v>
      </c>
      <c r="H5" s="5">
        <f t="shared" si="2"/>
        <v>0.11080332409972299</v>
      </c>
    </row>
    <row r="6" spans="1:8" x14ac:dyDescent="0.25">
      <c r="A6" t="s">
        <v>8363</v>
      </c>
      <c r="B6">
        <f>COUNTIFS(Sheet1!$F:$F,"successful",Sheet1!$D:$D,"&gt;=15000",Sheet1!$D:$D, "&lt;=19999")</f>
        <v>94</v>
      </c>
      <c r="C6">
        <f>COUNTIFS(Sheet1!$F:$F,"failed",Sheet1!$D:$D,"&gt;=15000",Sheet1!$D:$D, "&lt;=19999")</f>
        <v>90</v>
      </c>
      <c r="D6">
        <f>COUNTIFS(Sheet1!$F:$F,"canceled",Sheet1!$D:$D,"&gt;=15000",Sheet1!$D:$D, "&lt;=19999")</f>
        <v>17</v>
      </c>
      <c r="E6">
        <f>COUNTIFS(Sheet1!$D:$D,"&gt;=15000",Sheet1!$D:$D, "&lt;=19999")</f>
        <v>205</v>
      </c>
      <c r="F6" s="5">
        <f t="shared" si="0"/>
        <v>0.45853658536585368</v>
      </c>
      <c r="G6" s="5">
        <f t="shared" si="1"/>
        <v>0.43902439024390244</v>
      </c>
      <c r="H6" s="5">
        <f t="shared" si="2"/>
        <v>8.2926829268292687E-2</v>
      </c>
    </row>
    <row r="7" spans="1:8" x14ac:dyDescent="0.25">
      <c r="A7" t="s">
        <v>8364</v>
      </c>
      <c r="B7">
        <f>COUNTIFS(Sheet1!$F:$F,"successful",Sheet1!$D:$D,"&gt;=20000",Sheet1!$D:$D, "&lt;=24999")</f>
        <v>62</v>
      </c>
      <c r="C7">
        <f>COUNTIFS(Sheet1!$F:$F,"failed",Sheet1!$D:$D,"&gt;=20000",Sheet1!$D:$D, "&lt;=24999")</f>
        <v>72</v>
      </c>
      <c r="D7">
        <f>COUNTIFS(Sheet1!$F:$F,"canceled",Sheet1!$D:$D,"&gt;=20000",Sheet1!$D:$D, "&lt;=24999")</f>
        <v>14</v>
      </c>
      <c r="E7">
        <f>COUNTIFS(Sheet1!$D:$D,"&gt;=20000",Sheet1!$D:$D, "&lt;=24999")</f>
        <v>149</v>
      </c>
      <c r="F7" s="5">
        <f t="shared" si="0"/>
        <v>0.41610738255033558</v>
      </c>
      <c r="G7" s="5">
        <f t="shared" si="1"/>
        <v>0.48322147651006714</v>
      </c>
      <c r="H7" s="5">
        <f t="shared" si="2"/>
        <v>9.3959731543624164E-2</v>
      </c>
    </row>
    <row r="8" spans="1:8" x14ac:dyDescent="0.25">
      <c r="A8" t="s">
        <v>8365</v>
      </c>
      <c r="B8">
        <f>COUNTIFS(Sheet1!$F:$F,"successful",Sheet1!$D:$D,"&gt;=25000",Sheet1!$D:$D, "&lt;=29999")</f>
        <v>55</v>
      </c>
      <c r="C8">
        <f>COUNTIFS(Sheet1!$F:$F,"failed",Sheet1!$D:$D,"&gt;=25000",Sheet1!$D:$D, "&lt;=29999")</f>
        <v>64</v>
      </c>
      <c r="D8">
        <f>COUNTIFS(Sheet1!$F:$F,"canceled",Sheet1!$D:$D,"&gt;=25000",Sheet1!$D:$D, "&lt;=29999")</f>
        <v>18</v>
      </c>
      <c r="E8">
        <f>COUNTIFS(Sheet1!$D:$D,"&gt;=25000",Sheet1!$D:$D, "&lt;=29999")</f>
        <v>138</v>
      </c>
      <c r="F8" s="5">
        <f t="shared" si="0"/>
        <v>0.39855072463768115</v>
      </c>
      <c r="G8" s="5">
        <f t="shared" si="1"/>
        <v>0.46376811594202899</v>
      </c>
      <c r="H8" s="5">
        <f t="shared" si="2"/>
        <v>0.13043478260869565</v>
      </c>
    </row>
    <row r="9" spans="1:8" x14ac:dyDescent="0.25">
      <c r="A9" t="s">
        <v>8366</v>
      </c>
      <c r="B9">
        <f>COUNTIFS(Sheet1!$F:$F,"successful",Sheet1!$D:$D,"&gt;=30000",Sheet1!$D:$D, "&lt;=34999")</f>
        <v>32</v>
      </c>
      <c r="C9">
        <f>COUNTIFS(Sheet1!$F:$F,"failed",Sheet1!$D:$D,"&gt;=30000",Sheet1!$D:$D, "&lt;=34999")</f>
        <v>37</v>
      </c>
      <c r="D9">
        <f>COUNTIFS(Sheet1!$F:$F,"canceled",Sheet1!$D:$D,"&gt;=30000",Sheet1!$D:$D, "&lt;=34999")</f>
        <v>13</v>
      </c>
      <c r="E9">
        <f>COUNTIFS(Sheet1!$D:$D,"&gt;=30000",Sheet1!$D:$D, "&lt;=34999")</f>
        <v>84</v>
      </c>
      <c r="F9" s="5">
        <f t="shared" si="0"/>
        <v>0.38095238095238093</v>
      </c>
      <c r="G9" s="5">
        <f t="shared" si="1"/>
        <v>0.44047619047619047</v>
      </c>
      <c r="H9" s="5">
        <f t="shared" si="2"/>
        <v>0.15476190476190477</v>
      </c>
    </row>
    <row r="10" spans="1:8" x14ac:dyDescent="0.25">
      <c r="A10" t="s">
        <v>8367</v>
      </c>
      <c r="B10">
        <f>COUNTIFS(Sheet1!$F:$F,"successful",Sheet1!$D:$D,"&gt;=35000",Sheet1!$D:$D, "&lt;=39999")</f>
        <v>26</v>
      </c>
      <c r="C10">
        <f>COUNTIFS(Sheet1!$F:$F,"failed",Sheet1!$D:$D,"&gt;=35000",Sheet1!$D:$D, "&lt;=39999")</f>
        <v>22</v>
      </c>
      <c r="D10">
        <f>COUNTIFS(Sheet1!$F:$F,"canceled",Sheet1!$D:$D,"&gt;=35000",Sheet1!$D:$D, "&lt;=39999")</f>
        <v>7</v>
      </c>
      <c r="E10">
        <f>COUNTIFS(Sheet1!$D:$D,"&gt;=35000",Sheet1!$D:$D, "&lt;=39999")</f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5">
      <c r="A11" t="s">
        <v>8368</v>
      </c>
      <c r="B11">
        <f>COUNTIFS(Sheet1!$F:$F,"successful",Sheet1!$D:$D,"&gt;=40000",Sheet1!$D:$D, "&lt;=44999")</f>
        <v>21</v>
      </c>
      <c r="C11">
        <f>COUNTIFS(Sheet1!$F:$F,"failed",Sheet1!$D:$D,"&gt;=40000",Sheet1!$D:$D, "&lt;=44999")</f>
        <v>16</v>
      </c>
      <c r="D11">
        <f>COUNTIFS(Sheet1!$F:$F,"canceled",Sheet1!$D:$D,"&gt;=40000",Sheet1!$D:$D, "&lt;=44999")</f>
        <v>6</v>
      </c>
      <c r="E11">
        <f>COUNTIFS(Sheet1!$D:$D,"&gt;=40000",Sheet1!$D:$D, "&lt;=44999")</f>
        <v>44</v>
      </c>
      <c r="F11" s="5">
        <f t="shared" si="0"/>
        <v>0.47727272727272729</v>
      </c>
      <c r="G11" s="5">
        <f t="shared" si="1"/>
        <v>0.36363636363636365</v>
      </c>
      <c r="H11" s="5">
        <f t="shared" si="2"/>
        <v>0.13636363636363635</v>
      </c>
    </row>
    <row r="12" spans="1:8" x14ac:dyDescent="0.25">
      <c r="A12" t="s">
        <v>8369</v>
      </c>
      <c r="B12">
        <f>COUNTIFS(Sheet1!$F:$F,"successful",Sheet1!$D:$D,"&gt;=45000",Sheet1!$D:$D, "&lt;=49999")</f>
        <v>6</v>
      </c>
      <c r="C12">
        <f>COUNTIFS(Sheet1!$F:$F,"failed",Sheet1!$D:$D,"&gt;=45000",Sheet1!$D:$D, "&lt;=49999")</f>
        <v>11</v>
      </c>
      <c r="D12">
        <f>COUNTIFS(Sheet1!$F:$F,"canceled",Sheet1!$D:$D,"&gt;=45000",Sheet1!$D:$D, "&lt;=49999")</f>
        <v>4</v>
      </c>
      <c r="E12">
        <f>COUNTIFS(Sheet1!$D:$D,"&gt;=45000",Sheet1!$D:$D, "&lt;=49999")</f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5">
      <c r="A13" t="s">
        <v>8370</v>
      </c>
      <c r="B13">
        <f>COUNTIFS(Sheet1!$F:$F,"successful",Sheet1!$D:$D, "&gt;=50000")</f>
        <v>86</v>
      </c>
      <c r="C13">
        <f>COUNTIFS(Sheet1!$F:$F,"failed",Sheet1!$D:$D, "&gt;=50000")</f>
        <v>258</v>
      </c>
      <c r="D13">
        <f>COUNTIFS(Sheet1!$F:$F,"canceled",Sheet1!$D:$D, "&gt;=50000")</f>
        <v>100</v>
      </c>
      <c r="E13">
        <f>COUNTIFS(Sheet1!$D:$D, "&gt;=50000")</f>
        <v>449</v>
      </c>
      <c r="F13" s="5">
        <f t="shared" si="0"/>
        <v>0.19153674832962139</v>
      </c>
      <c r="G13" s="5">
        <f t="shared" si="1"/>
        <v>0.57461024498886415</v>
      </c>
      <c r="H13" s="5">
        <f t="shared" si="2"/>
        <v>0.22271714922048999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D1" zoomScale="55" zoomScaleNormal="55" workbookViewId="0">
      <selection activeCell="D4" sqref="D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36.28515625" bestFit="1" customWidth="1"/>
    <col min="16" max="16" width="23.7109375" bestFit="1" customWidth="1"/>
    <col min="17" max="17" width="13.140625" bestFit="1" customWidth="1"/>
    <col min="18" max="18" width="18.28515625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8333</v>
      </c>
      <c r="T1" s="1" t="s">
        <v>8334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led">
      <formula>NOT(ISERROR(SEARCH("cancelled",F1)))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Table-1</vt:lpstr>
      <vt:lpstr>Pivot Table-2</vt:lpstr>
      <vt:lpstr>Pivot Table-3</vt:lpstr>
      <vt:lpstr>Other Chart</vt:lpstr>
      <vt:lpstr>Sheet6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marte</cp:lastModifiedBy>
  <dcterms:created xsi:type="dcterms:W3CDTF">2017-04-20T15:17:24Z</dcterms:created>
  <dcterms:modified xsi:type="dcterms:W3CDTF">2018-09-27T05:37:02Z</dcterms:modified>
</cp:coreProperties>
</file>