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eduumb-my.sharepoint.com/personal/marte_molsater_marak_nmbu_no/Documents/Documents/AnaPro/4 Calculus/"/>
    </mc:Choice>
  </mc:AlternateContent>
  <xr:revisionPtr revIDLastSave="0" documentId="8_{C0AD1B59-DE7E-4F94-81AE-DE761E00945C}" xr6:coauthVersionLast="47" xr6:coauthVersionMax="47" xr10:uidLastSave="{00000000-0000-0000-0000-000000000000}"/>
  <bookViews>
    <workbookView xWindow="23880" yWindow="-120" windowWidth="24240" windowHeight="13020" xr2:uid="{F4AA8E95-ECAB-45CF-B5AF-B6EB0BB5CF5B}"/>
  </bookViews>
  <sheets>
    <sheet name="Calculator" sheetId="5" r:id="rId1"/>
    <sheet name="AcidRatio" sheetId="6" r:id="rId2"/>
    <sheet name="FeedRatio" sheetId="3" r:id="rId3"/>
    <sheet name="H3PO4Ratio" sheetId="4" r:id="rId4"/>
  </sheets>
  <definedNames>
    <definedName name="solver_adj" localSheetId="1" hidden="1">AcidRatio!#REF!</definedName>
    <definedName name="solver_cvg" localSheetId="1" hidden="1">"""""""""""""""""""""""""""""""""""""""""""""""""""""""""""""""""""""""""""""""""""""""""""""""""""""""""""""""""""""""""""""""0,0001"""""""""""""""""""""""""""""""""""""""""""""""""""""""""""""""""""""""""""""""""""""""""""""""""""""""""""""""""""""""""""""""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mip" localSheetId="1" hidden="1">2147483647</definedName>
    <definedName name="solver_mni" localSheetId="1" hidden="1">30</definedName>
    <definedName name="solver_mrt" localSheetId="1" hidden="1">"""""""""""""""""""""""""""""""""""""""""""""""""""""""""""""""""""""""""""""""""""""""""""""""""""""""""""""""""""""""""""""""0,075"""""""""""""""""""""""""""""""""""""""""""""""""""""""""""""""""""""""""""""""""""""""""""""""""""""""""""""""""""""""""""""""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0</definedName>
    <definedName name="solver_nwt" localSheetId="1" hidden="1">1</definedName>
    <definedName name="solver_opt" localSheetId="1" hidden="1">AcidRatio!#REF!</definedName>
    <definedName name="solver_pre" localSheetId="1" hidden="1">"""""""""""""""""""""""""""""""""""""""""""""""""""""""""""""""""""""""""""""""""""""""""""""""""""""""""""""""""""""""""""""""0,000001"""""""""""""""""""""""""""""""""""""""""""""""""""""""""""""""""""""""""""""""""""""""""""""""""""""""""""""""""""""""""""""""</definedName>
    <definedName name="solver_rbv" localSheetId="1" hidden="1">1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6" l="1"/>
  <c r="G4" i="6" s="1"/>
  <c r="D4" i="6"/>
  <c r="I22" i="5" s="1"/>
  <c r="K80" i="6"/>
  <c r="J80" i="6"/>
  <c r="B80" i="6"/>
  <c r="K79" i="6"/>
  <c r="J79" i="6"/>
  <c r="B79" i="6"/>
  <c r="K78" i="6"/>
  <c r="J78" i="6"/>
  <c r="B78" i="6"/>
  <c r="K77" i="6"/>
  <c r="L77" i="6" s="1"/>
  <c r="J77" i="6"/>
  <c r="B77" i="6"/>
  <c r="K76" i="6"/>
  <c r="J76" i="6"/>
  <c r="B76" i="6"/>
  <c r="K75" i="6"/>
  <c r="J75" i="6"/>
  <c r="B75" i="6"/>
  <c r="K74" i="6"/>
  <c r="J74" i="6"/>
  <c r="B74" i="6"/>
  <c r="K73" i="6"/>
  <c r="J73" i="6"/>
  <c r="B73" i="6"/>
  <c r="K72" i="6"/>
  <c r="J72" i="6"/>
  <c r="B72" i="6"/>
  <c r="K71" i="6"/>
  <c r="L71" i="6" s="1"/>
  <c r="J71" i="6"/>
  <c r="B71" i="6"/>
  <c r="K70" i="6"/>
  <c r="J70" i="6"/>
  <c r="B70" i="6"/>
  <c r="K69" i="6"/>
  <c r="L69" i="6" s="1"/>
  <c r="J69" i="6"/>
  <c r="B69" i="6"/>
  <c r="K68" i="6"/>
  <c r="J68" i="6"/>
  <c r="B68" i="6"/>
  <c r="K67" i="6"/>
  <c r="J67" i="6"/>
  <c r="B67" i="6"/>
  <c r="K66" i="6"/>
  <c r="J66" i="6"/>
  <c r="B66" i="6"/>
  <c r="K65" i="6"/>
  <c r="J65" i="6"/>
  <c r="B65" i="6"/>
  <c r="K64" i="6"/>
  <c r="J64" i="6"/>
  <c r="B64" i="6"/>
  <c r="K63" i="6"/>
  <c r="J63" i="6"/>
  <c r="B63" i="6"/>
  <c r="K62" i="6"/>
  <c r="L62" i="6" s="1"/>
  <c r="J62" i="6"/>
  <c r="B62" i="6"/>
  <c r="K61" i="6"/>
  <c r="J61" i="6"/>
  <c r="B61" i="6"/>
  <c r="K60" i="6"/>
  <c r="J60" i="6"/>
  <c r="B60" i="6"/>
  <c r="K59" i="6"/>
  <c r="L59" i="6" s="1"/>
  <c r="J59" i="6"/>
  <c r="B59" i="6"/>
  <c r="K58" i="6"/>
  <c r="J58" i="6"/>
  <c r="B58" i="6"/>
  <c r="K57" i="6"/>
  <c r="L57" i="6" s="1"/>
  <c r="J57" i="6"/>
  <c r="B57" i="6"/>
  <c r="K56" i="6"/>
  <c r="J56" i="6"/>
  <c r="B56" i="6"/>
  <c r="K55" i="6"/>
  <c r="J55" i="6"/>
  <c r="B55" i="6"/>
  <c r="K54" i="6"/>
  <c r="J54" i="6"/>
  <c r="B54" i="6"/>
  <c r="K53" i="6"/>
  <c r="L53" i="6" s="1"/>
  <c r="J53" i="6"/>
  <c r="B53" i="6"/>
  <c r="K52" i="6"/>
  <c r="J52" i="6"/>
  <c r="B52" i="6"/>
  <c r="K51" i="6"/>
  <c r="J51" i="6"/>
  <c r="B51" i="6"/>
  <c r="K50" i="6"/>
  <c r="J50" i="6"/>
  <c r="B50" i="6"/>
  <c r="K49" i="6"/>
  <c r="J49" i="6"/>
  <c r="B49" i="6"/>
  <c r="K48" i="6"/>
  <c r="J48" i="6"/>
  <c r="B48" i="6"/>
  <c r="K47" i="6"/>
  <c r="L47" i="6" s="1"/>
  <c r="J47" i="6"/>
  <c r="B47" i="6"/>
  <c r="K46" i="6"/>
  <c r="J46" i="6"/>
  <c r="B46" i="6"/>
  <c r="K45" i="6"/>
  <c r="L45" i="6" s="1"/>
  <c r="J45" i="6"/>
  <c r="B45" i="6"/>
  <c r="K44" i="6"/>
  <c r="J44" i="6"/>
  <c r="B44" i="6"/>
  <c r="K43" i="6"/>
  <c r="J43" i="6"/>
  <c r="B43" i="6"/>
  <c r="K42" i="6"/>
  <c r="J42" i="6"/>
  <c r="B42" i="6"/>
  <c r="K41" i="6"/>
  <c r="J41" i="6"/>
  <c r="B41" i="6"/>
  <c r="K40" i="6"/>
  <c r="J40" i="6"/>
  <c r="B40" i="6"/>
  <c r="K39" i="6"/>
  <c r="J39" i="6"/>
  <c r="B39" i="6"/>
  <c r="K38" i="6"/>
  <c r="L38" i="6" s="1"/>
  <c r="J38" i="6"/>
  <c r="B38" i="6"/>
  <c r="K37" i="6"/>
  <c r="J37" i="6"/>
  <c r="B37" i="6"/>
  <c r="K36" i="6"/>
  <c r="L36" i="6" s="1"/>
  <c r="J36" i="6"/>
  <c r="B36" i="6"/>
  <c r="K35" i="6"/>
  <c r="J35" i="6"/>
  <c r="B35" i="6"/>
  <c r="K34" i="6"/>
  <c r="J34" i="6"/>
  <c r="B34" i="6"/>
  <c r="K33" i="6"/>
  <c r="J33" i="6"/>
  <c r="B33" i="6"/>
  <c r="K32" i="6"/>
  <c r="J32" i="6"/>
  <c r="B32" i="6"/>
  <c r="K31" i="6"/>
  <c r="J31" i="6"/>
  <c r="B31" i="6"/>
  <c r="K30" i="6"/>
  <c r="L30" i="6" s="1"/>
  <c r="J30" i="6"/>
  <c r="B30" i="6"/>
  <c r="K29" i="6"/>
  <c r="L29" i="6" s="1"/>
  <c r="J29" i="6"/>
  <c r="B29" i="6"/>
  <c r="K28" i="6"/>
  <c r="J28" i="6"/>
  <c r="B28" i="6"/>
  <c r="K27" i="6"/>
  <c r="J27" i="6"/>
  <c r="B27" i="6"/>
  <c r="K26" i="6"/>
  <c r="J26" i="6"/>
  <c r="B26" i="6"/>
  <c r="K25" i="6"/>
  <c r="L25" i="6" s="1"/>
  <c r="J25" i="6"/>
  <c r="B25" i="6"/>
  <c r="K24" i="6"/>
  <c r="J24" i="6"/>
  <c r="B24" i="6"/>
  <c r="K23" i="6"/>
  <c r="L23" i="6" s="1"/>
  <c r="J23" i="6"/>
  <c r="B23" i="6"/>
  <c r="K22" i="6"/>
  <c r="J22" i="6"/>
  <c r="B22" i="6"/>
  <c r="K21" i="6"/>
  <c r="J21" i="6"/>
  <c r="B21" i="6"/>
  <c r="K20" i="6"/>
  <c r="J20" i="6"/>
  <c r="B20" i="6"/>
  <c r="K19" i="6"/>
  <c r="J19" i="6"/>
  <c r="B19" i="6"/>
  <c r="K18" i="6"/>
  <c r="L18" i="6" s="1"/>
  <c r="J18" i="6"/>
  <c r="B18" i="6"/>
  <c r="K17" i="6"/>
  <c r="J17" i="6"/>
  <c r="B17" i="6"/>
  <c r="K16" i="6"/>
  <c r="J16" i="6"/>
  <c r="B16" i="6"/>
  <c r="K15" i="6"/>
  <c r="L15" i="6" s="1"/>
  <c r="J15" i="6"/>
  <c r="B15" i="6"/>
  <c r="K14" i="6"/>
  <c r="L14" i="6" s="1"/>
  <c r="J14" i="6"/>
  <c r="B14" i="6"/>
  <c r="K13" i="6"/>
  <c r="J13" i="6"/>
  <c r="B13" i="6"/>
  <c r="N62" i="6" l="1"/>
  <c r="N25" i="6"/>
  <c r="M15" i="6"/>
  <c r="O15" i="6" s="1"/>
  <c r="N15" i="6"/>
  <c r="P15" i="6" s="1"/>
  <c r="N18" i="6"/>
  <c r="M76" i="6"/>
  <c r="O76" i="6" s="1"/>
  <c r="M63" i="6"/>
  <c r="O63" i="6" s="1"/>
  <c r="M55" i="6"/>
  <c r="O55" i="6" s="1"/>
  <c r="N38" i="6"/>
  <c r="M16" i="6"/>
  <c r="O16" i="6" s="1"/>
  <c r="M40" i="6"/>
  <c r="O40" i="6" s="1"/>
  <c r="N36" i="6"/>
  <c r="N23" i="6"/>
  <c r="M39" i="6"/>
  <c r="O39" i="6" s="1"/>
  <c r="M65" i="6"/>
  <c r="O65" i="6" s="1"/>
  <c r="M45" i="6"/>
  <c r="O45" i="6" s="1"/>
  <c r="M27" i="6"/>
  <c r="O27" i="6" s="1"/>
  <c r="N69" i="6"/>
  <c r="N77" i="6"/>
  <c r="M32" i="6"/>
  <c r="O32" i="6" s="1"/>
  <c r="M77" i="6"/>
  <c r="O77" i="6" s="1"/>
  <c r="M53" i="6"/>
  <c r="O53" i="6" s="1"/>
  <c r="M43" i="6"/>
  <c r="O43" i="6" s="1"/>
  <c r="M25" i="6"/>
  <c r="O25" i="6" s="1"/>
  <c r="M38" i="6"/>
  <c r="O38" i="6" s="1"/>
  <c r="N59" i="6"/>
  <c r="M13" i="6"/>
  <c r="O13" i="6" s="1"/>
  <c r="N29" i="6"/>
  <c r="M23" i="6"/>
  <c r="O23" i="6" s="1"/>
  <c r="N57" i="6"/>
  <c r="N71" i="6"/>
  <c r="M14" i="6"/>
  <c r="O14" i="6" s="1"/>
  <c r="M18" i="6"/>
  <c r="O18" i="6" s="1"/>
  <c r="M31" i="6"/>
  <c r="O31" i="6" s="1"/>
  <c r="M69" i="6"/>
  <c r="O69" i="6" s="1"/>
  <c r="M28" i="6"/>
  <c r="O28" i="6" s="1"/>
  <c r="M41" i="6"/>
  <c r="O41" i="6" s="1"/>
  <c r="N45" i="6"/>
  <c r="M52" i="6"/>
  <c r="O52" i="6" s="1"/>
  <c r="M59" i="6"/>
  <c r="O59" i="6" s="1"/>
  <c r="M73" i="6"/>
  <c r="O73" i="6" s="1"/>
  <c r="L16" i="6"/>
  <c r="N16" i="6" s="1"/>
  <c r="M74" i="6"/>
  <c r="O74" i="6" s="1"/>
  <c r="M36" i="6"/>
  <c r="O36" i="6" s="1"/>
  <c r="M67" i="6"/>
  <c r="O67" i="6" s="1"/>
  <c r="N14" i="6"/>
  <c r="M33" i="6"/>
  <c r="O33" i="6" s="1"/>
  <c r="M71" i="6"/>
  <c r="O71" i="6" s="1"/>
  <c r="L39" i="6"/>
  <c r="N39" i="6" s="1"/>
  <c r="M64" i="6"/>
  <c r="O64" i="6" s="1"/>
  <c r="M57" i="6"/>
  <c r="O57" i="6" s="1"/>
  <c r="N47" i="6"/>
  <c r="D5" i="6"/>
  <c r="D6" i="6" s="1"/>
  <c r="G7" i="6" s="1"/>
  <c r="H25" i="5" s="1"/>
  <c r="M49" i="6"/>
  <c r="O49" i="6" s="1"/>
  <c r="M29" i="6"/>
  <c r="O29" i="6" s="1"/>
  <c r="L74" i="6"/>
  <c r="N74" i="6" s="1"/>
  <c r="M50" i="6"/>
  <c r="O50" i="6" s="1"/>
  <c r="M61" i="6"/>
  <c r="O61" i="6" s="1"/>
  <c r="M17" i="6"/>
  <c r="O17" i="6" s="1"/>
  <c r="L27" i="6"/>
  <c r="N27" i="6" s="1"/>
  <c r="M19" i="6"/>
  <c r="O19" i="6" s="1"/>
  <c r="N53" i="6"/>
  <c r="P53" i="6" s="1"/>
  <c r="M20" i="6"/>
  <c r="O20" i="6" s="1"/>
  <c r="L50" i="6"/>
  <c r="N50" i="6" s="1"/>
  <c r="N30" i="6"/>
  <c r="M37" i="6"/>
  <c r="O37" i="6" s="1"/>
  <c r="M21" i="6"/>
  <c r="O21" i="6" s="1"/>
  <c r="M30" i="6"/>
  <c r="O30" i="6" s="1"/>
  <c r="M34" i="6"/>
  <c r="O34" i="6" s="1"/>
  <c r="L40" i="6"/>
  <c r="N40" i="6" s="1"/>
  <c r="M47" i="6"/>
  <c r="O47" i="6" s="1"/>
  <c r="L65" i="6"/>
  <c r="N65" i="6" s="1"/>
  <c r="P65" i="6" s="1"/>
  <c r="M79" i="6"/>
  <c r="O79" i="6" s="1"/>
  <c r="M51" i="6"/>
  <c r="O51" i="6" s="1"/>
  <c r="M62" i="6"/>
  <c r="O62" i="6" s="1"/>
  <c r="G5" i="6"/>
  <c r="L28" i="6"/>
  <c r="N28" i="6" s="1"/>
  <c r="M26" i="6"/>
  <c r="O26" i="6" s="1"/>
  <c r="L34" i="6"/>
  <c r="N34" i="6" s="1"/>
  <c r="L13" i="6"/>
  <c r="N13" i="6" s="1"/>
  <c r="L26" i="6"/>
  <c r="N26" i="6" s="1"/>
  <c r="L37" i="6"/>
  <c r="N37" i="6" s="1"/>
  <c r="M48" i="6"/>
  <c r="O48" i="6" s="1"/>
  <c r="L75" i="6"/>
  <c r="N75" i="6" s="1"/>
  <c r="M75" i="6"/>
  <c r="O75" i="6" s="1"/>
  <c r="L21" i="6"/>
  <c r="N21" i="6" s="1"/>
  <c r="L48" i="6"/>
  <c r="N48" i="6" s="1"/>
  <c r="M60" i="6"/>
  <c r="O60" i="6" s="1"/>
  <c r="L63" i="6"/>
  <c r="N63" i="6" s="1"/>
  <c r="M72" i="6"/>
  <c r="O72" i="6" s="1"/>
  <c r="L60" i="6"/>
  <c r="N60" i="6" s="1"/>
  <c r="L72" i="6"/>
  <c r="N72" i="6" s="1"/>
  <c r="L24" i="6"/>
  <c r="N24" i="6" s="1"/>
  <c r="M24" i="6"/>
  <c r="O24" i="6" s="1"/>
  <c r="L32" i="6"/>
  <c r="N32" i="6" s="1"/>
  <c r="L35" i="6"/>
  <c r="N35" i="6" s="1"/>
  <c r="M35" i="6"/>
  <c r="O35" i="6" s="1"/>
  <c r="L43" i="6"/>
  <c r="N43" i="6" s="1"/>
  <c r="L79" i="6"/>
  <c r="N79" i="6" s="1"/>
  <c r="L19" i="6"/>
  <c r="N19" i="6" s="1"/>
  <c r="P19" i="6" s="1"/>
  <c r="M46" i="6"/>
  <c r="O46" i="6" s="1"/>
  <c r="L55" i="6"/>
  <c r="N55" i="6" s="1"/>
  <c r="L46" i="6"/>
  <c r="N46" i="6" s="1"/>
  <c r="M58" i="6"/>
  <c r="O58" i="6" s="1"/>
  <c r="L67" i="6"/>
  <c r="N67" i="6" s="1"/>
  <c r="P67" i="6" s="1"/>
  <c r="L17" i="6"/>
  <c r="N17" i="6" s="1"/>
  <c r="M22" i="6"/>
  <c r="O22" i="6" s="1"/>
  <c r="L41" i="6"/>
  <c r="N41" i="6" s="1"/>
  <c r="P41" i="6" s="1"/>
  <c r="L58" i="6"/>
  <c r="N58" i="6" s="1"/>
  <c r="M70" i="6"/>
  <c r="O70" i="6" s="1"/>
  <c r="L70" i="6"/>
  <c r="N70" i="6" s="1"/>
  <c r="P70" i="6" s="1"/>
  <c r="L51" i="6"/>
  <c r="N51" i="6" s="1"/>
  <c r="M44" i="6"/>
  <c r="O44" i="6" s="1"/>
  <c r="M56" i="6"/>
  <c r="O56" i="6" s="1"/>
  <c r="M68" i="6"/>
  <c r="O68" i="6" s="1"/>
  <c r="M80" i="6"/>
  <c r="O80" i="6" s="1"/>
  <c r="L22" i="6"/>
  <c r="N22" i="6" s="1"/>
  <c r="L33" i="6"/>
  <c r="N33" i="6" s="1"/>
  <c r="L44" i="6"/>
  <c r="N44" i="6" s="1"/>
  <c r="L49" i="6"/>
  <c r="N49" i="6" s="1"/>
  <c r="P49" i="6" s="1"/>
  <c r="L56" i="6"/>
  <c r="N56" i="6" s="1"/>
  <c r="L61" i="6"/>
  <c r="N61" i="6" s="1"/>
  <c r="P61" i="6" s="1"/>
  <c r="L68" i="6"/>
  <c r="N68" i="6" s="1"/>
  <c r="P68" i="6" s="1"/>
  <c r="L73" i="6"/>
  <c r="N73" i="6" s="1"/>
  <c r="L80" i="6"/>
  <c r="N80" i="6" s="1"/>
  <c r="L20" i="6"/>
  <c r="N20" i="6" s="1"/>
  <c r="L31" i="6"/>
  <c r="N31" i="6" s="1"/>
  <c r="M42" i="6"/>
  <c r="O42" i="6" s="1"/>
  <c r="M54" i="6"/>
  <c r="O54" i="6" s="1"/>
  <c r="M66" i="6"/>
  <c r="O66" i="6" s="1"/>
  <c r="M78" i="6"/>
  <c r="O78" i="6" s="1"/>
  <c r="L42" i="6"/>
  <c r="N42" i="6" s="1"/>
  <c r="L54" i="6"/>
  <c r="N54" i="6" s="1"/>
  <c r="L66" i="6"/>
  <c r="N66" i="6" s="1"/>
  <c r="L78" i="6"/>
  <c r="N78" i="6" s="1"/>
  <c r="L52" i="6"/>
  <c r="N52" i="6" s="1"/>
  <c r="P52" i="6" s="1"/>
  <c r="L64" i="6"/>
  <c r="N64" i="6" s="1"/>
  <c r="L76" i="6"/>
  <c r="N76" i="6" s="1"/>
  <c r="G6" i="6" l="1"/>
  <c r="H27" i="5" s="1"/>
  <c r="P28" i="6"/>
  <c r="P76" i="6"/>
  <c r="P63" i="6"/>
  <c r="P39" i="6"/>
  <c r="P38" i="6"/>
  <c r="P55" i="6"/>
  <c r="P45" i="6"/>
  <c r="P80" i="6"/>
  <c r="P43" i="6"/>
  <c r="P50" i="6"/>
  <c r="P20" i="6"/>
  <c r="P40" i="6"/>
  <c r="P58" i="6"/>
  <c r="P73" i="6"/>
  <c r="P75" i="6"/>
  <c r="P27" i="6"/>
  <c r="P47" i="6"/>
  <c r="P42" i="6"/>
  <c r="P79" i="6"/>
  <c r="P60" i="6"/>
  <c r="P23" i="6"/>
  <c r="P54" i="6"/>
  <c r="P16" i="6"/>
  <c r="P59" i="6"/>
  <c r="P25" i="6"/>
  <c r="P22" i="6"/>
  <c r="P72" i="6"/>
  <c r="P77" i="6"/>
  <c r="P13" i="6"/>
  <c r="P74" i="6"/>
  <c r="P69" i="6"/>
  <c r="P17" i="6"/>
  <c r="P64" i="6"/>
  <c r="P51" i="6"/>
  <c r="P31" i="6"/>
  <c r="P44" i="6"/>
  <c r="P46" i="6"/>
  <c r="P48" i="6"/>
  <c r="P34" i="6"/>
  <c r="P71" i="6"/>
  <c r="P62" i="6"/>
  <c r="P56" i="6"/>
  <c r="P78" i="6"/>
  <c r="P66" i="6"/>
  <c r="P21" i="6"/>
  <c r="P14" i="6"/>
  <c r="P57" i="6"/>
  <c r="P18" i="6"/>
  <c r="P36" i="6"/>
  <c r="P29" i="6"/>
  <c r="P32" i="6"/>
  <c r="P33" i="6"/>
  <c r="P37" i="6"/>
  <c r="P24" i="6"/>
  <c r="P26" i="6"/>
  <c r="P30" i="6"/>
  <c r="P35" i="6"/>
  <c r="D7" i="6"/>
  <c r="I24" i="5" l="1"/>
  <c r="I23" i="5"/>
  <c r="I25" i="5"/>
  <c r="J42" i="5"/>
  <c r="H44" i="5"/>
  <c r="J44" i="5" s="1"/>
  <c r="H28" i="5" l="1"/>
  <c r="H29" i="5" s="1"/>
  <c r="C9" i="3"/>
  <c r="C8" i="3"/>
  <c r="J54" i="5" l="1"/>
  <c r="J53" i="5"/>
  <c r="J52" i="5"/>
  <c r="J51" i="5"/>
  <c r="J50" i="5"/>
  <c r="J49" i="5"/>
  <c r="J48" i="5"/>
  <c r="J47" i="5"/>
  <c r="E36" i="5"/>
  <c r="J46" i="5"/>
  <c r="E35" i="5"/>
  <c r="E34" i="5"/>
  <c r="E33" i="5"/>
  <c r="E32" i="5"/>
  <c r="E31" i="5"/>
  <c r="E30" i="5"/>
  <c r="J41" i="5"/>
  <c r="E29" i="5"/>
  <c r="J40" i="5"/>
  <c r="F65" i="5" s="1"/>
  <c r="J39" i="5"/>
  <c r="J38" i="5"/>
  <c r="C26" i="5"/>
  <c r="J37" i="5"/>
  <c r="E25" i="5"/>
  <c r="J36" i="5"/>
  <c r="E24" i="5"/>
  <c r="J35" i="5"/>
  <c r="E23" i="5"/>
  <c r="E66" i="5" s="1"/>
  <c r="J34" i="5"/>
  <c r="C22" i="5"/>
  <c r="E22" i="5" s="1"/>
  <c r="E21" i="5"/>
  <c r="C8" i="5"/>
  <c r="C6" i="5"/>
  <c r="F63" i="5" l="1"/>
  <c r="G63" i="5" s="1"/>
  <c r="G65" i="5"/>
  <c r="F64" i="5"/>
  <c r="G64" i="5" s="1"/>
  <c r="E62" i="5"/>
  <c r="M22" i="5"/>
  <c r="M23" i="5" s="1"/>
  <c r="E65" i="5"/>
  <c r="E68" i="5"/>
  <c r="E70" i="5"/>
  <c r="E75" i="5"/>
  <c r="E67" i="5"/>
  <c r="E64" i="5"/>
  <c r="E71" i="5"/>
  <c r="E72" i="5"/>
  <c r="E73" i="5"/>
  <c r="E74" i="5"/>
  <c r="E63" i="5"/>
  <c r="D79" i="5" l="1"/>
  <c r="M24" i="5"/>
  <c r="N28" i="5"/>
  <c r="O28" i="5" s="1"/>
  <c r="H4" i="5" s="1"/>
  <c r="H6" i="5" s="1"/>
  <c r="N29" i="5"/>
  <c r="O29" i="5" s="1"/>
  <c r="H7" i="5" s="1"/>
  <c r="H8" i="5" s="1"/>
  <c r="H9" i="5" l="1"/>
  <c r="H5" i="5"/>
  <c r="P29" i="5"/>
  <c r="P28" i="5"/>
  <c r="H10" i="5"/>
  <c r="H11" i="5" s="1"/>
  <c r="C12" i="5" s="1"/>
  <c r="M5" i="5" l="1"/>
  <c r="M6" i="5" s="1"/>
  <c r="M7" i="5" s="1"/>
  <c r="M11" i="5" s="1"/>
  <c r="M8" i="5"/>
  <c r="C80" i="5"/>
  <c r="C33" i="3"/>
  <c r="C34" i="3" s="1"/>
  <c r="L26" i="3"/>
  <c r="K58" i="3"/>
  <c r="F47" i="3"/>
  <c r="J47" i="3"/>
  <c r="E47" i="3"/>
  <c r="G58" i="3"/>
  <c r="F58" i="3"/>
  <c r="I56" i="3"/>
  <c r="J56" i="3" s="1"/>
  <c r="K56" i="3" s="1"/>
  <c r="I57" i="3"/>
  <c r="I58" i="3" s="1"/>
  <c r="J57" i="3"/>
  <c r="K57" i="3" s="1"/>
  <c r="K47" i="3"/>
  <c r="L19" i="3"/>
  <c r="I48" i="3"/>
  <c r="I49" i="3" s="1"/>
  <c r="G57" i="3"/>
  <c r="G56" i="3"/>
  <c r="G55" i="3"/>
  <c r="G54" i="3"/>
  <c r="G53" i="3"/>
  <c r="G52" i="3"/>
  <c r="G51" i="3"/>
  <c r="G50" i="3"/>
  <c r="G49" i="3"/>
  <c r="G48" i="3"/>
  <c r="G47" i="3"/>
  <c r="H19" i="3"/>
  <c r="F48" i="3"/>
  <c r="F49" i="3"/>
  <c r="F50" i="3"/>
  <c r="F51" i="3"/>
  <c r="F52" i="3"/>
  <c r="F53" i="3"/>
  <c r="F54" i="3"/>
  <c r="F55" i="3"/>
  <c r="F56" i="3"/>
  <c r="F57" i="3"/>
  <c r="E48" i="3"/>
  <c r="E49" i="3"/>
  <c r="E50" i="3"/>
  <c r="E51" i="3"/>
  <c r="E52" i="3"/>
  <c r="E53" i="3"/>
  <c r="E54" i="3"/>
  <c r="E55" i="3"/>
  <c r="E56" i="3"/>
  <c r="E57" i="3"/>
  <c r="E58" i="3"/>
  <c r="M9" i="5" l="1"/>
  <c r="I67" i="5" s="1"/>
  <c r="D80" i="5"/>
  <c r="D81" i="5" s="1"/>
  <c r="C81" i="5"/>
  <c r="J58" i="3"/>
  <c r="I50" i="3"/>
  <c r="K49" i="3"/>
  <c r="J49" i="3"/>
  <c r="J48" i="3"/>
  <c r="K48" i="3" s="1"/>
  <c r="B7" i="4"/>
  <c r="L18" i="3"/>
  <c r="J19" i="3"/>
  <c r="J20" i="3" s="1"/>
  <c r="J21" i="3" s="1"/>
  <c r="J22" i="3" s="1"/>
  <c r="J23" i="3" s="1"/>
  <c r="J24" i="3" s="1"/>
  <c r="H20" i="3"/>
  <c r="H21" i="3"/>
  <c r="H22" i="3"/>
  <c r="H23" i="3"/>
  <c r="H24" i="3"/>
  <c r="H25" i="3"/>
  <c r="H26" i="3"/>
  <c r="F24" i="3"/>
  <c r="G24" i="3" s="1"/>
  <c r="F18" i="3"/>
  <c r="G18" i="3" s="1"/>
  <c r="K18" i="3" s="1"/>
  <c r="E26" i="3"/>
  <c r="F26" i="3" s="1"/>
  <c r="G26" i="3" s="1"/>
  <c r="E20" i="3"/>
  <c r="F20" i="3" s="1"/>
  <c r="G20" i="3" s="1"/>
  <c r="K20" i="3" s="1"/>
  <c r="E21" i="3"/>
  <c r="F21" i="3" s="1"/>
  <c r="G21" i="3" s="1"/>
  <c r="E22" i="3"/>
  <c r="F22" i="3" s="1"/>
  <c r="G22" i="3" s="1"/>
  <c r="E23" i="3"/>
  <c r="F23" i="3" s="1"/>
  <c r="G23" i="3" s="1"/>
  <c r="E24" i="3"/>
  <c r="E25" i="3"/>
  <c r="F25" i="3" s="1"/>
  <c r="G25" i="3" s="1"/>
  <c r="E19" i="3"/>
  <c r="F19" i="3" s="1"/>
  <c r="G19" i="3" s="1"/>
  <c r="B5" i="4"/>
  <c r="B6" i="4" s="1"/>
  <c r="C13" i="5" l="1"/>
  <c r="E80" i="5"/>
  <c r="E79" i="5"/>
  <c r="H65" i="5" s="1"/>
  <c r="M13" i="5"/>
  <c r="F71" i="5"/>
  <c r="F73" i="5"/>
  <c r="F74" i="5"/>
  <c r="F75" i="5"/>
  <c r="F67" i="5"/>
  <c r="F70" i="5"/>
  <c r="F69" i="5"/>
  <c r="F62" i="5"/>
  <c r="F66" i="5"/>
  <c r="F68" i="5"/>
  <c r="F72" i="5"/>
  <c r="J50" i="3"/>
  <c r="K50" i="3" s="1"/>
  <c r="I51" i="3"/>
  <c r="K21" i="3"/>
  <c r="K19" i="3"/>
  <c r="K23" i="3"/>
  <c r="L23" i="3" s="1"/>
  <c r="K24" i="3"/>
  <c r="L24" i="3" s="1"/>
  <c r="K22" i="3"/>
  <c r="L22" i="3" s="1"/>
  <c r="L20" i="3"/>
  <c r="J25" i="3"/>
  <c r="J26" i="3" s="1"/>
  <c r="K26" i="3" s="1"/>
  <c r="L21" i="3"/>
  <c r="G72" i="5" l="1"/>
  <c r="I52" i="3"/>
  <c r="J51" i="3"/>
  <c r="K51" i="3" s="1"/>
  <c r="K25" i="3"/>
  <c r="L25" i="3" s="1"/>
  <c r="G68" i="5" l="1"/>
  <c r="G69" i="5"/>
  <c r="G71" i="5"/>
  <c r="G70" i="5"/>
  <c r="G67" i="5"/>
  <c r="G62" i="5"/>
  <c r="G74" i="5"/>
  <c r="G73" i="5"/>
  <c r="G75" i="5"/>
  <c r="G66" i="5"/>
  <c r="H63" i="5"/>
  <c r="I53" i="3"/>
  <c r="J52" i="3"/>
  <c r="K52" i="3" s="1"/>
  <c r="M12" i="5" l="1"/>
  <c r="M14" i="5" s="1"/>
  <c r="I64" i="5"/>
  <c r="J53" i="3"/>
  <c r="K53" i="3"/>
  <c r="I54" i="3"/>
  <c r="H73" i="5" l="1"/>
  <c r="H75" i="5"/>
  <c r="H66" i="5"/>
  <c r="H71" i="5"/>
  <c r="H70" i="5"/>
  <c r="H62" i="5"/>
  <c r="H74" i="5"/>
  <c r="H67" i="5"/>
  <c r="I75" i="5"/>
  <c r="I65" i="5"/>
  <c r="I70" i="5"/>
  <c r="I73" i="5"/>
  <c r="I71" i="5"/>
  <c r="I72" i="5"/>
  <c r="I74" i="5"/>
  <c r="I62" i="5"/>
  <c r="I68" i="5"/>
  <c r="I63" i="5"/>
  <c r="K63" i="5" s="1"/>
  <c r="I66" i="5"/>
  <c r="I69" i="5"/>
  <c r="H68" i="5"/>
  <c r="H64" i="5"/>
  <c r="J64" i="5" s="1"/>
  <c r="H72" i="5"/>
  <c r="H69" i="5"/>
  <c r="I55" i="3"/>
  <c r="J54" i="3"/>
  <c r="K54" i="3" s="1"/>
  <c r="J62" i="5" l="1"/>
  <c r="L62" i="5" s="1"/>
  <c r="M62" i="5" s="1"/>
  <c r="J66" i="5"/>
  <c r="L66" i="5" s="1"/>
  <c r="M66" i="5" s="1"/>
  <c r="J75" i="5"/>
  <c r="L75" i="5" s="1"/>
  <c r="M75" i="5" s="1"/>
  <c r="J67" i="5"/>
  <c r="L67" i="5" s="1"/>
  <c r="M67" i="5" s="1"/>
  <c r="J73" i="5"/>
  <c r="L73" i="5" s="1"/>
  <c r="M73" i="5" s="1"/>
  <c r="K74" i="5"/>
  <c r="K71" i="5"/>
  <c r="J63" i="5"/>
  <c r="L63" i="5" s="1"/>
  <c r="M63" i="5" s="1"/>
  <c r="K67" i="5"/>
  <c r="K70" i="5"/>
  <c r="J74" i="5"/>
  <c r="L74" i="5" s="1"/>
  <c r="M74" i="5" s="1"/>
  <c r="J70" i="5"/>
  <c r="L70" i="5" s="1"/>
  <c r="M70" i="5" s="1"/>
  <c r="K66" i="5"/>
  <c r="K73" i="5"/>
  <c r="J65" i="5"/>
  <c r="L65" i="5" s="1"/>
  <c r="M65" i="5" s="1"/>
  <c r="K65" i="5"/>
  <c r="K64" i="5"/>
  <c r="L64" i="5"/>
  <c r="M64" i="5" s="1"/>
  <c r="K62" i="5"/>
  <c r="J68" i="5"/>
  <c r="L68" i="5" s="1"/>
  <c r="M68" i="5" s="1"/>
  <c r="K68" i="5"/>
  <c r="J71" i="5"/>
  <c r="L71" i="5" s="1"/>
  <c r="M71" i="5" s="1"/>
  <c r="K69" i="5"/>
  <c r="J69" i="5"/>
  <c r="L69" i="5" s="1"/>
  <c r="M69" i="5" s="1"/>
  <c r="K75" i="5"/>
  <c r="K72" i="5"/>
  <c r="J72" i="5"/>
  <c r="L72" i="5" s="1"/>
  <c r="M72" i="5" s="1"/>
  <c r="J55" i="3"/>
  <c r="K55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Marte Mølsæter Maråk</author>
    <author>tc={B5C52630-6C8A-4209-8F44-AAD54C9604CC}</author>
    <author>tc={343258B8-24F1-4F31-AA64-9B1BB9FC838A}</author>
  </authors>
  <commentList>
    <comment ref="G4" authorId="0" shapeId="0" xr:uid="{1C93BB7A-0459-4A3F-BC32-DC9E6BB7BFB4}">
      <text>
        <r>
          <rPr>
            <b/>
            <sz val="9"/>
            <color indexed="81"/>
            <rFont val="Tahoma"/>
            <family val="2"/>
          </rPr>
          <t>Marte Mølsæter Maråk:</t>
        </r>
        <r>
          <rPr>
            <sz val="9"/>
            <color indexed="81"/>
            <rFont val="Tahoma"/>
            <family val="2"/>
          </rPr>
          <t xml:space="preserve">
Based on mol glucose C in reservoir and yield</t>
        </r>
      </text>
    </comment>
    <comment ref="L8" authorId="0" shapeId="0" xr:uid="{29D6AE78-08D3-42FC-88D3-45D72CD78426}">
      <text>
        <r>
          <rPr>
            <b/>
            <sz val="9"/>
            <color indexed="81"/>
            <rFont val="Tahoma"/>
            <family val="2"/>
          </rPr>
          <t>Marte Mølsæter Maråk:</t>
        </r>
        <r>
          <rPr>
            <sz val="9"/>
            <color indexed="81"/>
            <rFont val="Tahoma"/>
            <family val="2"/>
          </rPr>
          <t xml:space="preserve">
Volume H2O added for 1 L acid solution, including H2O from feed</t>
        </r>
      </text>
    </comment>
    <comment ref="G10" authorId="0" shapeId="0" xr:uid="{5C4D7230-C586-46E5-B0FF-DEDB7AD702E5}">
      <text>
        <r>
          <rPr>
            <b/>
            <sz val="9"/>
            <color indexed="81"/>
            <rFont val="Tahoma"/>
            <family val="2"/>
          </rPr>
          <t>Marte Mølsæter Maråk:</t>
        </r>
        <r>
          <rPr>
            <sz val="9"/>
            <color indexed="81"/>
            <rFont val="Tahoma"/>
            <family val="2"/>
          </rPr>
          <t xml:space="preserve">
Based on needed NO</t>
        </r>
        <r>
          <rPr>
            <vertAlign val="subscript"/>
            <sz val="9"/>
            <color indexed="81"/>
            <rFont val="Tahoma"/>
            <family val="2"/>
          </rPr>
          <t>3</t>
        </r>
        <r>
          <rPr>
            <vertAlign val="superscript"/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Tahoma"/>
            <family val="2"/>
          </rPr>
          <t>and subtracting NO</t>
        </r>
        <r>
          <rPr>
            <vertAlign val="subscript"/>
            <sz val="9"/>
            <color indexed="81"/>
            <rFont val="Tahoma"/>
            <family val="2"/>
          </rPr>
          <t>3</t>
        </r>
        <r>
          <rPr>
            <vertAlign val="superscript"/>
            <sz val="9"/>
            <color indexed="81"/>
            <rFont val="Tahoma"/>
            <family val="2"/>
          </rPr>
          <t>-</t>
        </r>
        <r>
          <rPr>
            <sz val="9"/>
            <color indexed="81"/>
            <rFont val="Tahoma"/>
            <family val="2"/>
          </rPr>
          <t xml:space="preserve"> coming from NH</t>
        </r>
        <r>
          <rPr>
            <vertAlign val="subscript"/>
            <sz val="9"/>
            <color indexed="81"/>
            <rFont val="Tahoma"/>
            <family val="2"/>
          </rPr>
          <t>4</t>
        </r>
        <r>
          <rPr>
            <sz val="9"/>
            <color indexed="81"/>
            <rFont val="Tahoma"/>
            <family val="2"/>
          </rPr>
          <t>NO</t>
        </r>
        <r>
          <rPr>
            <vertAlign val="subscript"/>
            <sz val="9"/>
            <color indexed="81"/>
            <rFont val="Tahoma"/>
            <family val="2"/>
          </rPr>
          <t>3</t>
        </r>
      </text>
    </comment>
    <comment ref="L11" authorId="0" shapeId="0" xr:uid="{70965376-D6D7-426D-A974-94675A158A6A}">
      <text>
        <r>
          <rPr>
            <b/>
            <sz val="9"/>
            <color indexed="81"/>
            <rFont val="Tahoma"/>
            <family val="2"/>
          </rPr>
          <t>Marte Mølsæter Maråk:</t>
        </r>
        <r>
          <rPr>
            <sz val="9"/>
            <color indexed="81"/>
            <rFont val="Tahoma"/>
            <family val="2"/>
          </rPr>
          <t xml:space="preserve">
Assuming avg density= 1.57 g mL</t>
        </r>
        <r>
          <rPr>
            <vertAlign val="superscript"/>
            <sz val="9"/>
            <color indexed="81"/>
            <rFont val="Tahoma"/>
            <family val="2"/>
          </rPr>
          <t>-1</t>
        </r>
      </text>
    </comment>
    <comment ref="L13" authorId="0" shapeId="0" xr:uid="{1D324EA8-8804-41BB-AC5B-45B47B5D52DF}">
      <text>
        <r>
          <rPr>
            <b/>
            <sz val="9"/>
            <color indexed="81"/>
            <rFont val="Tahoma"/>
            <family val="2"/>
          </rPr>
          <t>Marte Mølsæter Maråk:</t>
        </r>
        <r>
          <rPr>
            <sz val="9"/>
            <color indexed="81"/>
            <rFont val="Tahoma"/>
            <family val="2"/>
          </rPr>
          <t xml:space="preserve">
Assuming 0.2 g DW mL</t>
        </r>
        <r>
          <rPr>
            <vertAlign val="superscript"/>
            <sz val="9"/>
            <color indexed="81"/>
            <rFont val="Tahoma"/>
            <family val="2"/>
          </rPr>
          <t>-1</t>
        </r>
        <r>
          <rPr>
            <sz val="9"/>
            <color indexed="81"/>
            <rFont val="Tahoma"/>
            <family val="2"/>
          </rPr>
          <t xml:space="preserve"> cell volume
</t>
        </r>
      </text>
    </comment>
    <comment ref="G22" authorId="0" shapeId="0" xr:uid="{5C0DD675-8EA3-4F27-8269-BD83EE71C382}">
      <text>
        <r>
          <rPr>
            <b/>
            <sz val="9"/>
            <color indexed="81"/>
            <rFont val="Tahoma"/>
            <family val="2"/>
          </rPr>
          <t>Marte Mølsæter Maråk:</t>
        </r>
        <r>
          <rPr>
            <sz val="9"/>
            <color indexed="81"/>
            <rFont val="Tahoma"/>
            <family val="2"/>
          </rPr>
          <t xml:space="preserve">
If other concentrations of HNO</t>
        </r>
        <r>
          <rPr>
            <vertAlign val="subscript"/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Tahoma"/>
            <family val="2"/>
          </rPr>
          <t xml:space="preserve"> are used, the new concentration must be set in AcidRatio D3</t>
        </r>
      </text>
    </comment>
    <comment ref="I23" authorId="0" shapeId="0" xr:uid="{945B4AC0-C5E4-441A-A74C-C08BA1F27381}">
      <text>
        <r>
          <rPr>
            <b/>
            <sz val="9"/>
            <color indexed="81"/>
            <rFont val="Tahoma"/>
            <family val="2"/>
          </rPr>
          <t>Marte Mølsæter Maråk:</t>
        </r>
        <r>
          <rPr>
            <sz val="9"/>
            <color indexed="81"/>
            <rFont val="Tahoma"/>
            <family val="2"/>
          </rPr>
          <t xml:space="preserve">
Assuming ideal solution</t>
        </r>
      </text>
    </comment>
    <comment ref="M23" authorId="0" shapeId="0" xr:uid="{1453DC40-A414-4E6F-9A02-4CE87D8FD147}">
      <text>
        <r>
          <rPr>
            <b/>
            <sz val="9"/>
            <color indexed="81"/>
            <rFont val="Tahoma"/>
            <family val="2"/>
          </rPr>
          <t>Marte Mølsæter Maråk:</t>
        </r>
        <r>
          <rPr>
            <sz val="9"/>
            <color indexed="81"/>
            <rFont val="Tahoma"/>
            <family val="2"/>
          </rPr>
          <t xml:space="preserve">
Based on densities of glucose- and NH4NO3 solutions. 
See the sheet FeedRatio</t>
        </r>
      </text>
    </comment>
    <comment ref="I24" authorId="0" shapeId="0" xr:uid="{BCA279FC-76D6-41D8-BBCD-A1A1F456EF55}">
      <text>
        <r>
          <rPr>
            <b/>
            <sz val="9"/>
            <color indexed="81"/>
            <rFont val="Tahoma"/>
            <family val="2"/>
          </rPr>
          <t>Marte Mølsæter Maråk:</t>
        </r>
        <r>
          <rPr>
            <sz val="9"/>
            <color indexed="81"/>
            <rFont val="Tahoma"/>
            <family val="2"/>
          </rPr>
          <t xml:space="preserve">
Assuming ideal solution</t>
        </r>
      </text>
    </comment>
    <comment ref="H28" authorId="0" shapeId="0" xr:uid="{1E207B01-A34B-46AE-9901-11F612E892CC}">
      <text>
        <r>
          <rPr>
            <b/>
            <sz val="9"/>
            <color indexed="81"/>
            <rFont val="Tahoma"/>
            <family val="2"/>
          </rPr>
          <t>Marte Mølsæter Maråk:</t>
        </r>
        <r>
          <rPr>
            <sz val="9"/>
            <color indexed="81"/>
            <rFont val="Tahoma"/>
            <family val="2"/>
          </rPr>
          <t xml:space="preserve">
Total weight/ finall density</t>
        </r>
      </text>
    </comment>
    <comment ref="B29" authorId="0" shapeId="0" xr:uid="{90C79742-D797-4E1E-88A8-EE879B31A71A}">
      <text>
        <r>
          <rPr>
            <b/>
            <sz val="9"/>
            <color indexed="81"/>
            <rFont val="Tahoma"/>
            <family val="2"/>
          </rPr>
          <t>Marte Mølsæter Maråk:</t>
        </r>
        <r>
          <rPr>
            <sz val="9"/>
            <color indexed="81"/>
            <rFont val="Tahoma"/>
            <family val="2"/>
          </rPr>
          <t xml:space="preserve">
C₁₀H₁₄N₂Na₂O₈</t>
        </r>
      </text>
    </comment>
    <comment ref="G44" authorId="0" shapeId="0" xr:uid="{8DCD3D62-B389-4169-87EC-59AE171CA37B}">
      <text>
        <r>
          <rPr>
            <b/>
            <sz val="9"/>
            <color indexed="81"/>
            <rFont val="Tahoma"/>
            <charset val="1"/>
          </rPr>
          <t>Marte Mølsæter Maråk:</t>
        </r>
        <r>
          <rPr>
            <sz val="9"/>
            <color indexed="81"/>
            <rFont val="Tahoma"/>
            <charset val="1"/>
          </rPr>
          <t xml:space="preserve">
If other concentrations of H</t>
        </r>
        <r>
          <rPr>
            <vertAlign val="subscript"/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Tahoma"/>
            <charset val="1"/>
          </rPr>
          <t>PO</t>
        </r>
        <r>
          <rPr>
            <vertAlign val="subscript"/>
            <sz val="9"/>
            <color indexed="81"/>
            <rFont val="Tahoma"/>
            <family val="2"/>
          </rPr>
          <t>4</t>
        </r>
        <r>
          <rPr>
            <sz val="9"/>
            <color indexed="81"/>
            <rFont val="Tahoma"/>
            <charset val="1"/>
          </rPr>
          <t xml:space="preserve"> are used, the new concentration must be set in H3PO4Ratio B3</t>
        </r>
      </text>
    </comment>
    <comment ref="H44" authorId="0" shapeId="0" xr:uid="{35D741AA-AC9E-439F-8B7D-43EDB41A606E}">
      <text>
        <r>
          <rPr>
            <b/>
            <sz val="9"/>
            <color indexed="81"/>
            <rFont val="Tahoma"/>
            <family val="2"/>
          </rPr>
          <t>Marte Mølsæter Maråk:</t>
        </r>
        <r>
          <rPr>
            <sz val="9"/>
            <color indexed="81"/>
            <rFont val="Tahoma"/>
            <family val="2"/>
          </rPr>
          <t xml:space="preserve">
M H3PO4 in 89% solution</t>
        </r>
      </text>
    </comment>
    <comment ref="I44" authorId="0" shapeId="0" xr:uid="{9E1FFC1D-1F5A-445D-91A3-48EB0F8521FB}">
      <text>
        <r>
          <rPr>
            <b/>
            <sz val="9"/>
            <color indexed="81"/>
            <rFont val="Tahoma"/>
            <family val="2"/>
          </rPr>
          <t>Marte Mølsæter Maråk:</t>
        </r>
        <r>
          <rPr>
            <sz val="9"/>
            <color indexed="81"/>
            <rFont val="Tahoma"/>
            <family val="2"/>
          </rPr>
          <t xml:space="preserve">
mL 89% H3PO4</t>
        </r>
      </text>
    </comment>
    <comment ref="L60" authorId="1" shapeId="0" xr:uid="{B5C52630-6C8A-4209-8F44-AAD54C9604C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Estimated amounts accumulated pr L H2O (including H2O in cells!)
</t>
      </text>
    </comment>
    <comment ref="M60" authorId="2" shapeId="0" xr:uid="{343258B8-24F1-4F31-AA64-9B1BB9FC838A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the estimated extracellular concentration</t>
      </text>
    </comment>
    <comment ref="D61" authorId="0" shapeId="0" xr:uid="{D47A5507-37C4-4E95-8A7F-6F8445EC5E86}">
      <text>
        <r>
          <rPr>
            <b/>
            <sz val="9"/>
            <color indexed="81"/>
            <rFont val="Tahoma"/>
            <family val="2"/>
          </rPr>
          <t>Marte Mølsæter Maråk:</t>
        </r>
        <r>
          <rPr>
            <sz val="9"/>
            <color indexed="81"/>
            <rFont val="Tahoma"/>
            <family val="2"/>
          </rPr>
          <t xml:space="preserve">
µg/g in cell</t>
        </r>
      </text>
    </comment>
    <comment ref="I61" authorId="0" shapeId="0" xr:uid="{F5EC7813-13C8-44FD-B540-6B5A42468AFA}">
      <text>
        <r>
          <rPr>
            <b/>
            <sz val="9"/>
            <color indexed="81"/>
            <rFont val="Tahoma"/>
            <family val="2"/>
          </rPr>
          <t>Marte Mølsæter Maråk:</t>
        </r>
        <r>
          <rPr>
            <sz val="9"/>
            <color indexed="81"/>
            <rFont val="Tahoma"/>
            <family val="2"/>
          </rPr>
          <t xml:space="preserve">
his is the estimated amounts of each element in the cells, assuming the steady state biomass, and the target element composition of cells </t>
        </r>
      </text>
    </comment>
    <comment ref="J61" authorId="0" shapeId="0" xr:uid="{F3ED59F6-2751-48C9-B39E-63346BAC22CB}">
      <text>
        <r>
          <rPr>
            <b/>
            <sz val="9"/>
            <color indexed="81"/>
            <rFont val="Tahoma"/>
            <family val="2"/>
          </rPr>
          <t>Marte Mølsæter Maråk:</t>
        </r>
        <r>
          <rPr>
            <sz val="9"/>
            <color indexed="81"/>
            <rFont val="Tahoma"/>
            <family val="2"/>
          </rPr>
          <t xml:space="preserve">
Amount added subtracted what is taken up by the cells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Marte Mølsæter Maråk</author>
  </authors>
  <commentList>
    <comment ref="D4" authorId="0" shapeId="0" xr:uid="{0ED01237-612B-4FF5-BECB-81AF02CAD0BE}">
      <text>
        <r>
          <rPr>
            <b/>
            <sz val="9"/>
            <color indexed="81"/>
            <rFont val="Tahoma"/>
            <family val="2"/>
          </rPr>
          <t>Marte Mølsæter Maråk:</t>
        </r>
        <r>
          <rPr>
            <sz val="9"/>
            <color indexed="81"/>
            <rFont val="Tahoma"/>
            <family val="2"/>
          </rPr>
          <t xml:space="preserve">
Equation 1</t>
        </r>
      </text>
    </comment>
    <comment ref="G4" authorId="0" shapeId="0" xr:uid="{76EA78F0-65FB-43EA-BE09-DC2602DFBABD}">
      <text>
        <r>
          <rPr>
            <b/>
            <sz val="9"/>
            <color indexed="81"/>
            <rFont val="Tahoma"/>
            <family val="2"/>
          </rPr>
          <t>Marte Mølsæter Maråk:</t>
        </r>
        <r>
          <rPr>
            <sz val="9"/>
            <color indexed="81"/>
            <rFont val="Tahoma"/>
            <family val="2"/>
          </rPr>
          <t xml:space="preserve">
Equation 2</t>
        </r>
      </text>
    </comment>
    <comment ref="G6" authorId="0" shapeId="0" xr:uid="{24ECD6D9-3304-46B3-B1BB-13D910BA8479}">
      <text>
        <r>
          <rPr>
            <b/>
            <sz val="9"/>
            <color indexed="81"/>
            <rFont val="Tahoma"/>
            <family val="2"/>
          </rPr>
          <t xml:space="preserve">Marte Mølsæter Maråk:
</t>
        </r>
        <r>
          <rPr>
            <sz val="9"/>
            <color indexed="81"/>
            <rFont val="Tahoma"/>
            <family val="2"/>
          </rPr>
          <t>Equation 1</t>
        </r>
      </text>
    </comment>
    <comment ref="J12" authorId="0" shapeId="0" xr:uid="{1E42217E-3085-4C53-BF07-C9B725A85882}">
      <text>
        <r>
          <rPr>
            <b/>
            <sz val="9"/>
            <color indexed="81"/>
            <rFont val="Tahoma"/>
            <family val="2"/>
          </rPr>
          <t>Marte Mølsæter Maråk:</t>
        </r>
        <r>
          <rPr>
            <sz val="9"/>
            <color indexed="81"/>
            <rFont val="Tahoma"/>
            <family val="2"/>
          </rPr>
          <t xml:space="preserve">
Average of 20 and 25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Marte Mølsæter Maråk</author>
  </authors>
  <commentList>
    <comment ref="G17" authorId="0" shapeId="0" xr:uid="{D602DB96-8508-4617-9BA6-A7D8663B5CB3}">
      <text>
        <r>
          <rPr>
            <b/>
            <sz val="9"/>
            <color indexed="81"/>
            <rFont val="Tahoma"/>
            <family val="2"/>
          </rPr>
          <t>Marte Mølsæter Maråk:</t>
        </r>
        <r>
          <rPr>
            <sz val="9"/>
            <color indexed="81"/>
            <rFont val="Tahoma"/>
            <family val="2"/>
          </rPr>
          <t xml:space="preserve">
g glucose in 1 mL H2O</t>
        </r>
      </text>
    </comment>
    <comment ref="H17" authorId="0" shapeId="0" xr:uid="{7AA236EE-1464-4DBB-82EB-FAEDFAAFC47E}">
      <text>
        <r>
          <rPr>
            <b/>
            <sz val="9"/>
            <color indexed="81"/>
            <rFont val="Tahoma"/>
            <family val="2"/>
          </rPr>
          <t>Marte Mølsæter Maråk:</t>
        </r>
        <r>
          <rPr>
            <sz val="9"/>
            <color indexed="81"/>
            <rFont val="Tahoma"/>
            <family val="2"/>
          </rPr>
          <t xml:space="preserve">
Density final mixture</t>
        </r>
      </text>
    </comment>
    <comment ref="J17" authorId="0" shapeId="0" xr:uid="{C439777D-C013-4167-84B1-FA81C3D20CEF}">
      <text>
        <r>
          <rPr>
            <b/>
            <sz val="9"/>
            <color indexed="81"/>
            <rFont val="Tahoma"/>
            <family val="2"/>
          </rPr>
          <t>Marte Mølsæter Maråk:</t>
        </r>
        <r>
          <rPr>
            <sz val="9"/>
            <color indexed="81"/>
            <rFont val="Tahoma"/>
            <family val="2"/>
          </rPr>
          <t xml:space="preserve">
1 mL water assumed to be 1 g</t>
        </r>
      </text>
    </comment>
    <comment ref="F46" authorId="0" shapeId="0" xr:uid="{4FFCFFB6-ADBC-443A-97C5-4C7E5323A719}">
      <text>
        <r>
          <rPr>
            <b/>
            <sz val="9"/>
            <color indexed="81"/>
            <rFont val="Tahoma"/>
            <family val="2"/>
          </rPr>
          <t>Marte Mølsæter Maråk:</t>
        </r>
        <r>
          <rPr>
            <sz val="9"/>
            <color indexed="81"/>
            <rFont val="Tahoma"/>
            <family val="2"/>
          </rPr>
          <t xml:space="preserve">
g HNO3 in 1 mL H2O</t>
        </r>
      </text>
    </comment>
    <comment ref="G46" authorId="0" shapeId="0" xr:uid="{9876881E-D2DB-4D5E-8005-1F89E6B83FBC}">
      <text>
        <r>
          <rPr>
            <b/>
            <sz val="9"/>
            <color indexed="81"/>
            <rFont val="Tahoma"/>
            <family val="2"/>
          </rPr>
          <t>Marte Mølsæter Maråk:</t>
        </r>
        <r>
          <rPr>
            <sz val="9"/>
            <color indexed="81"/>
            <rFont val="Tahoma"/>
            <family val="2"/>
          </rPr>
          <t xml:space="preserve">
Density final mixture</t>
        </r>
      </text>
    </comment>
    <comment ref="I46" authorId="0" shapeId="0" xr:uid="{0941A00D-60A7-4944-A48C-03D76D68C8D1}">
      <text>
        <r>
          <rPr>
            <b/>
            <sz val="9"/>
            <color indexed="81"/>
            <rFont val="Tahoma"/>
            <family val="2"/>
          </rPr>
          <t>Marte Mølsæter Maråk:</t>
        </r>
        <r>
          <rPr>
            <sz val="9"/>
            <color indexed="81"/>
            <rFont val="Tahoma"/>
            <family val="2"/>
          </rPr>
          <t xml:space="preserve">
1 mL water assumed to be 1 g</t>
        </r>
      </text>
    </comment>
  </commentList>
</comments>
</file>

<file path=xl/sharedStrings.xml><?xml version="1.0" encoding="utf-8"?>
<sst xmlns="http://schemas.openxmlformats.org/spreadsheetml/2006/main" count="292" uniqueCount="222">
  <si>
    <r>
      <t>H</t>
    </r>
    <r>
      <rPr>
        <b/>
        <vertAlign val="subscript"/>
        <sz val="12"/>
        <color theme="1"/>
        <rFont val="Aptos Narrow"/>
        <family val="2"/>
        <scheme val="minor"/>
      </rPr>
      <t>3</t>
    </r>
    <r>
      <rPr>
        <b/>
        <sz val="12"/>
        <color theme="1"/>
        <rFont val="Aptos Narrow"/>
        <family val="2"/>
        <scheme val="minor"/>
      </rPr>
      <t>PO</t>
    </r>
    <r>
      <rPr>
        <b/>
        <vertAlign val="subscript"/>
        <sz val="12"/>
        <color theme="1"/>
        <rFont val="Aptos Narrow"/>
        <family val="2"/>
        <scheme val="minor"/>
      </rPr>
      <t>4</t>
    </r>
    <r>
      <rPr>
        <b/>
        <sz val="12"/>
        <color theme="1"/>
        <rFont val="Aptos Narrow"/>
        <family val="2"/>
        <scheme val="minor"/>
      </rPr>
      <t xml:space="preserve"> calculus</t>
    </r>
  </si>
  <si>
    <t>MW</t>
  </si>
  <si>
    <r>
      <t>g mol</t>
    </r>
    <r>
      <rPr>
        <vertAlign val="superscript"/>
        <sz val="11"/>
        <color theme="1"/>
        <rFont val="Aptos Narrow"/>
        <family val="2"/>
        <scheme val="minor"/>
      </rPr>
      <t>-1</t>
    </r>
  </si>
  <si>
    <t>Weight%</t>
  </si>
  <si>
    <t>%</t>
  </si>
  <si>
    <t>Density</t>
  </si>
  <si>
    <t>Concentration</t>
  </si>
  <si>
    <t> Christensen, J. H.; Reed, R. B. (1955). "Design and Analysis Data—Density of Aqueous Solutions of Phosphoric Acid Measurements at 25 °C". Ind. Eng. Chem. 47 (6): 1277–1280.</t>
  </si>
  <si>
    <t>Source:</t>
  </si>
  <si>
    <r>
      <t>Density [g L</t>
    </r>
    <r>
      <rPr>
        <b/>
        <vertAlign val="superscript"/>
        <sz val="11"/>
        <color theme="1"/>
        <rFont val="Aptos Narrow"/>
        <family val="2"/>
        <scheme val="minor"/>
      </rPr>
      <t>-1</t>
    </r>
    <r>
      <rPr>
        <b/>
        <sz val="11"/>
        <color theme="1"/>
        <rFont val="Aptos Narrow"/>
        <family val="2"/>
        <scheme val="minor"/>
      </rPr>
      <t>]</t>
    </r>
  </si>
  <si>
    <r>
      <t>g L</t>
    </r>
    <r>
      <rPr>
        <vertAlign val="superscript"/>
        <sz val="11"/>
        <color theme="1"/>
        <rFont val="Aptos Narrow"/>
        <family val="2"/>
        <scheme val="minor"/>
      </rPr>
      <t>-1</t>
    </r>
  </si>
  <si>
    <r>
      <t>g H</t>
    </r>
    <r>
      <rPr>
        <vertAlign val="subscript"/>
        <sz val="11"/>
        <color theme="1"/>
        <rFont val="Aptos Narrow"/>
        <family val="2"/>
        <scheme val="minor"/>
      </rPr>
      <t>3</t>
    </r>
    <r>
      <rPr>
        <sz val="11"/>
        <color theme="1"/>
        <rFont val="Aptos Narrow"/>
        <family val="2"/>
        <scheme val="minor"/>
      </rPr>
      <t>PO</t>
    </r>
    <r>
      <rPr>
        <vertAlign val="subscript"/>
        <sz val="11"/>
        <color theme="1"/>
        <rFont val="Aptos Narrow"/>
        <family val="2"/>
        <scheme val="minor"/>
      </rPr>
      <t>4</t>
    </r>
    <r>
      <rPr>
        <sz val="11"/>
        <color theme="1"/>
        <rFont val="Aptos Narrow"/>
        <family val="2"/>
        <scheme val="minor"/>
      </rPr>
      <t xml:space="preserve"> L</t>
    </r>
    <r>
      <rPr>
        <vertAlign val="superscript"/>
        <sz val="11"/>
        <color theme="1"/>
        <rFont val="Aptos Narrow"/>
        <family val="2"/>
        <scheme val="minor"/>
      </rPr>
      <t>-1</t>
    </r>
  </si>
  <si>
    <r>
      <t>mol H</t>
    </r>
    <r>
      <rPr>
        <vertAlign val="subscript"/>
        <sz val="11"/>
        <color theme="1"/>
        <rFont val="Aptos Narrow"/>
        <family val="2"/>
        <scheme val="minor"/>
      </rPr>
      <t>3</t>
    </r>
    <r>
      <rPr>
        <sz val="11"/>
        <color theme="1"/>
        <rFont val="Aptos Narrow"/>
        <family val="2"/>
        <scheme val="minor"/>
      </rPr>
      <t>PO</t>
    </r>
    <r>
      <rPr>
        <vertAlign val="subscript"/>
        <sz val="11"/>
        <color theme="1"/>
        <rFont val="Aptos Narrow"/>
        <family val="2"/>
        <scheme val="minor"/>
      </rPr>
      <t>4</t>
    </r>
    <r>
      <rPr>
        <sz val="11"/>
        <color theme="1"/>
        <rFont val="Aptos Narrow"/>
        <family val="2"/>
        <scheme val="minor"/>
      </rPr>
      <t xml:space="preserve"> L</t>
    </r>
    <r>
      <rPr>
        <vertAlign val="superscript"/>
        <sz val="11"/>
        <color theme="1"/>
        <rFont val="Aptos Narrow"/>
        <family val="2"/>
        <scheme val="minor"/>
      </rPr>
      <t>-1</t>
    </r>
  </si>
  <si>
    <r>
      <t>Feed (Glucose + NH</t>
    </r>
    <r>
      <rPr>
        <b/>
        <vertAlign val="subscript"/>
        <sz val="12"/>
        <color theme="1"/>
        <rFont val="Aptos Narrow"/>
        <family val="2"/>
        <scheme val="minor"/>
      </rPr>
      <t>4</t>
    </r>
    <r>
      <rPr>
        <b/>
        <sz val="12"/>
        <color theme="1"/>
        <rFont val="Aptos Narrow"/>
        <family val="2"/>
        <scheme val="minor"/>
      </rPr>
      <t>NO</t>
    </r>
    <r>
      <rPr>
        <b/>
        <vertAlign val="subscript"/>
        <sz val="12"/>
        <color theme="1"/>
        <rFont val="Aptos Narrow"/>
        <family val="2"/>
        <scheme val="minor"/>
      </rPr>
      <t>3</t>
    </r>
    <r>
      <rPr>
        <b/>
        <sz val="12"/>
        <color theme="1"/>
        <rFont val="Aptos Narrow"/>
        <family val="2"/>
        <scheme val="minor"/>
      </rPr>
      <t>) calculus</t>
    </r>
  </si>
  <si>
    <t>Glucose</t>
  </si>
  <si>
    <t>unknown</t>
  </si>
  <si>
    <t>Mass%</t>
  </si>
  <si>
    <t>The engineering toolbox at 20°C</t>
  </si>
  <si>
    <r>
      <t>Density [g mL</t>
    </r>
    <r>
      <rPr>
        <vertAlign val="superscript"/>
        <sz val="11"/>
        <color theme="1"/>
        <rFont val="Aptos Narrow"/>
        <family val="2"/>
        <scheme val="minor"/>
      </rPr>
      <t>-1</t>
    </r>
    <r>
      <rPr>
        <sz val="11"/>
        <color theme="1"/>
        <rFont val="Aptos Narrow"/>
        <family val="2"/>
        <scheme val="minor"/>
      </rPr>
      <t>]</t>
    </r>
  </si>
  <si>
    <t>Mass fraction</t>
  </si>
  <si>
    <r>
      <t>Conc. [g mL</t>
    </r>
    <r>
      <rPr>
        <vertAlign val="superscript"/>
        <sz val="11"/>
        <color theme="1"/>
        <rFont val="Aptos Narrow"/>
        <family val="2"/>
        <scheme val="minor"/>
      </rPr>
      <t>-1</t>
    </r>
    <r>
      <rPr>
        <sz val="11"/>
        <color theme="1"/>
        <rFont val="Aptos Narrow"/>
        <family val="2"/>
        <scheme val="minor"/>
      </rPr>
      <t>]</t>
    </r>
  </si>
  <si>
    <t>Conc. [M]</t>
  </si>
  <si>
    <t>Water [mL]</t>
  </si>
  <si>
    <t>Glucose [g]</t>
  </si>
  <si>
    <t>Volume [mL]</t>
  </si>
  <si>
    <r>
      <t>Density [kg L</t>
    </r>
    <r>
      <rPr>
        <vertAlign val="superscript"/>
        <sz val="11"/>
        <color theme="1"/>
        <rFont val="Aptos Narrow"/>
        <family val="2"/>
        <scheme val="minor"/>
      </rPr>
      <t>-1</t>
    </r>
    <r>
      <rPr>
        <sz val="11"/>
        <color theme="1"/>
        <rFont val="Aptos Narrow"/>
        <family val="2"/>
        <scheme val="minor"/>
      </rPr>
      <t>]</t>
    </r>
  </si>
  <si>
    <t>L</t>
  </si>
  <si>
    <t>g</t>
  </si>
  <si>
    <t>Water</t>
  </si>
  <si>
    <t>Conc.</t>
  </si>
  <si>
    <t>Volume</t>
  </si>
  <si>
    <r>
      <t>g mL</t>
    </r>
    <r>
      <rPr>
        <vertAlign val="superscript"/>
        <sz val="11"/>
        <color theme="1"/>
        <rFont val="Aptos Narrow"/>
        <family val="2"/>
        <scheme val="minor"/>
      </rPr>
      <t>-1</t>
    </r>
  </si>
  <si>
    <t>Ammonium nitrate</t>
  </si>
  <si>
    <t>25°C</t>
  </si>
  <si>
    <t>% weight</t>
  </si>
  <si>
    <t>0°C</t>
  </si>
  <si>
    <t>10°C</t>
  </si>
  <si>
    <t>40°C</t>
  </si>
  <si>
    <t>60°C</t>
  </si>
  <si>
    <t>80°C</t>
  </si>
  <si>
    <t>https://www.handymath.com/cgi-bin/nh4no3tble.cgi?submit=Entry</t>
  </si>
  <si>
    <r>
      <t>NH</t>
    </r>
    <r>
      <rPr>
        <vertAlign val="subscript"/>
        <sz val="11"/>
        <color theme="1"/>
        <rFont val="Aptos Narrow"/>
        <family val="2"/>
        <scheme val="minor"/>
      </rPr>
      <t>4</t>
    </r>
    <r>
      <rPr>
        <sz val="11"/>
        <color theme="1"/>
        <rFont val="Aptos Narrow"/>
        <family val="2"/>
        <scheme val="minor"/>
      </rPr>
      <t>NO</t>
    </r>
    <r>
      <rPr>
        <vertAlign val="subscript"/>
        <sz val="11"/>
        <color theme="1"/>
        <rFont val="Aptos Narrow"/>
        <family val="2"/>
        <scheme val="minor"/>
      </rPr>
      <t>3</t>
    </r>
    <r>
      <rPr>
        <sz val="11"/>
        <color theme="1"/>
        <rFont val="Aptos Narrow"/>
        <family val="2"/>
        <scheme val="minor"/>
      </rPr>
      <t xml:space="preserve"> [g]</t>
    </r>
  </si>
  <si>
    <r>
      <t>NH</t>
    </r>
    <r>
      <rPr>
        <vertAlign val="subscript"/>
        <sz val="11"/>
        <color theme="1"/>
        <rFont val="Aptos Narrow"/>
        <family val="2"/>
        <scheme val="minor"/>
      </rPr>
      <t>4</t>
    </r>
    <r>
      <rPr>
        <sz val="11"/>
        <color theme="1"/>
        <rFont val="Aptos Narrow"/>
        <family val="2"/>
        <scheme val="minor"/>
      </rPr>
      <t>NO</t>
    </r>
    <r>
      <rPr>
        <vertAlign val="subscript"/>
        <sz val="11"/>
        <color theme="1"/>
        <rFont val="Aptos Narrow"/>
        <family val="2"/>
        <scheme val="minor"/>
      </rPr>
      <t>3</t>
    </r>
  </si>
  <si>
    <t>5°C</t>
  </si>
  <si>
    <t>15°C</t>
  </si>
  <si>
    <t>20°C</t>
  </si>
  <si>
    <t>22,5°C</t>
  </si>
  <si>
    <t>https://www.handymath.com/cgi-bin/nitrictble2.cgi?submit=Entry</t>
  </si>
  <si>
    <r>
      <t>kg L</t>
    </r>
    <r>
      <rPr>
        <vertAlign val="superscript"/>
        <sz val="11"/>
        <color theme="1"/>
        <rFont val="Aptos Narrow"/>
        <family val="2"/>
        <scheme val="minor"/>
      </rPr>
      <t>-1</t>
    </r>
  </si>
  <si>
    <t>Yield calculations and bioreactor configuration</t>
  </si>
  <si>
    <t>Growth parameters</t>
  </si>
  <si>
    <t>Feed rate calculations for 1 L glucose solution</t>
  </si>
  <si>
    <t>Balanced provision</t>
  </si>
  <si>
    <r>
      <t>Y</t>
    </r>
    <r>
      <rPr>
        <vertAlign val="subscript"/>
        <sz val="11"/>
        <color theme="1"/>
        <rFont val="Aptos Narrow"/>
        <family val="2"/>
        <scheme val="minor"/>
      </rPr>
      <t>glucC</t>
    </r>
  </si>
  <si>
    <r>
      <t>mol cell-C mol</t>
    </r>
    <r>
      <rPr>
        <vertAlign val="superscript"/>
        <sz val="11"/>
        <color theme="1"/>
        <rFont val="Aptos Narrow"/>
        <family val="2"/>
        <scheme val="minor"/>
      </rPr>
      <t>-1</t>
    </r>
    <r>
      <rPr>
        <sz val="11"/>
        <color theme="1"/>
        <rFont val="Aptos Narrow"/>
        <family val="2"/>
        <scheme val="minor"/>
      </rPr>
      <t xml:space="preserve"> gluc C consumed</t>
    </r>
  </si>
  <si>
    <t xml:space="preserve">mol cell-C </t>
  </si>
  <si>
    <r>
      <t>K</t>
    </r>
    <r>
      <rPr>
        <vertAlign val="subscript"/>
        <sz val="11"/>
        <color theme="1"/>
        <rFont val="Aptos Narrow"/>
        <family val="2"/>
        <scheme val="minor"/>
      </rPr>
      <t>feed</t>
    </r>
    <r>
      <rPr>
        <sz val="11"/>
        <color theme="1"/>
        <rFont val="Aptos Narrow"/>
        <family val="2"/>
        <scheme val="minor"/>
      </rPr>
      <t xml:space="preserve"> glucose</t>
    </r>
  </si>
  <si>
    <r>
      <t>L L</t>
    </r>
    <r>
      <rPr>
        <vertAlign val="superscript"/>
        <sz val="11"/>
        <color theme="1"/>
        <rFont val="Aptos Narrow"/>
        <family val="2"/>
        <scheme val="minor"/>
      </rPr>
      <t>-1</t>
    </r>
    <r>
      <rPr>
        <sz val="11"/>
        <color theme="1"/>
        <rFont val="Aptos Narrow"/>
        <family val="2"/>
        <scheme val="minor"/>
      </rPr>
      <t xml:space="preserve"> acid</t>
    </r>
  </si>
  <si>
    <t>Steady state biomass</t>
  </si>
  <si>
    <r>
      <t>NH</t>
    </r>
    <r>
      <rPr>
        <vertAlign val="subscript"/>
        <sz val="11"/>
        <color theme="1"/>
        <rFont val="Aptos Narrow"/>
        <family val="2"/>
        <scheme val="minor"/>
      </rPr>
      <t>4</t>
    </r>
    <r>
      <rPr>
        <sz val="11"/>
        <color theme="1"/>
        <rFont val="Aptos Narrow"/>
        <family val="2"/>
        <scheme val="minor"/>
      </rPr>
      <t xml:space="preserve"> provision?</t>
    </r>
  </si>
  <si>
    <r>
      <t>NO</t>
    </r>
    <r>
      <rPr>
        <vertAlign val="subscript"/>
        <sz val="11"/>
        <color theme="1"/>
        <rFont val="Aptos Narrow"/>
        <family val="2"/>
        <scheme val="minor"/>
      </rPr>
      <t>3</t>
    </r>
    <r>
      <rPr>
        <sz val="11"/>
        <color theme="1"/>
        <rFont val="Aptos Narrow"/>
        <family val="2"/>
        <scheme val="minor"/>
      </rPr>
      <t xml:space="preserve"> respired</t>
    </r>
  </si>
  <si>
    <r>
      <t>mol NO</t>
    </r>
    <r>
      <rPr>
        <vertAlign val="subscript"/>
        <sz val="11"/>
        <color theme="1"/>
        <rFont val="Aptos Narrow"/>
        <family val="2"/>
        <scheme val="minor"/>
      </rPr>
      <t>3</t>
    </r>
    <r>
      <rPr>
        <sz val="11"/>
        <color theme="1"/>
        <rFont val="Aptos Narrow"/>
        <family val="2"/>
        <scheme val="minor"/>
      </rPr>
      <t xml:space="preserve"> </t>
    </r>
  </si>
  <si>
    <r>
      <t>calculated Y</t>
    </r>
    <r>
      <rPr>
        <vertAlign val="subscript"/>
        <sz val="11"/>
        <color theme="1"/>
        <rFont val="Aptos Narrow"/>
        <family val="2"/>
        <scheme val="minor"/>
      </rPr>
      <t>NO3</t>
    </r>
  </si>
  <si>
    <r>
      <t>mol cell-C mol</t>
    </r>
    <r>
      <rPr>
        <vertAlign val="superscript"/>
        <sz val="11"/>
        <color theme="1"/>
        <rFont val="Aptos Narrow"/>
        <family val="2"/>
        <scheme val="minor"/>
      </rPr>
      <t>-1</t>
    </r>
    <r>
      <rPr>
        <sz val="11"/>
        <color theme="1"/>
        <rFont val="Aptos Narrow"/>
        <family val="2"/>
        <scheme val="minor"/>
      </rPr>
      <t xml:space="preserve"> NO</t>
    </r>
    <r>
      <rPr>
        <vertAlign val="subscript"/>
        <sz val="11"/>
        <color theme="1"/>
        <rFont val="Aptos Narrow"/>
        <family val="2"/>
        <scheme val="minor"/>
      </rPr>
      <t>3</t>
    </r>
    <r>
      <rPr>
        <sz val="11"/>
        <color theme="1"/>
        <rFont val="Aptos Narrow"/>
        <family val="2"/>
        <scheme val="minor"/>
      </rPr>
      <t xml:space="preserve"> respired</t>
    </r>
  </si>
  <si>
    <t>N assimilated</t>
  </si>
  <si>
    <r>
      <t>mol N (NO</t>
    </r>
    <r>
      <rPr>
        <vertAlign val="subscript"/>
        <sz val="11"/>
        <color theme="1"/>
        <rFont val="Aptos Narrow"/>
        <family val="2"/>
        <scheme val="minor"/>
      </rPr>
      <t>3</t>
    </r>
    <r>
      <rPr>
        <sz val="11"/>
        <color theme="1"/>
        <rFont val="Aptos Narrow"/>
        <family val="2"/>
        <scheme val="minor"/>
      </rPr>
      <t xml:space="preserve"> or NH</t>
    </r>
    <r>
      <rPr>
        <vertAlign val="subscript"/>
        <sz val="11"/>
        <color theme="1"/>
        <rFont val="Aptos Narrow"/>
        <family val="2"/>
        <scheme val="minor"/>
      </rPr>
      <t>4</t>
    </r>
    <r>
      <rPr>
        <vertAlign val="superscript"/>
        <sz val="11"/>
        <color theme="1"/>
        <rFont val="Aptos Narrow"/>
        <family val="2"/>
        <scheme val="minor"/>
      </rPr>
      <t>+</t>
    </r>
    <r>
      <rPr>
        <sz val="11"/>
        <color theme="1"/>
        <rFont val="Aptos Narrow"/>
        <family val="2"/>
        <scheme val="minor"/>
      </rPr>
      <t>)</t>
    </r>
  </si>
  <si>
    <t>Gluc-C input</t>
  </si>
  <si>
    <t>C/N ratio in cells (w/W)</t>
  </si>
  <si>
    <t>gC/gN</t>
  </si>
  <si>
    <r>
      <t>mol NH</t>
    </r>
    <r>
      <rPr>
        <vertAlign val="subscript"/>
        <sz val="11"/>
        <color theme="1"/>
        <rFont val="Aptos Narrow"/>
        <family val="2"/>
        <scheme val="minor"/>
      </rPr>
      <t>4</t>
    </r>
  </si>
  <si>
    <t>Biomass C</t>
  </si>
  <si>
    <t>mol cell-C</t>
  </si>
  <si>
    <t>N/C ratio (mol/mol)</t>
  </si>
  <si>
    <r>
      <t>mol cell-N mol</t>
    </r>
    <r>
      <rPr>
        <vertAlign val="superscript"/>
        <sz val="11"/>
        <color theme="1"/>
        <rFont val="Aptos Narrow"/>
        <family val="2"/>
        <scheme val="minor"/>
      </rPr>
      <t>-1</t>
    </r>
    <r>
      <rPr>
        <sz val="11"/>
        <color theme="1"/>
        <rFont val="Aptos Narrow"/>
        <family val="2"/>
        <scheme val="minor"/>
      </rPr>
      <t xml:space="preserve"> cell-C</t>
    </r>
  </si>
  <si>
    <t>g  cell dw</t>
  </si>
  <si>
    <t>C content in cell</t>
  </si>
  <si>
    <t>% of dryweight</t>
  </si>
  <si>
    <r>
      <t>NO</t>
    </r>
    <r>
      <rPr>
        <vertAlign val="subscript"/>
        <sz val="11"/>
        <color theme="1"/>
        <rFont val="Aptos Narrow"/>
        <family val="2"/>
        <scheme val="minor"/>
      </rPr>
      <t>3</t>
    </r>
    <r>
      <rPr>
        <vertAlign val="superscript"/>
        <sz val="11"/>
        <color theme="1"/>
        <rFont val="Aptos Narrow"/>
        <family val="2"/>
        <scheme val="minor"/>
      </rPr>
      <t>-</t>
    </r>
    <r>
      <rPr>
        <sz val="11"/>
        <color theme="1"/>
        <rFont val="Aptos Narrow"/>
        <family val="2"/>
        <scheme val="minor"/>
      </rPr>
      <t xml:space="preserve"> assimilated</t>
    </r>
  </si>
  <si>
    <r>
      <t>mol NO</t>
    </r>
    <r>
      <rPr>
        <vertAlign val="subscript"/>
        <sz val="11"/>
        <color theme="1"/>
        <rFont val="Aptos Narrow"/>
        <family val="2"/>
        <scheme val="minor"/>
      </rPr>
      <t xml:space="preserve">3 </t>
    </r>
  </si>
  <si>
    <r>
      <t>H</t>
    </r>
    <r>
      <rPr>
        <vertAlign val="subscript"/>
        <sz val="11"/>
        <color theme="1"/>
        <rFont val="Aptos Narrow"/>
        <family val="2"/>
        <scheme val="minor"/>
      </rPr>
      <t>2</t>
    </r>
    <r>
      <rPr>
        <sz val="11"/>
        <color theme="1"/>
        <rFont val="Aptos Narrow"/>
        <family val="2"/>
        <scheme val="minor"/>
      </rPr>
      <t>O volume</t>
    </r>
  </si>
  <si>
    <r>
      <t>L H</t>
    </r>
    <r>
      <rPr>
        <vertAlign val="subscript"/>
        <sz val="11"/>
        <color theme="1"/>
        <rFont val="Aptos Narrow"/>
        <family val="2"/>
        <scheme val="minor"/>
      </rPr>
      <t>2</t>
    </r>
    <r>
      <rPr>
        <sz val="11"/>
        <color theme="1"/>
        <rFont val="Aptos Narrow"/>
        <family val="2"/>
        <scheme val="minor"/>
      </rPr>
      <t>O</t>
    </r>
  </si>
  <si>
    <r>
      <t>NO</t>
    </r>
    <r>
      <rPr>
        <vertAlign val="subscript"/>
        <sz val="11"/>
        <color theme="1"/>
        <rFont val="Aptos Narrow"/>
        <family val="2"/>
        <scheme val="minor"/>
      </rPr>
      <t>3</t>
    </r>
    <r>
      <rPr>
        <vertAlign val="superscript"/>
        <sz val="11"/>
        <color theme="1"/>
        <rFont val="Aptos Narrow"/>
        <family val="2"/>
        <scheme val="minor"/>
      </rPr>
      <t>-</t>
    </r>
    <r>
      <rPr>
        <sz val="11"/>
        <color theme="1"/>
        <rFont val="Aptos Narrow"/>
        <family val="2"/>
        <scheme val="minor"/>
      </rPr>
      <t xml:space="preserve"> from acid</t>
    </r>
  </si>
  <si>
    <r>
      <t>mol HNO</t>
    </r>
    <r>
      <rPr>
        <vertAlign val="subscript"/>
        <sz val="11"/>
        <color theme="1"/>
        <rFont val="Aptos Narrow"/>
        <family val="2"/>
        <scheme val="minor"/>
      </rPr>
      <t>3</t>
    </r>
    <r>
      <rPr>
        <sz val="11"/>
        <color theme="1"/>
        <rFont val="Aptos Narrow"/>
        <family val="2"/>
        <scheme val="minor"/>
      </rPr>
      <t xml:space="preserve"> L</t>
    </r>
    <r>
      <rPr>
        <vertAlign val="superscript"/>
        <sz val="11"/>
        <color theme="1"/>
        <rFont val="Aptos Narrow"/>
        <family val="2"/>
        <scheme val="minor"/>
      </rPr>
      <t>-1</t>
    </r>
    <r>
      <rPr>
        <sz val="11"/>
        <color theme="1"/>
        <rFont val="Aptos Narrow"/>
        <family val="2"/>
        <scheme val="minor"/>
      </rPr>
      <t xml:space="preserve"> gluc</t>
    </r>
  </si>
  <si>
    <r>
      <t>Biomass  DW L</t>
    </r>
    <r>
      <rPr>
        <vertAlign val="superscript"/>
        <sz val="11"/>
        <color theme="1"/>
        <rFont val="Aptos Narrow"/>
        <family val="2"/>
        <scheme val="minor"/>
      </rPr>
      <t>-1</t>
    </r>
    <r>
      <rPr>
        <sz val="11"/>
        <color theme="1"/>
        <rFont val="Aptos Narrow"/>
        <family val="2"/>
        <scheme val="minor"/>
      </rPr>
      <t xml:space="preserve"> H</t>
    </r>
    <r>
      <rPr>
        <vertAlign val="subscript"/>
        <sz val="11"/>
        <color theme="1"/>
        <rFont val="Aptos Narrow"/>
        <family val="2"/>
        <scheme val="minor"/>
      </rPr>
      <t>2</t>
    </r>
    <r>
      <rPr>
        <sz val="11"/>
        <color theme="1"/>
        <rFont val="Aptos Narrow"/>
        <family val="2"/>
        <scheme val="minor"/>
      </rPr>
      <t>O</t>
    </r>
  </si>
  <si>
    <r>
      <t>g DW L</t>
    </r>
    <r>
      <rPr>
        <vertAlign val="superscript"/>
        <sz val="11"/>
        <color theme="1"/>
        <rFont val="Aptos Narrow"/>
        <family val="2"/>
        <scheme val="minor"/>
      </rPr>
      <t>-1</t>
    </r>
    <r>
      <rPr>
        <sz val="11"/>
        <color theme="1"/>
        <rFont val="Aptos Narrow"/>
        <family val="2"/>
        <scheme val="minor"/>
      </rPr>
      <t xml:space="preserve"> H</t>
    </r>
    <r>
      <rPr>
        <vertAlign val="subscript"/>
        <sz val="11"/>
        <color theme="1"/>
        <rFont val="Aptos Narrow"/>
        <family val="2"/>
        <scheme val="minor"/>
      </rPr>
      <t>2</t>
    </r>
    <r>
      <rPr>
        <sz val="11"/>
        <color theme="1"/>
        <rFont val="Aptos Narrow"/>
        <family val="2"/>
        <scheme val="minor"/>
      </rPr>
      <t>O</t>
    </r>
  </si>
  <si>
    <t>Needed acid volume</t>
  </si>
  <si>
    <r>
      <t>L acid L</t>
    </r>
    <r>
      <rPr>
        <vertAlign val="superscript"/>
        <sz val="11"/>
        <color theme="1"/>
        <rFont val="Aptos Narrow"/>
        <family val="2"/>
        <scheme val="minor"/>
      </rPr>
      <t>-1</t>
    </r>
    <r>
      <rPr>
        <sz val="11"/>
        <color theme="1"/>
        <rFont val="Aptos Narrow"/>
        <family val="2"/>
        <scheme val="minor"/>
      </rPr>
      <t xml:space="preserve"> glucose</t>
    </r>
  </si>
  <si>
    <t xml:space="preserve">Volumetrics: </t>
  </si>
  <si>
    <t>Biomass cell volume</t>
  </si>
  <si>
    <t>L  (cell volume)</t>
  </si>
  <si>
    <t xml:space="preserve">Volume of medium </t>
  </si>
  <si>
    <t>L liquid volume outside cells</t>
  </si>
  <si>
    <t>The mineral basal medium</t>
  </si>
  <si>
    <t>The reservoirs</t>
  </si>
  <si>
    <t>Acid reservoir</t>
  </si>
  <si>
    <t>Feed reservoir</t>
  </si>
  <si>
    <t>Compound</t>
  </si>
  <si>
    <r>
      <t>conc (g L</t>
    </r>
    <r>
      <rPr>
        <b/>
        <vertAlign val="superscript"/>
        <sz val="11"/>
        <color theme="1"/>
        <rFont val="Aptos Narrow"/>
        <family val="2"/>
        <scheme val="minor"/>
      </rPr>
      <t>-1</t>
    </r>
    <r>
      <rPr>
        <b/>
        <sz val="11"/>
        <color theme="1"/>
        <rFont val="Aptos Narrow"/>
        <family val="2"/>
        <scheme val="minor"/>
      </rPr>
      <t>)</t>
    </r>
  </si>
  <si>
    <t>MW (g/mol)</t>
  </si>
  <si>
    <t>NaCl</t>
  </si>
  <si>
    <r>
      <t>MgSO</t>
    </r>
    <r>
      <rPr>
        <vertAlign val="subscript"/>
        <sz val="11"/>
        <color theme="1"/>
        <rFont val="Aptos Narrow"/>
        <family val="2"/>
        <scheme val="minor"/>
      </rPr>
      <t>4</t>
    </r>
    <r>
      <rPr>
        <sz val="11"/>
        <color theme="1"/>
        <rFont val="Aptos Narrow"/>
        <family val="2"/>
        <scheme val="minor"/>
      </rPr>
      <t>*7H</t>
    </r>
    <r>
      <rPr>
        <vertAlign val="subscript"/>
        <sz val="11"/>
        <color theme="1"/>
        <rFont val="Aptos Narrow"/>
        <family val="2"/>
        <scheme val="minor"/>
      </rPr>
      <t>2</t>
    </r>
    <r>
      <rPr>
        <sz val="11"/>
        <color theme="1"/>
        <rFont val="Aptos Narrow"/>
        <family val="2"/>
        <scheme val="minor"/>
      </rPr>
      <t>O</t>
    </r>
  </si>
  <si>
    <r>
      <t>CaCl</t>
    </r>
    <r>
      <rPr>
        <vertAlign val="subscript"/>
        <sz val="11"/>
        <color theme="1"/>
        <rFont val="Aptos Narrow"/>
        <family val="2"/>
        <scheme val="minor"/>
      </rPr>
      <t>2</t>
    </r>
    <r>
      <rPr>
        <sz val="11"/>
        <color theme="1"/>
        <rFont val="Aptos Narrow"/>
        <family val="2"/>
        <scheme val="minor"/>
      </rPr>
      <t>*2H</t>
    </r>
    <r>
      <rPr>
        <vertAlign val="subscript"/>
        <sz val="11"/>
        <color theme="1"/>
        <rFont val="Aptos Narrow"/>
        <family val="2"/>
        <scheme val="minor"/>
      </rPr>
      <t>2</t>
    </r>
    <r>
      <rPr>
        <sz val="11"/>
        <color theme="1"/>
        <rFont val="Aptos Narrow"/>
        <family val="2"/>
        <scheme val="minor"/>
      </rPr>
      <t>O</t>
    </r>
  </si>
  <si>
    <r>
      <t>MgCl</t>
    </r>
    <r>
      <rPr>
        <vertAlign val="subscript"/>
        <sz val="11"/>
        <color theme="1"/>
        <rFont val="Aptos Narrow"/>
        <family val="2"/>
        <scheme val="minor"/>
      </rPr>
      <t>2</t>
    </r>
  </si>
  <si>
    <r>
      <t>KH</t>
    </r>
    <r>
      <rPr>
        <vertAlign val="subscript"/>
        <sz val="11"/>
        <color theme="1"/>
        <rFont val="Aptos Narrow"/>
        <family val="2"/>
        <scheme val="minor"/>
      </rPr>
      <t>2</t>
    </r>
    <r>
      <rPr>
        <sz val="11"/>
        <color theme="1"/>
        <rFont val="Aptos Narrow"/>
        <family val="2"/>
        <scheme val="minor"/>
      </rPr>
      <t>PO</t>
    </r>
    <r>
      <rPr>
        <vertAlign val="subscript"/>
        <sz val="11"/>
        <color theme="1"/>
        <rFont val="Aptos Narrow"/>
        <family val="2"/>
        <scheme val="minor"/>
      </rPr>
      <t>4</t>
    </r>
  </si>
  <si>
    <t>Final volume</t>
  </si>
  <si>
    <r>
      <t>K</t>
    </r>
    <r>
      <rPr>
        <vertAlign val="subscript"/>
        <sz val="11"/>
        <color theme="1"/>
        <rFont val="Aptos Narrow"/>
        <family val="2"/>
        <scheme val="minor"/>
      </rPr>
      <t>2</t>
    </r>
    <r>
      <rPr>
        <sz val="11"/>
        <color theme="1"/>
        <rFont val="Aptos Narrow"/>
        <family val="2"/>
        <scheme val="minor"/>
      </rPr>
      <t>HPO</t>
    </r>
    <r>
      <rPr>
        <vertAlign val="subscript"/>
        <sz val="11"/>
        <color theme="1"/>
        <rFont val="Aptos Narrow"/>
        <family val="2"/>
        <scheme val="minor"/>
      </rPr>
      <t>4</t>
    </r>
  </si>
  <si>
    <t>Vol fraction water</t>
  </si>
  <si>
    <r>
      <t>Basal TE solution (L L</t>
    </r>
    <r>
      <rPr>
        <vertAlign val="superscript"/>
        <sz val="11"/>
        <color theme="1"/>
        <rFont val="Aptos Narrow"/>
        <family val="2"/>
        <scheme val="minor"/>
      </rPr>
      <t>-1</t>
    </r>
    <r>
      <rPr>
        <sz val="11"/>
        <color theme="1"/>
        <rFont val="Aptos Narrow"/>
        <family val="2"/>
        <scheme val="minor"/>
      </rPr>
      <t>)</t>
    </r>
  </si>
  <si>
    <r>
      <t>CaSO</t>
    </r>
    <r>
      <rPr>
        <vertAlign val="subscript"/>
        <sz val="11"/>
        <color theme="1"/>
        <rFont val="Aptos Narrow"/>
        <family val="2"/>
        <scheme val="minor"/>
      </rPr>
      <t>4</t>
    </r>
  </si>
  <si>
    <t>Actual reservoir</t>
  </si>
  <si>
    <r>
      <t>Na</t>
    </r>
    <r>
      <rPr>
        <vertAlign val="subscript"/>
        <sz val="11"/>
        <color theme="1"/>
        <rFont val="Aptos Narrow"/>
        <family val="2"/>
        <scheme val="minor"/>
      </rPr>
      <t>2</t>
    </r>
    <r>
      <rPr>
        <sz val="11"/>
        <color theme="1"/>
        <rFont val="Aptos Narrow"/>
        <family val="2"/>
        <scheme val="minor"/>
      </rPr>
      <t>SO</t>
    </r>
    <r>
      <rPr>
        <vertAlign val="subscript"/>
        <sz val="11"/>
        <color theme="1"/>
        <rFont val="Aptos Narrow"/>
        <family val="2"/>
        <scheme val="minor"/>
      </rPr>
      <t>4</t>
    </r>
  </si>
  <si>
    <t>Basal trace elements solution</t>
  </si>
  <si>
    <t>EDTA titriplex II</t>
  </si>
  <si>
    <r>
      <t>K</t>
    </r>
    <r>
      <rPr>
        <vertAlign val="subscript"/>
        <sz val="11"/>
        <color theme="1"/>
        <rFont val="Aptos Narrow"/>
        <family val="2"/>
        <scheme val="minor"/>
      </rPr>
      <t>2</t>
    </r>
    <r>
      <rPr>
        <sz val="11"/>
        <color theme="1"/>
        <rFont val="Aptos Narrow"/>
        <family val="2"/>
        <scheme val="minor"/>
      </rPr>
      <t>SO</t>
    </r>
    <r>
      <rPr>
        <vertAlign val="subscript"/>
        <sz val="11"/>
        <color theme="1"/>
        <rFont val="Aptos Narrow"/>
        <family val="2"/>
        <scheme val="minor"/>
      </rPr>
      <t>4</t>
    </r>
  </si>
  <si>
    <r>
      <t>ZnSO</t>
    </r>
    <r>
      <rPr>
        <vertAlign val="subscript"/>
        <sz val="11"/>
        <color theme="1"/>
        <rFont val="Aptos Narrow"/>
        <family val="2"/>
        <scheme val="minor"/>
      </rPr>
      <t>4</t>
    </r>
    <r>
      <rPr>
        <sz val="11"/>
        <color theme="1"/>
        <rFont val="Aptos Narrow"/>
        <family val="2"/>
        <scheme val="minor"/>
      </rPr>
      <t>*7H</t>
    </r>
    <r>
      <rPr>
        <vertAlign val="subscript"/>
        <sz val="11"/>
        <color theme="1"/>
        <rFont val="Aptos Narrow"/>
        <family val="2"/>
        <scheme val="minor"/>
      </rPr>
      <t>2</t>
    </r>
    <r>
      <rPr>
        <sz val="11"/>
        <color theme="1"/>
        <rFont val="Aptos Narrow"/>
        <family val="2"/>
        <scheme val="minor"/>
      </rPr>
      <t>O</t>
    </r>
  </si>
  <si>
    <r>
      <t>FeSO</t>
    </r>
    <r>
      <rPr>
        <vertAlign val="subscript"/>
        <sz val="11"/>
        <color theme="1"/>
        <rFont val="Aptos Narrow"/>
        <family val="2"/>
        <scheme val="minor"/>
      </rPr>
      <t>4</t>
    </r>
    <r>
      <rPr>
        <sz val="11"/>
        <color theme="1"/>
        <rFont val="Aptos Narrow"/>
        <family val="2"/>
        <scheme val="minor"/>
      </rPr>
      <t>*7H</t>
    </r>
    <r>
      <rPr>
        <vertAlign val="subscript"/>
        <sz val="11"/>
        <color theme="1"/>
        <rFont val="Aptos Narrow"/>
        <family val="2"/>
        <scheme val="minor"/>
      </rPr>
      <t>2</t>
    </r>
    <r>
      <rPr>
        <sz val="11"/>
        <color theme="1"/>
        <rFont val="Aptos Narrow"/>
        <family val="2"/>
        <scheme val="minor"/>
      </rPr>
      <t>O</t>
    </r>
  </si>
  <si>
    <r>
      <t>MnSO</t>
    </r>
    <r>
      <rPr>
        <vertAlign val="subscript"/>
        <sz val="11"/>
        <color theme="1"/>
        <rFont val="Aptos Narrow"/>
        <family val="2"/>
        <scheme val="minor"/>
      </rPr>
      <t>4</t>
    </r>
    <r>
      <rPr>
        <sz val="11"/>
        <color theme="1"/>
        <rFont val="Aptos Narrow"/>
        <family val="2"/>
        <scheme val="minor"/>
      </rPr>
      <t>*H</t>
    </r>
    <r>
      <rPr>
        <vertAlign val="subscript"/>
        <sz val="11"/>
        <color theme="1"/>
        <rFont val="Aptos Narrow"/>
        <family val="2"/>
        <scheme val="minor"/>
      </rPr>
      <t>2</t>
    </r>
    <r>
      <rPr>
        <sz val="11"/>
        <color theme="1"/>
        <rFont val="Aptos Narrow"/>
        <family val="2"/>
        <scheme val="minor"/>
      </rPr>
      <t>O</t>
    </r>
  </si>
  <si>
    <t>mL</t>
  </si>
  <si>
    <r>
      <t>CuSO</t>
    </r>
    <r>
      <rPr>
        <vertAlign val="subscript"/>
        <sz val="11"/>
        <color theme="1"/>
        <rFont val="Aptos Narrow"/>
        <family val="2"/>
        <scheme val="minor"/>
      </rPr>
      <t>4</t>
    </r>
    <r>
      <rPr>
        <sz val="11"/>
        <color theme="1"/>
        <rFont val="Aptos Narrow"/>
        <family val="2"/>
        <scheme val="minor"/>
      </rPr>
      <t>*5H</t>
    </r>
    <r>
      <rPr>
        <vertAlign val="subscript"/>
        <sz val="11"/>
        <color theme="1"/>
        <rFont val="Aptos Narrow"/>
        <family val="2"/>
        <scheme val="minor"/>
      </rPr>
      <t>2</t>
    </r>
    <r>
      <rPr>
        <sz val="11"/>
        <color theme="1"/>
        <rFont val="Aptos Narrow"/>
        <family val="2"/>
        <scheme val="minor"/>
      </rPr>
      <t>O</t>
    </r>
  </si>
  <si>
    <r>
      <t>Co(NO</t>
    </r>
    <r>
      <rPr>
        <vertAlign val="subscript"/>
        <sz val="11"/>
        <color theme="1"/>
        <rFont val="Aptos Narrow"/>
        <family val="2"/>
        <scheme val="minor"/>
      </rPr>
      <t>3</t>
    </r>
    <r>
      <rPr>
        <sz val="11"/>
        <color theme="1"/>
        <rFont val="Aptos Narrow"/>
        <family val="2"/>
        <scheme val="minor"/>
      </rPr>
      <t>)</t>
    </r>
    <r>
      <rPr>
        <vertAlign val="subscript"/>
        <sz val="11"/>
        <color theme="1"/>
        <rFont val="Aptos Narrow"/>
        <family val="2"/>
        <scheme val="minor"/>
      </rPr>
      <t>2</t>
    </r>
    <r>
      <rPr>
        <sz val="11"/>
        <color theme="1"/>
        <rFont val="Aptos Narrow"/>
        <family val="2"/>
        <scheme val="minor"/>
      </rPr>
      <t>*6H</t>
    </r>
    <r>
      <rPr>
        <vertAlign val="subscript"/>
        <sz val="11"/>
        <color theme="1"/>
        <rFont val="Aptos Narrow"/>
        <family val="2"/>
        <scheme val="minor"/>
      </rPr>
      <t>2</t>
    </r>
    <r>
      <rPr>
        <sz val="11"/>
        <color theme="1"/>
        <rFont val="Aptos Narrow"/>
        <family val="2"/>
        <scheme val="minor"/>
      </rPr>
      <t>O</t>
    </r>
  </si>
  <si>
    <r>
      <t>H</t>
    </r>
    <r>
      <rPr>
        <vertAlign val="subscript"/>
        <sz val="11"/>
        <color theme="1"/>
        <rFont val="Aptos Narrow"/>
        <family val="2"/>
        <scheme val="minor"/>
      </rPr>
      <t>3</t>
    </r>
    <r>
      <rPr>
        <sz val="11"/>
        <color theme="1"/>
        <rFont val="Aptos Narrow"/>
        <family val="2"/>
        <scheme val="minor"/>
      </rPr>
      <t>BO</t>
    </r>
    <r>
      <rPr>
        <vertAlign val="subscript"/>
        <sz val="11"/>
        <color theme="1"/>
        <rFont val="Aptos Narrow"/>
        <family val="2"/>
        <scheme val="minor"/>
      </rPr>
      <t>3</t>
    </r>
  </si>
  <si>
    <r>
      <t>Na</t>
    </r>
    <r>
      <rPr>
        <vertAlign val="subscript"/>
        <sz val="11"/>
        <color theme="1"/>
        <rFont val="Aptos Narrow"/>
        <family val="2"/>
        <scheme val="minor"/>
      </rPr>
      <t>2</t>
    </r>
    <r>
      <rPr>
        <sz val="11"/>
        <color theme="1"/>
        <rFont val="Aptos Narrow"/>
        <family val="2"/>
        <scheme val="minor"/>
      </rPr>
      <t>MoO</t>
    </r>
    <r>
      <rPr>
        <vertAlign val="subscript"/>
        <sz val="11"/>
        <color theme="1"/>
        <rFont val="Aptos Narrow"/>
        <family val="2"/>
        <scheme val="minor"/>
      </rPr>
      <t>4</t>
    </r>
    <r>
      <rPr>
        <sz val="11"/>
        <color theme="1"/>
        <rFont val="Aptos Narrow"/>
        <family val="2"/>
        <scheme val="minor"/>
      </rPr>
      <t>*2H</t>
    </r>
    <r>
      <rPr>
        <vertAlign val="subscript"/>
        <sz val="11"/>
        <color theme="1"/>
        <rFont val="Aptos Narrow"/>
        <family val="2"/>
        <scheme val="minor"/>
      </rPr>
      <t>2</t>
    </r>
    <r>
      <rPr>
        <sz val="11"/>
        <color theme="1"/>
        <rFont val="Aptos Narrow"/>
        <family val="2"/>
        <scheme val="minor"/>
      </rPr>
      <t>O</t>
    </r>
  </si>
  <si>
    <r>
      <t>NiCl</t>
    </r>
    <r>
      <rPr>
        <vertAlign val="subscript"/>
        <sz val="11"/>
        <color theme="1"/>
        <rFont val="Aptos Narrow"/>
        <family val="2"/>
        <scheme val="minor"/>
      </rPr>
      <t>2</t>
    </r>
    <r>
      <rPr>
        <sz val="11"/>
        <color theme="1"/>
        <rFont val="Aptos Narrow"/>
        <family val="2"/>
        <scheme val="minor"/>
      </rPr>
      <t xml:space="preserve"> *6H</t>
    </r>
    <r>
      <rPr>
        <vertAlign val="subscript"/>
        <sz val="11"/>
        <color theme="1"/>
        <rFont val="Aptos Narrow"/>
        <family val="2"/>
        <scheme val="minor"/>
      </rPr>
      <t>2</t>
    </r>
    <r>
      <rPr>
        <sz val="11"/>
        <color theme="1"/>
        <rFont val="Aptos Narrow"/>
        <family val="2"/>
        <scheme val="minor"/>
      </rPr>
      <t>O</t>
    </r>
  </si>
  <si>
    <t>Element balance</t>
  </si>
  <si>
    <t>Target element composition of cells</t>
  </si>
  <si>
    <r>
      <t>Steady state amounts per L H</t>
    </r>
    <r>
      <rPr>
        <b/>
        <vertAlign val="subscript"/>
        <sz val="11"/>
        <color theme="1"/>
        <rFont val="Aptos Narrow"/>
        <family val="2"/>
        <scheme val="minor"/>
      </rPr>
      <t>2</t>
    </r>
    <r>
      <rPr>
        <b/>
        <sz val="11"/>
        <color theme="1"/>
        <rFont val="Aptos Narrow"/>
        <family val="2"/>
        <scheme val="minor"/>
      </rPr>
      <t>O</t>
    </r>
  </si>
  <si>
    <t>% of cell demand met</t>
  </si>
  <si>
    <t>Element</t>
  </si>
  <si>
    <t>ppm</t>
  </si>
  <si>
    <t>Basal medium</t>
  </si>
  <si>
    <t>Acid</t>
  </si>
  <si>
    <t>Na</t>
  </si>
  <si>
    <t>K</t>
  </si>
  <si>
    <t>S</t>
  </si>
  <si>
    <t>P</t>
  </si>
  <si>
    <t>Ca</t>
  </si>
  <si>
    <t>Mg</t>
  </si>
  <si>
    <t>Zn</t>
  </si>
  <si>
    <t>Ni</t>
  </si>
  <si>
    <t>Mo</t>
  </si>
  <si>
    <t>Mn</t>
  </si>
  <si>
    <t>Fe</t>
  </si>
  <si>
    <t>Cu</t>
  </si>
  <si>
    <t>Co</t>
  </si>
  <si>
    <t>B</t>
  </si>
  <si>
    <r>
      <t>HNO</t>
    </r>
    <r>
      <rPr>
        <vertAlign val="subscript"/>
        <sz val="11"/>
        <color theme="1"/>
        <rFont val="Aptos Narrow"/>
        <family val="2"/>
        <scheme val="minor"/>
      </rPr>
      <t>3</t>
    </r>
    <r>
      <rPr>
        <sz val="11"/>
        <color theme="1"/>
        <rFont val="Aptos Narrow"/>
        <family val="2"/>
        <scheme val="minor"/>
      </rPr>
      <t xml:space="preserve"> - 68% solution</t>
    </r>
  </si>
  <si>
    <t>Conc [M]</t>
  </si>
  <si>
    <t>conc [g L-1]</t>
  </si>
  <si>
    <t>conc [M]</t>
  </si>
  <si>
    <r>
      <t>MW [g mol</t>
    </r>
    <r>
      <rPr>
        <b/>
        <vertAlign val="superscript"/>
        <sz val="11"/>
        <color theme="1"/>
        <rFont val="Aptos Narrow"/>
        <family val="2"/>
        <scheme val="minor"/>
      </rPr>
      <t>-1</t>
    </r>
    <r>
      <rPr>
        <b/>
        <sz val="11"/>
        <color theme="1"/>
        <rFont val="Aptos Narrow"/>
        <family val="2"/>
        <scheme val="minor"/>
      </rPr>
      <t>]</t>
    </r>
  </si>
  <si>
    <t>MW [g/mol]</t>
  </si>
  <si>
    <r>
      <t>conc [g L</t>
    </r>
    <r>
      <rPr>
        <b/>
        <vertAlign val="superscript"/>
        <sz val="11"/>
        <color theme="1"/>
        <rFont val="Aptos Narrow"/>
        <family val="2"/>
        <scheme val="minor"/>
      </rPr>
      <t>-1</t>
    </r>
    <r>
      <rPr>
        <b/>
        <sz val="11"/>
        <color theme="1"/>
        <rFont val="Aptos Narrow"/>
        <family val="2"/>
        <scheme val="minor"/>
      </rPr>
      <t>]</t>
    </r>
  </si>
  <si>
    <r>
      <t>Conc [mol L</t>
    </r>
    <r>
      <rPr>
        <b/>
        <vertAlign val="superscript"/>
        <sz val="11"/>
        <color theme="1"/>
        <rFont val="Aptos Narrow"/>
        <family val="2"/>
        <scheme val="minor"/>
      </rPr>
      <t xml:space="preserve">-1 </t>
    </r>
    <r>
      <rPr>
        <b/>
        <sz val="11"/>
        <color theme="1"/>
        <rFont val="Aptos Narrow"/>
        <family val="2"/>
        <scheme val="minor"/>
      </rPr>
      <t>H</t>
    </r>
    <r>
      <rPr>
        <b/>
        <vertAlign val="subscript"/>
        <sz val="11"/>
        <color theme="1"/>
        <rFont val="Aptos Narrow"/>
        <family val="2"/>
        <scheme val="minor"/>
      </rPr>
      <t>2</t>
    </r>
    <r>
      <rPr>
        <b/>
        <sz val="11"/>
        <color theme="1"/>
        <rFont val="Aptos Narrow"/>
        <family val="2"/>
        <scheme val="minor"/>
      </rPr>
      <t>O]</t>
    </r>
  </si>
  <si>
    <r>
      <t>Acc. conc [mmol L</t>
    </r>
    <r>
      <rPr>
        <b/>
        <vertAlign val="superscript"/>
        <sz val="11"/>
        <color theme="1"/>
        <rFont val="Aptos Narrow"/>
        <family val="2"/>
        <scheme val="minor"/>
      </rPr>
      <t>-1</t>
    </r>
    <r>
      <rPr>
        <b/>
        <sz val="11"/>
        <color theme="1"/>
        <rFont val="Aptos Narrow"/>
        <family val="2"/>
        <scheme val="minor"/>
      </rPr>
      <t xml:space="preserve"> H</t>
    </r>
    <r>
      <rPr>
        <b/>
        <vertAlign val="subscript"/>
        <sz val="11"/>
        <color theme="1"/>
        <rFont val="Aptos Narrow"/>
        <family val="2"/>
        <scheme val="minor"/>
      </rPr>
      <t>2</t>
    </r>
    <r>
      <rPr>
        <b/>
        <sz val="11"/>
        <color theme="1"/>
        <rFont val="Aptos Narrow"/>
        <family val="2"/>
        <scheme val="minor"/>
      </rPr>
      <t>O]</t>
    </r>
  </si>
  <si>
    <t>Extracellular conc [µM]</t>
  </si>
  <si>
    <r>
      <t>AW [g mol</t>
    </r>
    <r>
      <rPr>
        <b/>
        <vertAlign val="superscript"/>
        <sz val="11"/>
        <color theme="1"/>
        <rFont val="Aptos Narrow"/>
        <family val="2"/>
        <scheme val="minor"/>
      </rPr>
      <t>-1</t>
    </r>
    <r>
      <rPr>
        <b/>
        <sz val="11"/>
        <color theme="1"/>
        <rFont val="Aptos Narrow"/>
        <family val="2"/>
        <scheme val="minor"/>
      </rPr>
      <t>]</t>
    </r>
  </si>
  <si>
    <r>
      <t>g dw L</t>
    </r>
    <r>
      <rPr>
        <vertAlign val="superscript"/>
        <sz val="11"/>
        <color theme="1"/>
        <rFont val="Aptos Narrow"/>
        <family val="2"/>
        <scheme val="minor"/>
      </rPr>
      <t>-1</t>
    </r>
    <r>
      <rPr>
        <sz val="11"/>
        <color theme="1"/>
        <rFont val="Aptos Narrow"/>
        <family val="2"/>
        <scheme val="minor"/>
      </rPr>
      <t xml:space="preserve"> H</t>
    </r>
    <r>
      <rPr>
        <vertAlign val="subscript"/>
        <sz val="11"/>
        <color theme="1"/>
        <rFont val="Aptos Narrow"/>
        <family val="2"/>
        <scheme val="minor"/>
      </rPr>
      <t>2</t>
    </r>
    <r>
      <rPr>
        <sz val="11"/>
        <color theme="1"/>
        <rFont val="Aptos Narrow"/>
        <family val="2"/>
        <scheme val="minor"/>
      </rPr>
      <t>O</t>
    </r>
  </si>
  <si>
    <r>
      <t>(value = 1 if  NH</t>
    </r>
    <r>
      <rPr>
        <vertAlign val="subscript"/>
        <sz val="11"/>
        <color theme="1"/>
        <rFont val="Aptos Narrow"/>
        <family val="2"/>
        <scheme val="minor"/>
      </rPr>
      <t>4</t>
    </r>
    <r>
      <rPr>
        <vertAlign val="superscript"/>
        <sz val="11"/>
        <color theme="1"/>
        <rFont val="Aptos Narrow"/>
        <family val="2"/>
        <scheme val="minor"/>
      </rPr>
      <t>+</t>
    </r>
    <r>
      <rPr>
        <sz val="11"/>
        <color theme="1"/>
        <rFont val="Aptos Narrow"/>
        <family val="2"/>
        <scheme val="minor"/>
      </rPr>
      <t xml:space="preserve"> in feed)</t>
    </r>
  </si>
  <si>
    <r>
      <t>L H</t>
    </r>
    <r>
      <rPr>
        <vertAlign val="subscript"/>
        <sz val="11"/>
        <color theme="1"/>
        <rFont val="Aptos Narrow"/>
        <family val="2"/>
        <scheme val="minor"/>
      </rPr>
      <t>2</t>
    </r>
    <r>
      <rPr>
        <sz val="11"/>
        <color theme="1"/>
        <rFont val="Aptos Narrow"/>
        <family val="2"/>
        <scheme val="minor"/>
      </rPr>
      <t>O L</t>
    </r>
    <r>
      <rPr>
        <vertAlign val="superscript"/>
        <sz val="11"/>
        <color theme="1"/>
        <rFont val="Aptos Narrow"/>
        <family val="2"/>
        <scheme val="minor"/>
      </rPr>
      <t>-1</t>
    </r>
    <r>
      <rPr>
        <sz val="11"/>
        <color theme="1"/>
        <rFont val="Aptos Narrow"/>
        <family val="2"/>
        <scheme val="minor"/>
      </rPr>
      <t xml:space="preserve"> tot</t>
    </r>
  </si>
  <si>
    <t>Stock solutions</t>
  </si>
  <si>
    <t xml:space="preserve">Mineral element solution </t>
  </si>
  <si>
    <t>Mineral element solution</t>
  </si>
  <si>
    <t>Trace element solution</t>
  </si>
  <si>
    <r>
      <t>NO</t>
    </r>
    <r>
      <rPr>
        <vertAlign val="subscript"/>
        <sz val="11"/>
        <color theme="1"/>
        <rFont val="Aptos Narrow"/>
        <family val="2"/>
        <scheme val="minor"/>
      </rPr>
      <t>3</t>
    </r>
    <r>
      <rPr>
        <sz val="11"/>
        <color theme="1"/>
        <rFont val="Aptos Narrow"/>
        <family val="2"/>
        <scheme val="minor"/>
      </rPr>
      <t xml:space="preserve"> provided in feed (NH</t>
    </r>
    <r>
      <rPr>
        <vertAlign val="subscript"/>
        <sz val="11"/>
        <color theme="1"/>
        <rFont val="Aptos Narrow"/>
        <family val="2"/>
        <scheme val="minor"/>
      </rPr>
      <t>4</t>
    </r>
    <r>
      <rPr>
        <sz val="11"/>
        <color theme="1"/>
        <rFont val="Aptos Narrow"/>
        <family val="2"/>
        <scheme val="minor"/>
      </rPr>
      <t>NO</t>
    </r>
    <r>
      <rPr>
        <vertAlign val="subscript"/>
        <sz val="11"/>
        <color theme="1"/>
        <rFont val="Aptos Narrow"/>
        <family val="2"/>
        <scheme val="minor"/>
      </rPr>
      <t>3</t>
    </r>
    <r>
      <rPr>
        <sz val="11"/>
        <color theme="1"/>
        <rFont val="Aptos Narrow"/>
        <family val="2"/>
        <scheme val="minor"/>
      </rPr>
      <t>)</t>
    </r>
  </si>
  <si>
    <r>
      <t>NH</t>
    </r>
    <r>
      <rPr>
        <vertAlign val="subscript"/>
        <sz val="11"/>
        <color theme="1"/>
        <rFont val="Aptos Narrow"/>
        <family val="2"/>
        <scheme val="minor"/>
      </rPr>
      <t>4</t>
    </r>
    <r>
      <rPr>
        <sz val="11"/>
        <color theme="1"/>
        <rFont val="Aptos Narrow"/>
        <family val="2"/>
        <scheme val="minor"/>
      </rPr>
      <t>-N provided in feed</t>
    </r>
  </si>
  <si>
    <t>Total volume</t>
  </si>
  <si>
    <r>
      <t>Concentration [g L</t>
    </r>
    <r>
      <rPr>
        <b/>
        <vertAlign val="superscript"/>
        <sz val="11"/>
        <color theme="1"/>
        <rFont val="Aptos Narrow"/>
        <family val="2"/>
        <scheme val="minor"/>
      </rPr>
      <t xml:space="preserve">-1 </t>
    </r>
    <r>
      <rPr>
        <b/>
        <sz val="11"/>
        <color theme="1"/>
        <rFont val="Aptos Narrow"/>
        <family val="2"/>
        <scheme val="minor"/>
      </rPr>
      <t>tot]</t>
    </r>
  </si>
  <si>
    <r>
      <t>Concentration [g L</t>
    </r>
    <r>
      <rPr>
        <b/>
        <vertAlign val="superscript"/>
        <sz val="11"/>
        <color theme="1"/>
        <rFont val="Aptos Narrow"/>
        <family val="2"/>
        <scheme val="minor"/>
      </rPr>
      <t>-1</t>
    </r>
    <r>
      <rPr>
        <b/>
        <sz val="11"/>
        <color theme="1"/>
        <rFont val="Aptos Narrow"/>
        <family val="2"/>
        <scheme val="minor"/>
      </rPr>
      <t xml:space="preserve"> H</t>
    </r>
    <r>
      <rPr>
        <b/>
        <vertAlign val="subscript"/>
        <sz val="11"/>
        <color theme="1"/>
        <rFont val="Aptos Narrow"/>
        <family val="2"/>
        <scheme val="minor"/>
      </rPr>
      <t>2</t>
    </r>
    <r>
      <rPr>
        <b/>
        <sz val="11"/>
        <color theme="1"/>
        <rFont val="Aptos Narrow"/>
        <family val="2"/>
        <scheme val="minor"/>
      </rPr>
      <t>O]</t>
    </r>
  </si>
  <si>
    <t>mol glucose-C</t>
  </si>
  <si>
    <r>
      <t>Provided [g L</t>
    </r>
    <r>
      <rPr>
        <b/>
        <vertAlign val="superscript"/>
        <sz val="11"/>
        <color theme="1"/>
        <rFont val="Aptos Narrow"/>
        <family val="2"/>
        <scheme val="minor"/>
      </rPr>
      <t xml:space="preserve">-1 </t>
    </r>
    <r>
      <rPr>
        <b/>
        <sz val="11"/>
        <color theme="1"/>
        <rFont val="Aptos Narrow"/>
        <family val="2"/>
        <scheme val="minor"/>
      </rPr>
      <t>H</t>
    </r>
    <r>
      <rPr>
        <b/>
        <vertAlign val="subscript"/>
        <sz val="11"/>
        <color theme="1"/>
        <rFont val="Aptos Narrow"/>
        <family val="2"/>
        <scheme val="minor"/>
      </rPr>
      <t>2</t>
    </r>
    <r>
      <rPr>
        <b/>
        <sz val="11"/>
        <color theme="1"/>
        <rFont val="Aptos Narrow"/>
        <family val="2"/>
        <scheme val="minor"/>
      </rPr>
      <t>O]</t>
    </r>
  </si>
  <si>
    <r>
      <rPr>
        <b/>
        <sz val="11"/>
        <color theme="1"/>
        <rFont val="Aptos Narrow"/>
        <family val="2"/>
      </rPr>
      <t xml:space="preserve">∆ </t>
    </r>
    <r>
      <rPr>
        <b/>
        <sz val="11"/>
        <color theme="1"/>
        <rFont val="Aptos Narrow"/>
        <family val="2"/>
        <scheme val="minor"/>
      </rPr>
      <t>g L</t>
    </r>
    <r>
      <rPr>
        <b/>
        <vertAlign val="superscript"/>
        <sz val="11"/>
        <color theme="1"/>
        <rFont val="Aptos Narrow"/>
        <family val="2"/>
        <scheme val="minor"/>
      </rPr>
      <t>-1</t>
    </r>
    <r>
      <rPr>
        <b/>
        <sz val="11"/>
        <color theme="1"/>
        <rFont val="Aptos Narrow"/>
        <family val="2"/>
        <scheme val="minor"/>
      </rPr>
      <t xml:space="preserve"> H</t>
    </r>
    <r>
      <rPr>
        <b/>
        <vertAlign val="subscript"/>
        <sz val="11"/>
        <color theme="1"/>
        <rFont val="Aptos Narrow"/>
        <family val="2"/>
        <scheme val="minor"/>
      </rPr>
      <t>2</t>
    </r>
    <r>
      <rPr>
        <b/>
        <sz val="11"/>
        <color theme="1"/>
        <rFont val="Aptos Narrow"/>
        <family val="2"/>
        <scheme val="minor"/>
      </rPr>
      <t>O</t>
    </r>
  </si>
  <si>
    <t>Volume of biomass DW</t>
  </si>
  <si>
    <t xml:space="preserve">L </t>
  </si>
  <si>
    <r>
      <t>L H</t>
    </r>
    <r>
      <rPr>
        <vertAlign val="subscript"/>
        <sz val="11"/>
        <color theme="1"/>
        <rFont val="Aptos Narrow"/>
        <family val="2"/>
        <scheme val="minor"/>
      </rPr>
      <t>2</t>
    </r>
    <r>
      <rPr>
        <sz val="11"/>
        <color theme="1"/>
        <rFont val="Aptos Narrow"/>
        <family val="2"/>
        <scheme val="minor"/>
      </rPr>
      <t>O + biomass</t>
    </r>
  </si>
  <si>
    <t>Calculated for a culture volume with 1 L acid input</t>
  </si>
  <si>
    <t>Steady state volumetrics</t>
  </si>
  <si>
    <t>Feed</t>
  </si>
  <si>
    <t>Total</t>
  </si>
  <si>
    <t>Volume [L]</t>
  </si>
  <si>
    <r>
      <t>H</t>
    </r>
    <r>
      <rPr>
        <vertAlign val="subscript"/>
        <sz val="11"/>
        <color theme="1"/>
        <rFont val="Aptos Narrow"/>
        <family val="2"/>
        <scheme val="minor"/>
      </rPr>
      <t>2</t>
    </r>
    <r>
      <rPr>
        <sz val="11"/>
        <color theme="1"/>
        <rFont val="Aptos Narrow"/>
        <family val="2"/>
        <scheme val="minor"/>
      </rPr>
      <t>O [L]</t>
    </r>
  </si>
  <si>
    <r>
      <t>in cells [g L</t>
    </r>
    <r>
      <rPr>
        <b/>
        <vertAlign val="superscript"/>
        <sz val="11"/>
        <color theme="1"/>
        <rFont val="Aptos Narrow"/>
        <family val="2"/>
        <scheme val="minor"/>
      </rPr>
      <t xml:space="preserve">-1 </t>
    </r>
    <r>
      <rPr>
        <b/>
        <sz val="11"/>
        <color theme="1"/>
        <rFont val="Aptos Narrow"/>
        <family val="2"/>
        <scheme val="minor"/>
      </rPr>
      <t>H</t>
    </r>
    <r>
      <rPr>
        <b/>
        <vertAlign val="subscript"/>
        <sz val="11"/>
        <color theme="1"/>
        <rFont val="Aptos Narrow"/>
        <family val="2"/>
        <scheme val="minor"/>
      </rPr>
      <t>2</t>
    </r>
    <r>
      <rPr>
        <b/>
        <sz val="11"/>
        <color theme="1"/>
        <rFont val="Aptos Narrow"/>
        <family val="2"/>
        <scheme val="minor"/>
      </rPr>
      <t>O]</t>
    </r>
  </si>
  <si>
    <t>weight fraction</t>
  </si>
  <si>
    <r>
      <t xml:space="preserve"> kg</t>
    </r>
    <r>
      <rPr>
        <vertAlign val="superscript"/>
        <sz val="11"/>
        <color theme="1"/>
        <rFont val="Aptos Narrow"/>
        <family val="2"/>
        <scheme val="minor"/>
      </rPr>
      <t>-1</t>
    </r>
    <r>
      <rPr>
        <sz val="11"/>
        <color theme="1"/>
        <rFont val="Aptos Narrow"/>
        <family val="2"/>
        <scheme val="minor"/>
      </rPr>
      <t xml:space="preserve"> total weight</t>
    </r>
  </si>
  <si>
    <r>
      <t>HNO</t>
    </r>
    <r>
      <rPr>
        <vertAlign val="subscript"/>
        <sz val="11"/>
        <color theme="1"/>
        <rFont val="Aptos Narrow"/>
        <family val="2"/>
        <scheme val="minor"/>
      </rPr>
      <t>3</t>
    </r>
    <r>
      <rPr>
        <sz val="11"/>
        <color theme="1"/>
        <rFont val="Aptos Narrow"/>
        <family val="2"/>
        <scheme val="minor"/>
      </rPr>
      <t xml:space="preserve"> [kg kg-1]</t>
    </r>
  </si>
  <si>
    <r>
      <t>H</t>
    </r>
    <r>
      <rPr>
        <vertAlign val="subscript"/>
        <sz val="11"/>
        <color theme="1"/>
        <rFont val="Aptos Narrow"/>
        <family val="2"/>
        <scheme val="minor"/>
      </rPr>
      <t>2</t>
    </r>
    <r>
      <rPr>
        <sz val="11"/>
        <color theme="1"/>
        <rFont val="Aptos Narrow"/>
        <family val="2"/>
        <scheme val="minor"/>
      </rPr>
      <t>O [kg kg-1]</t>
    </r>
  </si>
  <si>
    <r>
      <t>HNO</t>
    </r>
    <r>
      <rPr>
        <vertAlign val="subscript"/>
        <sz val="11"/>
        <color theme="1"/>
        <rFont val="Aptos Narrow"/>
        <family val="2"/>
        <scheme val="minor"/>
      </rPr>
      <t>3</t>
    </r>
    <r>
      <rPr>
        <sz val="11"/>
        <color theme="1"/>
        <rFont val="Aptos Narrow"/>
        <family val="2"/>
        <scheme val="minor"/>
      </rPr>
      <t xml:space="preserve"> [kg L-1]</t>
    </r>
  </si>
  <si>
    <r>
      <t>H</t>
    </r>
    <r>
      <rPr>
        <vertAlign val="subscript"/>
        <sz val="11"/>
        <color theme="1"/>
        <rFont val="Aptos Narrow"/>
        <family val="2"/>
        <scheme val="minor"/>
      </rPr>
      <t>2</t>
    </r>
    <r>
      <rPr>
        <sz val="11"/>
        <color theme="1"/>
        <rFont val="Aptos Narrow"/>
        <family val="2"/>
        <scheme val="minor"/>
      </rPr>
      <t>O [kg L-1]</t>
    </r>
  </si>
  <si>
    <t>Additional water to be added</t>
  </si>
  <si>
    <r>
      <t>mL L</t>
    </r>
    <r>
      <rPr>
        <vertAlign val="superscript"/>
        <sz val="11"/>
        <color theme="1"/>
        <rFont val="Aptos Narrow"/>
        <family val="2"/>
        <scheme val="minor"/>
      </rPr>
      <t>-1</t>
    </r>
  </si>
  <si>
    <t>Weight of solutions [kg]</t>
  </si>
  <si>
    <t xml:space="preserve">Acid reservoir target conc. </t>
  </si>
  <si>
    <r>
      <t>mol HNO</t>
    </r>
    <r>
      <rPr>
        <vertAlign val="subscript"/>
        <sz val="11"/>
        <color theme="1"/>
        <rFont val="Aptos Narrow"/>
        <family val="2"/>
        <scheme val="minor"/>
      </rPr>
      <t>3</t>
    </r>
    <r>
      <rPr>
        <sz val="11"/>
        <color theme="1"/>
        <rFont val="Aptos Narrow"/>
        <family val="2"/>
        <scheme val="minor"/>
      </rPr>
      <t xml:space="preserve"> L</t>
    </r>
    <r>
      <rPr>
        <vertAlign val="superscript"/>
        <sz val="11"/>
        <color theme="1"/>
        <rFont val="Aptos Narrow"/>
        <family val="2"/>
        <scheme val="minor"/>
      </rPr>
      <t>-1</t>
    </r>
    <r>
      <rPr>
        <sz val="11"/>
        <color theme="1"/>
        <rFont val="Aptos Narrow"/>
        <family val="2"/>
        <scheme val="minor"/>
      </rPr>
      <t xml:space="preserve"> </t>
    </r>
  </si>
  <si>
    <r>
      <t>H</t>
    </r>
    <r>
      <rPr>
        <vertAlign val="subscript"/>
        <sz val="11"/>
        <color theme="1"/>
        <rFont val="Aptos Narrow"/>
        <family val="2"/>
        <scheme val="minor"/>
      </rPr>
      <t>3</t>
    </r>
    <r>
      <rPr>
        <sz val="11"/>
        <color theme="1"/>
        <rFont val="Aptos Narrow"/>
        <family val="2"/>
        <scheme val="minor"/>
      </rPr>
      <t>PO</t>
    </r>
    <r>
      <rPr>
        <vertAlign val="subscript"/>
        <sz val="11"/>
        <color theme="1"/>
        <rFont val="Aptos Narrow"/>
        <family val="2"/>
        <scheme val="minor"/>
      </rPr>
      <t>4</t>
    </r>
    <r>
      <rPr>
        <sz val="11"/>
        <color theme="1"/>
        <rFont val="Aptos Narrow"/>
        <family val="2"/>
        <scheme val="minor"/>
      </rPr>
      <t xml:space="preserve"> 89 % (w/w)</t>
    </r>
  </si>
  <si>
    <t>Final solution</t>
  </si>
  <si>
    <t>Vol. fraction water</t>
  </si>
  <si>
    <r>
      <t>kg  L</t>
    </r>
    <r>
      <rPr>
        <vertAlign val="superscript"/>
        <sz val="11"/>
        <color theme="1"/>
        <rFont val="Aptos Narrow"/>
        <family val="2"/>
        <scheme val="minor"/>
      </rPr>
      <t>-1</t>
    </r>
    <r>
      <rPr>
        <sz val="11"/>
        <color theme="1"/>
        <rFont val="Aptos Narrow"/>
        <family val="2"/>
        <scheme val="minor"/>
      </rPr>
      <t xml:space="preserve"> total volume</t>
    </r>
  </si>
  <si>
    <r>
      <t>Acid (HNO</t>
    </r>
    <r>
      <rPr>
        <b/>
        <vertAlign val="subscript"/>
        <sz val="12"/>
        <color theme="1"/>
        <rFont val="Aptos Narrow"/>
        <family val="2"/>
        <scheme val="minor"/>
      </rPr>
      <t>3</t>
    </r>
    <r>
      <rPr>
        <b/>
        <sz val="12"/>
        <color theme="1"/>
        <rFont val="Aptos Narrow"/>
        <family val="2"/>
        <scheme val="minor"/>
      </rPr>
      <t>) calculus</t>
    </r>
  </si>
  <si>
    <t>Biomass dryweight</t>
  </si>
  <si>
    <t>M</t>
  </si>
  <si>
    <t>Water per volume</t>
  </si>
  <si>
    <t>Molar conc</t>
  </si>
  <si>
    <t>Component:</t>
  </si>
  <si>
    <t>Fraction of total</t>
  </si>
  <si>
    <t>-</t>
  </si>
  <si>
    <r>
      <t>water pr kg HNO</t>
    </r>
    <r>
      <rPr>
        <vertAlign val="subscript"/>
        <sz val="11"/>
        <color theme="1"/>
        <rFont val="Aptos Narrow"/>
        <family val="2"/>
        <scheme val="minor"/>
      </rPr>
      <t>3</t>
    </r>
    <r>
      <rPr>
        <sz val="11"/>
        <color theme="1"/>
        <rFont val="Aptos Narrow"/>
        <family val="2"/>
        <scheme val="minor"/>
      </rPr>
      <t xml:space="preserve"> for M stock solutions</t>
    </r>
  </si>
  <si>
    <r>
      <t>mol HNO</t>
    </r>
    <r>
      <rPr>
        <vertAlign val="subscript"/>
        <sz val="11"/>
        <color theme="1"/>
        <rFont val="Aptos Narrow"/>
        <family val="2"/>
        <scheme val="minor"/>
      </rPr>
      <t>3</t>
    </r>
    <r>
      <rPr>
        <sz val="11"/>
        <color theme="1"/>
        <rFont val="Aptos Narrow"/>
        <family val="2"/>
        <scheme val="minor"/>
      </rPr>
      <t xml:space="preserve"> L</t>
    </r>
    <r>
      <rPr>
        <vertAlign val="superscript"/>
        <sz val="11"/>
        <color theme="1"/>
        <rFont val="Aptos Narrow"/>
        <family val="2"/>
        <scheme val="minor"/>
      </rPr>
      <t>-1</t>
    </r>
  </si>
  <si>
    <r>
      <t>L H</t>
    </r>
    <r>
      <rPr>
        <vertAlign val="subscript"/>
        <sz val="11"/>
        <color theme="1"/>
        <rFont val="Aptos Narrow"/>
        <family val="2"/>
        <scheme val="minor"/>
      </rPr>
      <t>2</t>
    </r>
    <r>
      <rPr>
        <sz val="11"/>
        <color theme="1"/>
        <rFont val="Aptos Narrow"/>
        <family val="2"/>
        <scheme val="minor"/>
      </rPr>
      <t>O kg</t>
    </r>
    <r>
      <rPr>
        <vertAlign val="superscript"/>
        <sz val="11"/>
        <color theme="1"/>
        <rFont val="Aptos Narrow"/>
        <family val="2"/>
        <scheme val="minor"/>
      </rPr>
      <t>-1</t>
    </r>
    <r>
      <rPr>
        <sz val="11"/>
        <color theme="1"/>
        <rFont val="Aptos Narrow"/>
        <family val="2"/>
        <scheme val="minor"/>
      </rPr>
      <t xml:space="preserve"> HNO</t>
    </r>
    <r>
      <rPr>
        <vertAlign val="subscript"/>
        <sz val="11"/>
        <color theme="1"/>
        <rFont val="Aptos Narrow"/>
        <family val="2"/>
        <scheme val="minor"/>
      </rPr>
      <t>3</t>
    </r>
  </si>
  <si>
    <r>
      <t>kg HNO</t>
    </r>
    <r>
      <rPr>
        <vertAlign val="subscript"/>
        <sz val="11"/>
        <color theme="1"/>
        <rFont val="Aptos Narrow"/>
        <family val="2"/>
        <scheme val="minor"/>
      </rPr>
      <t>3</t>
    </r>
    <r>
      <rPr>
        <sz val="11"/>
        <color theme="1"/>
        <rFont val="Aptos Narrow"/>
        <family val="2"/>
        <scheme val="minor"/>
      </rPr>
      <t xml:space="preserve"> L</t>
    </r>
    <r>
      <rPr>
        <vertAlign val="superscript"/>
        <sz val="11"/>
        <color theme="1"/>
        <rFont val="Aptos Narrow"/>
        <family val="2"/>
        <scheme val="minor"/>
      </rPr>
      <t>-1</t>
    </r>
  </si>
  <si>
    <r>
      <t>L H</t>
    </r>
    <r>
      <rPr>
        <vertAlign val="subscript"/>
        <sz val="11"/>
        <color theme="1"/>
        <rFont val="Aptos Narrow"/>
        <family val="2"/>
        <scheme val="minor"/>
      </rPr>
      <t>2</t>
    </r>
    <r>
      <rPr>
        <sz val="11"/>
        <color theme="1"/>
        <rFont val="Aptos Narrow"/>
        <family val="2"/>
        <scheme val="minor"/>
      </rPr>
      <t>O L</t>
    </r>
    <r>
      <rPr>
        <vertAlign val="superscript"/>
        <sz val="11"/>
        <color theme="1"/>
        <rFont val="Aptos Narrow"/>
        <family val="2"/>
        <scheme val="minor"/>
      </rPr>
      <t>-1</t>
    </r>
  </si>
  <si>
    <r>
      <t>weigh fraction HNO</t>
    </r>
    <r>
      <rPr>
        <vertAlign val="subscript"/>
        <sz val="11"/>
        <color theme="1"/>
        <rFont val="Aptos Narrow"/>
        <family val="2"/>
        <scheme val="minor"/>
      </rPr>
      <t>3</t>
    </r>
  </si>
  <si>
    <r>
      <t>HNO</t>
    </r>
    <r>
      <rPr>
        <vertAlign val="subscript"/>
        <sz val="11"/>
        <color theme="1"/>
        <rFont val="Aptos Narrow"/>
        <family val="2"/>
        <scheme val="minor"/>
      </rPr>
      <t>3</t>
    </r>
    <r>
      <rPr>
        <sz val="11"/>
        <color theme="1"/>
        <rFont val="Aptos Narrow"/>
        <family val="2"/>
        <scheme val="minor"/>
      </rPr>
      <t xml:space="preserve"> per volume</t>
    </r>
  </si>
  <si>
    <t>Target solution</t>
  </si>
  <si>
    <t>Polynomes are fitted to tabulated data</t>
  </si>
  <si>
    <t xml:space="preserve"> (weight% HNO3 and density)</t>
  </si>
  <si>
    <t>Target concentration</t>
  </si>
  <si>
    <r>
      <t>Stock HNO</t>
    </r>
    <r>
      <rPr>
        <vertAlign val="subscript"/>
        <sz val="11"/>
        <color theme="1"/>
        <rFont val="Aptos Narrow"/>
        <family val="2"/>
        <scheme val="minor"/>
      </rPr>
      <t>3</t>
    </r>
  </si>
  <si>
    <r>
      <t>HNO</t>
    </r>
    <r>
      <rPr>
        <b/>
        <vertAlign val="subscript"/>
        <sz val="11"/>
        <color theme="1"/>
        <rFont val="Aptos Narrow"/>
        <family val="2"/>
        <scheme val="minor"/>
      </rPr>
      <t xml:space="preserve">3 </t>
    </r>
    <r>
      <rPr>
        <b/>
        <sz val="11"/>
        <color theme="1"/>
        <rFont val="Aptos Narrow"/>
        <family val="2"/>
        <scheme val="minor"/>
      </rPr>
      <t>stock calculations</t>
    </r>
  </si>
  <si>
    <r>
      <t>Weight fraction HNO</t>
    </r>
    <r>
      <rPr>
        <vertAlign val="subscript"/>
        <sz val="11"/>
        <color theme="1"/>
        <rFont val="Aptos Narrow"/>
        <family val="2"/>
        <scheme val="minor"/>
      </rPr>
      <t>3</t>
    </r>
  </si>
  <si>
    <t>Water per L stock</t>
  </si>
  <si>
    <r>
      <t>L H</t>
    </r>
    <r>
      <rPr>
        <vertAlign val="subscript"/>
        <sz val="11"/>
        <color theme="1"/>
        <rFont val="Aptos Narrow"/>
        <family val="2"/>
        <scheme val="minor"/>
      </rPr>
      <t>2</t>
    </r>
    <r>
      <rPr>
        <sz val="11"/>
        <color theme="1"/>
        <rFont val="Aptos Narrow"/>
        <family val="2"/>
        <scheme val="minor"/>
      </rPr>
      <t>O L</t>
    </r>
    <r>
      <rPr>
        <vertAlign val="superscript"/>
        <sz val="11"/>
        <color theme="1"/>
        <rFont val="Aptos Narrow"/>
        <family val="2"/>
        <scheme val="minor"/>
      </rPr>
      <t>-1</t>
    </r>
    <r>
      <rPr>
        <sz val="11"/>
        <color theme="1"/>
        <rFont val="Aptos Narrow"/>
        <family val="2"/>
        <scheme val="minor"/>
      </rPr>
      <t xml:space="preserve"> HNO</t>
    </r>
    <r>
      <rPr>
        <vertAlign val="subscript"/>
        <sz val="11"/>
        <color theme="1"/>
        <rFont val="Aptos Narrow"/>
        <family val="2"/>
        <scheme val="minor"/>
      </rPr>
      <t>3</t>
    </r>
    <r>
      <rPr>
        <sz val="11"/>
        <color theme="1"/>
        <rFont val="Aptos Narrow"/>
        <family val="2"/>
        <scheme val="minor"/>
      </rPr>
      <t xml:space="preserve"> stock</t>
    </r>
  </si>
  <si>
    <r>
      <t>kg HNO</t>
    </r>
    <r>
      <rPr>
        <vertAlign val="subscript"/>
        <sz val="11"/>
        <color theme="1"/>
        <rFont val="Aptos Narrow"/>
        <family val="2"/>
        <scheme val="minor"/>
      </rPr>
      <t>3</t>
    </r>
    <r>
      <rPr>
        <sz val="11"/>
        <color theme="1"/>
        <rFont val="Aptos Narrow"/>
        <family val="2"/>
        <scheme val="minor"/>
      </rPr>
      <t xml:space="preserve"> kg</t>
    </r>
    <r>
      <rPr>
        <vertAlign val="superscript"/>
        <sz val="11"/>
        <color theme="1"/>
        <rFont val="Aptos Narrow"/>
        <family val="2"/>
        <scheme val="minor"/>
      </rPr>
      <t>-1</t>
    </r>
    <r>
      <rPr>
        <sz val="11"/>
        <color theme="1"/>
        <rFont val="Aptos Narrow"/>
        <family val="2"/>
        <scheme val="minor"/>
      </rPr>
      <t xml:space="preserve"> total weight</t>
    </r>
  </si>
  <si>
    <t>Cell-C produced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</si>
</sst>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"/>
    <numFmt numFmtId="165" formatCode="0.0000"/>
    <numFmt numFmtId="166" formatCode="0.00000"/>
    <numFmt numFmtId="167" formatCode="0.000000"/>
    <numFmt numFmtId="168" formatCode="0.000000000"/>
    <numFmt numFmtId="169" formatCode="0.0"/>
  </numFmts>
  <fonts count="29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vertAlign val="subscript"/>
      <sz val="11"/>
      <color theme="1"/>
      <name val="Aptos Narrow"/>
      <family val="2"/>
      <scheme val="minor"/>
    </font>
    <font>
      <vertAlign val="superscript"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vertAlign val="subscript"/>
      <sz val="12"/>
      <color theme="1"/>
      <name val="Aptos Narrow"/>
      <family val="2"/>
      <scheme val="minor"/>
    </font>
    <font>
      <sz val="11"/>
      <color rgb="FFC00000"/>
      <name val="Aptos Narrow"/>
      <family val="2"/>
      <scheme val="minor"/>
    </font>
    <font>
      <i/>
      <sz val="9"/>
      <color theme="1"/>
      <name val="Aptos Narrow"/>
      <family val="2"/>
      <scheme val="minor"/>
    </font>
    <font>
      <b/>
      <vertAlign val="superscript"/>
      <sz val="11"/>
      <color theme="1"/>
      <name val="Aptos Narrow"/>
      <family val="2"/>
      <scheme val="minor"/>
    </font>
    <font>
      <i/>
      <sz val="10"/>
      <color theme="1"/>
      <name val="Aptos Narrow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i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vertAlign val="subscript"/>
      <sz val="11"/>
      <color theme="1"/>
      <name val="Aptos Narrow"/>
      <family val="2"/>
      <scheme val="minor"/>
    </font>
    <font>
      <b/>
      <sz val="11"/>
      <color theme="1"/>
      <name val="Aptos Narrow"/>
      <family val="2"/>
    </font>
    <font>
      <sz val="11"/>
      <color theme="5"/>
      <name val="Aptos Narrow"/>
      <family val="2"/>
      <scheme val="minor"/>
    </font>
    <font>
      <b/>
      <sz val="11"/>
      <color theme="1" tint="0.34998626667073579"/>
      <name val="Aptos Narrow"/>
      <family val="2"/>
      <scheme val="minor"/>
    </font>
    <font>
      <sz val="11"/>
      <color theme="1" tint="0.34998626667073579"/>
      <name val="Aptos Narrow"/>
      <family val="2"/>
      <scheme val="minor"/>
    </font>
    <font>
      <sz val="9"/>
      <color indexed="81"/>
      <name val="Tahoma"/>
      <charset val="1"/>
    </font>
    <font>
      <b/>
      <sz val="11"/>
      <color rgb="FFFF0000"/>
      <name val="Aptos Narrow"/>
      <family val="2"/>
      <scheme val="minor"/>
    </font>
    <font>
      <sz val="11"/>
      <color rgb="FF002060"/>
      <name val="Aptos Narrow"/>
      <family val="2"/>
      <scheme val="minor"/>
    </font>
    <font>
      <vertAlign val="subscript"/>
      <sz val="9"/>
      <color indexed="81"/>
      <name val="Tahoma"/>
      <family val="2"/>
    </font>
    <font>
      <vertAlign val="superscript"/>
      <sz val="9"/>
      <color indexed="81"/>
      <name val="Tahoma"/>
      <family val="2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5"/>
      </patternFill>
    </fill>
    <fill>
      <patternFill patternType="solid">
        <fgColor theme="4" tint="0.79998168889431442"/>
        <bgColor indexed="65"/>
      </patternFill>
    </fill>
  </fills>
  <borders count="3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3" fillId="2" borderId="0" applyNumberFormat="0" applyBorder="0" applyAlignment="0" applyProtection="0"/>
    <xf numFmtId="0" fontId="13" fillId="3" borderId="0" applyNumberFormat="0" applyBorder="0" applyAlignment="0" applyProtection="0"/>
  </cellStyleXfs>
  <cellXfs count="204">
    <xf numFmtId="0" fontId="0" fillId="0" borderId="0" xfId="0"/>
    <xf numFmtId="0" fontId="1" fillId="0" borderId="0" xfId="0" applyFont="1"/>
    <xf numFmtId="0" fontId="4" fillId="0" borderId="0" xfId="0" applyFont="1"/>
    <xf numFmtId="0" fontId="6" fillId="0" borderId="0" xfId="0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7" fillId="0" borderId="0" xfId="0" applyFont="1"/>
    <xf numFmtId="0" fontId="0" fillId="0" borderId="7" xfId="0" applyBorder="1"/>
    <xf numFmtId="0" fontId="0" fillId="0" borderId="8" xfId="0" applyBorder="1"/>
    <xf numFmtId="0" fontId="1" fillId="0" borderId="7" xfId="0" applyFont="1" applyBorder="1"/>
    <xf numFmtId="0" fontId="1" fillId="0" borderId="8" xfId="0" applyFont="1" applyBorder="1"/>
    <xf numFmtId="0" fontId="9" fillId="0" borderId="0" xfId="0" applyFont="1"/>
    <xf numFmtId="0" fontId="0" fillId="0" borderId="10" xfId="0" applyBorder="1"/>
    <xf numFmtId="0" fontId="0" fillId="0" borderId="11" xfId="0" applyBorder="1"/>
    <xf numFmtId="165" fontId="0" fillId="0" borderId="0" xfId="0" applyNumberFormat="1"/>
    <xf numFmtId="165" fontId="0" fillId="0" borderId="10" xfId="0" applyNumberFormat="1" applyBorder="1"/>
    <xf numFmtId="0" fontId="6" fillId="0" borderId="3" xfId="0" applyFont="1" applyBorder="1"/>
    <xf numFmtId="165" fontId="0" fillId="0" borderId="9" xfId="0" applyNumberFormat="1" applyBorder="1"/>
    <xf numFmtId="164" fontId="0" fillId="0" borderId="0" xfId="0" applyNumberFormat="1"/>
    <xf numFmtId="0" fontId="6" fillId="0" borderId="1" xfId="0" applyFont="1" applyBorder="1"/>
    <xf numFmtId="0" fontId="0" fillId="0" borderId="9" xfId="0" applyBorder="1" applyAlignment="1">
      <alignment horizontal="center"/>
    </xf>
    <xf numFmtId="0" fontId="0" fillId="0" borderId="5" xfId="0" applyBorder="1" applyAlignment="1">
      <alignment horizontal="center"/>
    </xf>
    <xf numFmtId="0" fontId="12" fillId="0" borderId="6" xfId="0" applyFont="1" applyBorder="1"/>
    <xf numFmtId="0" fontId="0" fillId="0" borderId="0" xfId="0" applyAlignment="1">
      <alignment horizontal="center"/>
    </xf>
    <xf numFmtId="9" fontId="0" fillId="0" borderId="0" xfId="0" applyNumberFormat="1"/>
    <xf numFmtId="0" fontId="12" fillId="0" borderId="4" xfId="0" applyFont="1" applyBorder="1"/>
    <xf numFmtId="164" fontId="0" fillId="0" borderId="4" xfId="0" applyNumberFormat="1" applyBorder="1"/>
    <xf numFmtId="164" fontId="0" fillId="0" borderId="6" xfId="0" applyNumberFormat="1" applyBorder="1"/>
    <xf numFmtId="9" fontId="0" fillId="0" borderId="3" xfId="0" applyNumberFormat="1" applyBorder="1"/>
    <xf numFmtId="2" fontId="0" fillId="0" borderId="0" xfId="0" applyNumberFormat="1" applyAlignment="1">
      <alignment horizontal="center"/>
    </xf>
    <xf numFmtId="2" fontId="0" fillId="0" borderId="0" xfId="0" applyNumberFormat="1"/>
    <xf numFmtId="0" fontId="15" fillId="0" borderId="0" xfId="0" applyFont="1"/>
    <xf numFmtId="0" fontId="0" fillId="0" borderId="1" xfId="0" applyBorder="1"/>
    <xf numFmtId="0" fontId="0" fillId="0" borderId="9" xfId="0" applyBorder="1"/>
    <xf numFmtId="0" fontId="17" fillId="0" borderId="0" xfId="0" applyFont="1"/>
    <xf numFmtId="0" fontId="1" fillId="0" borderId="11" xfId="0" applyFont="1" applyBorder="1"/>
    <xf numFmtId="0" fontId="14" fillId="0" borderId="0" xfId="0" applyFont="1" applyAlignment="1">
      <alignment horizontal="center"/>
    </xf>
    <xf numFmtId="11" fontId="0" fillId="0" borderId="0" xfId="0" applyNumberFormat="1"/>
    <xf numFmtId="11" fontId="0" fillId="0" borderId="4" xfId="0" applyNumberFormat="1" applyBorder="1" applyAlignment="1">
      <alignment horizontal="center"/>
    </xf>
    <xf numFmtId="11" fontId="0" fillId="0" borderId="6" xfId="0" applyNumberFormat="1" applyBorder="1" applyAlignment="1">
      <alignment horizontal="center"/>
    </xf>
    <xf numFmtId="164" fontId="14" fillId="0" borderId="9" xfId="0" applyNumberFormat="1" applyFont="1" applyBorder="1" applyAlignment="1">
      <alignment horizontal="center"/>
    </xf>
    <xf numFmtId="11" fontId="0" fillId="0" borderId="2" xfId="0" applyNumberFormat="1" applyBorder="1" applyAlignment="1">
      <alignment horizontal="center"/>
    </xf>
    <xf numFmtId="2" fontId="0" fillId="0" borderId="10" xfId="0" applyNumberFormat="1" applyBorder="1"/>
    <xf numFmtId="164" fontId="14" fillId="0" borderId="0" xfId="0" applyNumberFormat="1" applyFont="1" applyAlignment="1">
      <alignment horizontal="center"/>
    </xf>
    <xf numFmtId="166" fontId="0" fillId="0" borderId="0" xfId="0" applyNumberFormat="1"/>
    <xf numFmtId="0" fontId="1" fillId="0" borderId="5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3" xfId="0" applyBorder="1" applyAlignment="1">
      <alignment horizontal="center"/>
    </xf>
    <xf numFmtId="11" fontId="0" fillId="0" borderId="3" xfId="0" applyNumberFormat="1" applyBorder="1"/>
    <xf numFmtId="167" fontId="0" fillId="0" borderId="3" xfId="0" applyNumberFormat="1" applyBorder="1"/>
    <xf numFmtId="0" fontId="0" fillId="0" borderId="10" xfId="0" applyBorder="1" applyAlignment="1">
      <alignment horizontal="center"/>
    </xf>
    <xf numFmtId="11" fontId="0" fillId="0" borderId="5" xfId="0" applyNumberFormat="1" applyBorder="1"/>
    <xf numFmtId="11" fontId="0" fillId="0" borderId="10" xfId="0" applyNumberFormat="1" applyBorder="1" applyAlignment="1">
      <alignment horizontal="center"/>
    </xf>
    <xf numFmtId="0" fontId="1" fillId="0" borderId="1" xfId="0" applyFont="1" applyBorder="1"/>
    <xf numFmtId="0" fontId="1" fillId="0" borderId="9" xfId="0" applyFont="1" applyBorder="1"/>
    <xf numFmtId="0" fontId="1" fillId="0" borderId="2" xfId="0" applyFont="1" applyBorder="1"/>
    <xf numFmtId="0" fontId="1" fillId="0" borderId="0" xfId="0" applyFont="1" applyAlignment="1">
      <alignment horizontal="center"/>
    </xf>
    <xf numFmtId="164" fontId="0" fillId="0" borderId="10" xfId="0" applyNumberFormat="1" applyBorder="1"/>
    <xf numFmtId="2" fontId="0" fillId="0" borderId="10" xfId="0" applyNumberFormat="1" applyBorder="1" applyAlignment="1">
      <alignment horizontal="center"/>
    </xf>
    <xf numFmtId="0" fontId="0" fillId="0" borderId="0" xfId="0" applyAlignment="1">
      <alignment horizontal="left"/>
    </xf>
    <xf numFmtId="0" fontId="12" fillId="0" borderId="0" xfId="0" applyFont="1" applyAlignment="1">
      <alignment horizontal="left"/>
    </xf>
    <xf numFmtId="0" fontId="12" fillId="0" borderId="3" xfId="0" applyFont="1" applyBorder="1"/>
    <xf numFmtId="0" fontId="0" fillId="0" borderId="4" xfId="0" applyBorder="1" applyAlignment="1">
      <alignment horizontal="left"/>
    </xf>
    <xf numFmtId="11" fontId="0" fillId="0" borderId="0" xfId="0" applyNumberFormat="1" applyAlignment="1">
      <alignment horizontal="center"/>
    </xf>
    <xf numFmtId="0" fontId="0" fillId="0" borderId="6" xfId="0" applyBorder="1" applyAlignment="1">
      <alignment horizontal="left"/>
    </xf>
    <xf numFmtId="0" fontId="1" fillId="0" borderId="0" xfId="0" applyFont="1" applyAlignment="1">
      <alignment horizontal="left"/>
    </xf>
    <xf numFmtId="2" fontId="16" fillId="0" borderId="0" xfId="0" applyNumberFormat="1" applyFont="1"/>
    <xf numFmtId="164" fontId="0" fillId="0" borderId="9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164" fontId="12" fillId="0" borderId="0" xfId="0" applyNumberFormat="1" applyFont="1" applyAlignment="1">
      <alignment horizontal="center"/>
    </xf>
    <xf numFmtId="164" fontId="0" fillId="0" borderId="10" xfId="0" applyNumberFormat="1" applyBorder="1" applyAlignment="1">
      <alignment horizontal="center"/>
    </xf>
    <xf numFmtId="166" fontId="0" fillId="0" borderId="4" xfId="0" applyNumberFormat="1" applyBorder="1" applyAlignment="1">
      <alignment horizontal="center"/>
    </xf>
    <xf numFmtId="166" fontId="0" fillId="0" borderId="6" xfId="0" applyNumberFormat="1" applyBorder="1" applyAlignment="1">
      <alignment horizontal="center"/>
    </xf>
    <xf numFmtId="0" fontId="6" fillId="0" borderId="9" xfId="0" applyFont="1" applyBorder="1" applyAlignment="1">
      <alignment horizontal="center"/>
    </xf>
    <xf numFmtId="9" fontId="6" fillId="0" borderId="10" xfId="0" applyNumberFormat="1" applyFont="1" applyBorder="1" applyAlignment="1">
      <alignment horizontal="center"/>
    </xf>
    <xf numFmtId="0" fontId="6" fillId="0" borderId="0" xfId="0" applyFont="1" applyAlignment="1">
      <alignment horizontal="center"/>
    </xf>
    <xf numFmtId="1" fontId="6" fillId="0" borderId="0" xfId="0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0" fontId="0" fillId="2" borderId="1" xfId="1" applyFont="1" applyBorder="1"/>
    <xf numFmtId="165" fontId="13" fillId="2" borderId="9" xfId="1" applyNumberFormat="1" applyBorder="1"/>
    <xf numFmtId="0" fontId="0" fillId="2" borderId="2" xfId="1" applyFont="1" applyBorder="1"/>
    <xf numFmtId="0" fontId="20" fillId="0" borderId="0" xfId="0" applyFont="1" applyAlignment="1">
      <alignment horizontal="center"/>
    </xf>
    <xf numFmtId="0" fontId="20" fillId="0" borderId="10" xfId="0" applyFont="1" applyBorder="1" applyAlignment="1">
      <alignment horizontal="center"/>
    </xf>
    <xf numFmtId="0" fontId="1" fillId="0" borderId="12" xfId="0" applyFont="1" applyBorder="1"/>
    <xf numFmtId="0" fontId="1" fillId="0" borderId="13" xfId="0" applyFont="1" applyBorder="1" applyAlignment="1">
      <alignment horizontal="center"/>
    </xf>
    <xf numFmtId="169" fontId="0" fillId="0" borderId="10" xfId="0" applyNumberFormat="1" applyBorder="1"/>
    <xf numFmtId="165" fontId="0" fillId="0" borderId="14" xfId="0" applyNumberFormat="1" applyBorder="1"/>
    <xf numFmtId="165" fontId="0" fillId="0" borderId="13" xfId="0" applyNumberFormat="1" applyBorder="1"/>
    <xf numFmtId="166" fontId="0" fillId="0" borderId="0" xfId="0" applyNumberFormat="1" applyAlignment="1">
      <alignment horizontal="center"/>
    </xf>
    <xf numFmtId="165" fontId="0" fillId="0" borderId="4" xfId="0" applyNumberFormat="1" applyBorder="1" applyAlignment="1">
      <alignment horizontal="center"/>
    </xf>
    <xf numFmtId="165" fontId="0" fillId="0" borderId="6" xfId="0" applyNumberFormat="1" applyBorder="1" applyAlignment="1">
      <alignment horizontal="center"/>
    </xf>
    <xf numFmtId="166" fontId="16" fillId="0" borderId="9" xfId="0" applyNumberFormat="1" applyFont="1" applyBorder="1" applyAlignment="1">
      <alignment horizontal="center"/>
    </xf>
    <xf numFmtId="165" fontId="0" fillId="0" borderId="2" xfId="0" applyNumberFormat="1" applyBorder="1" applyAlignment="1">
      <alignment horizontal="center"/>
    </xf>
    <xf numFmtId="0" fontId="0" fillId="0" borderId="3" xfId="0" applyBorder="1" applyAlignment="1">
      <alignment horizontal="left"/>
    </xf>
    <xf numFmtId="0" fontId="0" fillId="0" borderId="5" xfId="0" applyBorder="1" applyAlignment="1">
      <alignment horizontal="left"/>
    </xf>
    <xf numFmtId="166" fontId="0" fillId="0" borderId="10" xfId="0" applyNumberFormat="1" applyBorder="1" applyAlignment="1">
      <alignment horizontal="center"/>
    </xf>
    <xf numFmtId="165" fontId="14" fillId="0" borderId="0" xfId="0" applyNumberFormat="1" applyFont="1" applyAlignment="1">
      <alignment horizontal="center"/>
    </xf>
    <xf numFmtId="165" fontId="14" fillId="0" borderId="10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2" fontId="0" fillId="0" borderId="3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21" fillId="0" borderId="0" xfId="0" applyFont="1"/>
    <xf numFmtId="0" fontId="22" fillId="0" borderId="0" xfId="0" applyFont="1"/>
    <xf numFmtId="164" fontId="22" fillId="0" borderId="0" xfId="0" applyNumberFormat="1" applyFont="1" applyAlignment="1">
      <alignment horizontal="center"/>
    </xf>
    <xf numFmtId="164" fontId="0" fillId="0" borderId="4" xfId="0" applyNumberFormat="1" applyBorder="1" applyAlignment="1">
      <alignment horizontal="center"/>
    </xf>
    <xf numFmtId="2" fontId="14" fillId="0" borderId="10" xfId="0" applyNumberFormat="1" applyFont="1" applyBorder="1" applyAlignment="1">
      <alignment horizontal="center"/>
    </xf>
    <xf numFmtId="1" fontId="0" fillId="0" borderId="10" xfId="0" applyNumberFormat="1" applyBorder="1" applyAlignment="1">
      <alignment horizontal="center"/>
    </xf>
    <xf numFmtId="9" fontId="0" fillId="0" borderId="3" xfId="0" applyNumberFormat="1" applyBorder="1" applyAlignment="1">
      <alignment horizontal="center"/>
    </xf>
    <xf numFmtId="9" fontId="0" fillId="0" borderId="5" xfId="0" applyNumberFormat="1" applyBorder="1" applyAlignment="1">
      <alignment horizontal="center"/>
    </xf>
    <xf numFmtId="3" fontId="0" fillId="0" borderId="14" xfId="0" applyNumberFormat="1" applyBorder="1"/>
    <xf numFmtId="3" fontId="0" fillId="0" borderId="13" xfId="0" applyNumberFormat="1" applyBorder="1"/>
    <xf numFmtId="164" fontId="0" fillId="0" borderId="3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9" fontId="0" fillId="0" borderId="5" xfId="0" applyNumberFormat="1" applyBorder="1"/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center"/>
    </xf>
    <xf numFmtId="164" fontId="0" fillId="0" borderId="19" xfId="0" applyNumberFormat="1" applyBorder="1" applyAlignment="1">
      <alignment horizontal="center"/>
    </xf>
    <xf numFmtId="164" fontId="0" fillId="0" borderId="21" xfId="0" applyNumberFormat="1" applyBorder="1" applyAlignment="1">
      <alignment horizontal="center"/>
    </xf>
    <xf numFmtId="164" fontId="16" fillId="0" borderId="0" xfId="0" applyNumberFormat="1" applyFont="1" applyAlignment="1">
      <alignment horizontal="center"/>
    </xf>
    <xf numFmtId="164" fontId="16" fillId="0" borderId="0" xfId="0" applyNumberFormat="1" applyFont="1"/>
    <xf numFmtId="2" fontId="0" fillId="0" borderId="21" xfId="0" applyNumberFormat="1" applyBorder="1" applyAlignment="1">
      <alignment horizontal="center"/>
    </xf>
    <xf numFmtId="0" fontId="0" fillId="0" borderId="15" xfId="0" applyBorder="1"/>
    <xf numFmtId="0" fontId="0" fillId="0" borderId="18" xfId="0" applyBorder="1"/>
    <xf numFmtId="0" fontId="0" fillId="0" borderId="20" xfId="0" applyBorder="1"/>
    <xf numFmtId="0" fontId="0" fillId="0" borderId="17" xfId="0" applyBorder="1"/>
    <xf numFmtId="0" fontId="0" fillId="0" borderId="19" xfId="0" applyBorder="1"/>
    <xf numFmtId="0" fontId="0" fillId="0" borderId="22" xfId="0" applyBorder="1"/>
    <xf numFmtId="2" fontId="1" fillId="0" borderId="0" xfId="0" applyNumberFormat="1" applyFont="1"/>
    <xf numFmtId="0" fontId="14" fillId="0" borderId="16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0" fillId="0" borderId="26" xfId="0" applyBorder="1"/>
    <xf numFmtId="164" fontId="0" fillId="0" borderId="19" xfId="0" applyNumberFormat="1" applyBorder="1" applyAlignment="1">
      <alignment horizontal="left" vertical="top"/>
    </xf>
    <xf numFmtId="0" fontId="0" fillId="0" borderId="19" xfId="0" applyBorder="1" applyAlignment="1">
      <alignment horizontal="left" vertical="top"/>
    </xf>
    <xf numFmtId="0" fontId="0" fillId="0" borderId="22" xfId="0" applyBorder="1" applyAlignment="1">
      <alignment horizontal="left" vertical="top"/>
    </xf>
    <xf numFmtId="0" fontId="1" fillId="0" borderId="18" xfId="0" applyFont="1" applyBorder="1"/>
    <xf numFmtId="164" fontId="1" fillId="0" borderId="19" xfId="0" applyNumberFormat="1" applyFont="1" applyBorder="1" applyAlignment="1">
      <alignment horizontal="left"/>
    </xf>
    <xf numFmtId="0" fontId="0" fillId="0" borderId="25" xfId="0" applyBorder="1"/>
    <xf numFmtId="0" fontId="0" fillId="0" borderId="7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1" fillId="0" borderId="9" xfId="0" applyFont="1" applyBorder="1" applyAlignment="1">
      <alignment horizontal="center" wrapText="1"/>
    </xf>
    <xf numFmtId="0" fontId="1" fillId="0" borderId="10" xfId="0" applyFont="1" applyBorder="1" applyAlignment="1">
      <alignment horizont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0" xfId="0" applyAlignment="1">
      <alignment horizontal="left"/>
    </xf>
    <xf numFmtId="0" fontId="0" fillId="0" borderId="4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14" fillId="0" borderId="11" xfId="0" applyFont="1" applyBorder="1" applyAlignment="1">
      <alignment horizontal="center"/>
    </xf>
    <xf numFmtId="0" fontId="14" fillId="0" borderId="8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0" fillId="0" borderId="9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9" fontId="0" fillId="0" borderId="0" xfId="0" applyNumberFormat="1" applyBorder="1"/>
    <xf numFmtId="0" fontId="0" fillId="0" borderId="0" xfId="0" applyBorder="1"/>
    <xf numFmtId="0" fontId="12" fillId="0" borderId="0" xfId="0" applyFont="1" applyBorder="1"/>
    <xf numFmtId="2" fontId="0" fillId="0" borderId="0" xfId="0" applyNumberFormat="1" applyBorder="1" applyAlignment="1">
      <alignment horizontal="center"/>
    </xf>
    <xf numFmtId="2" fontId="0" fillId="0" borderId="0" xfId="0" applyNumberFormat="1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8" fontId="0" fillId="0" borderId="2" xfId="0" applyNumberFormat="1" applyBorder="1" applyAlignment="1">
      <alignment horizontal="center"/>
    </xf>
    <xf numFmtId="168" fontId="0" fillId="0" borderId="4" xfId="0" applyNumberFormat="1" applyBorder="1" applyAlignment="1">
      <alignment horizontal="center"/>
    </xf>
    <xf numFmtId="168" fontId="0" fillId="0" borderId="6" xfId="0" applyNumberFormat="1" applyBorder="1" applyAlignment="1">
      <alignment horizontal="center"/>
    </xf>
    <xf numFmtId="0" fontId="25" fillId="0" borderId="3" xfId="0" applyFont="1" applyBorder="1"/>
    <xf numFmtId="168" fontId="25" fillId="0" borderId="4" xfId="0" applyNumberFormat="1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24" fillId="0" borderId="9" xfId="0" applyFont="1" applyBorder="1" applyAlignment="1">
      <alignment horizontal="center"/>
    </xf>
    <xf numFmtId="0" fontId="0" fillId="0" borderId="1" xfId="0" applyBorder="1" applyAlignment="1">
      <alignment horizontal="left"/>
    </xf>
    <xf numFmtId="2" fontId="14" fillId="0" borderId="9" xfId="0" applyNumberFormat="1" applyFon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164" fontId="0" fillId="0" borderId="3" xfId="0" applyNumberFormat="1" applyBorder="1" applyAlignment="1">
      <alignment horizontal="left"/>
    </xf>
    <xf numFmtId="164" fontId="0" fillId="0" borderId="5" xfId="0" applyNumberFormat="1" applyBorder="1" applyAlignment="1">
      <alignment horizontal="left"/>
    </xf>
    <xf numFmtId="164" fontId="0" fillId="0" borderId="0" xfId="0" applyNumberFormat="1" applyBorder="1" applyAlignment="1">
      <alignment horizontal="left"/>
    </xf>
    <xf numFmtId="0" fontId="13" fillId="3" borderId="5" xfId="2" applyBorder="1" applyAlignment="1">
      <alignment horizontal="left"/>
    </xf>
    <xf numFmtId="0" fontId="0" fillId="3" borderId="6" xfId="2" applyFont="1" applyBorder="1" applyAlignment="1">
      <alignment horizontal="left"/>
    </xf>
    <xf numFmtId="164" fontId="13" fillId="3" borderId="10" xfId="2" applyNumberFormat="1" applyBorder="1" applyAlignment="1">
      <alignment horizontal="center"/>
    </xf>
    <xf numFmtId="0" fontId="1" fillId="0" borderId="27" xfId="0" applyFont="1" applyBorder="1"/>
    <xf numFmtId="0" fontId="14" fillId="0" borderId="28" xfId="0" applyFont="1" applyBorder="1" applyAlignment="1">
      <alignment horizontal="center" vertical="center"/>
    </xf>
    <xf numFmtId="0" fontId="0" fillId="0" borderId="29" xfId="0" applyBorder="1"/>
    <xf numFmtId="0" fontId="0" fillId="0" borderId="23" xfId="0" applyBorder="1"/>
    <xf numFmtId="164" fontId="0" fillId="0" borderId="24" xfId="0" applyNumberFormat="1" applyBorder="1" applyAlignment="1">
      <alignment horizontal="center"/>
    </xf>
    <xf numFmtId="0" fontId="0" fillId="0" borderId="1" xfId="0" applyBorder="1" applyAlignment="1">
      <alignment horizontal="left"/>
    </xf>
    <xf numFmtId="0" fontId="1" fillId="0" borderId="25" xfId="0" applyFont="1" applyBorder="1" applyAlignment="1">
      <alignment horizontal="left"/>
    </xf>
    <xf numFmtId="0" fontId="1" fillId="0" borderId="9" xfId="0" applyFont="1" applyBorder="1" applyAlignment="1">
      <alignment horizontal="left"/>
    </xf>
    <xf numFmtId="0" fontId="1" fillId="0" borderId="26" xfId="0" applyFont="1" applyBorder="1" applyAlignment="1">
      <alignment horizontal="left"/>
    </xf>
    <xf numFmtId="0" fontId="12" fillId="0" borderId="6" xfId="0" applyFont="1" applyBorder="1" applyAlignment="1">
      <alignment horizontal="center"/>
    </xf>
  </cellXfs>
  <cellStyles count="3">
    <cellStyle name="20% - Accent1" xfId="2" builtinId="30"/>
    <cellStyle name="20% - Accent4" xfId="1" builtinId="42"/>
    <cellStyle name="Normal" xfId="0" builtinId="0"/>
  </cellStyles>
  <dxfs count="1">
    <dxf>
      <fill>
        <patternFill>
          <bgColor theme="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Fraction of target at steady-state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535267618768289E-2"/>
          <c:y val="0.17864608504242119"/>
          <c:w val="0.90827275530386786"/>
          <c:h val="0.7248408463866704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Calculator!$B$62:$B$75</c:f>
              <c:strCache>
                <c:ptCount val="14"/>
                <c:pt idx="0">
                  <c:v>Na</c:v>
                </c:pt>
                <c:pt idx="1">
                  <c:v>K</c:v>
                </c:pt>
                <c:pt idx="2">
                  <c:v>S</c:v>
                </c:pt>
                <c:pt idx="3">
                  <c:v>P</c:v>
                </c:pt>
                <c:pt idx="4">
                  <c:v>Ca</c:v>
                </c:pt>
                <c:pt idx="5">
                  <c:v>Mg</c:v>
                </c:pt>
                <c:pt idx="6">
                  <c:v>Zn</c:v>
                </c:pt>
                <c:pt idx="7">
                  <c:v>Ni</c:v>
                </c:pt>
                <c:pt idx="8">
                  <c:v>Mo</c:v>
                </c:pt>
                <c:pt idx="9">
                  <c:v>Mn</c:v>
                </c:pt>
                <c:pt idx="10">
                  <c:v>Fe</c:v>
                </c:pt>
                <c:pt idx="11">
                  <c:v>Cu</c:v>
                </c:pt>
                <c:pt idx="12">
                  <c:v>Co</c:v>
                </c:pt>
                <c:pt idx="13">
                  <c:v>B</c:v>
                </c:pt>
              </c:strCache>
            </c:strRef>
          </c:cat>
          <c:val>
            <c:numRef>
              <c:f>Calculator!$K$62:$K$75</c:f>
              <c:numCache>
                <c:formatCode>0%</c:formatCode>
                <c:ptCount val="14"/>
                <c:pt idx="0">
                  <c:v>1.4247039379207906</c:v>
                </c:pt>
                <c:pt idx="1">
                  <c:v>2.4188244999037023</c:v>
                </c:pt>
                <c:pt idx="2">
                  <c:v>1.0443082674367437</c:v>
                </c:pt>
                <c:pt idx="3">
                  <c:v>1.6696840225784835</c:v>
                </c:pt>
                <c:pt idx="4">
                  <c:v>1.9721584087974762</c:v>
                </c:pt>
                <c:pt idx="5">
                  <c:v>1.2828321448560176</c:v>
                </c:pt>
                <c:pt idx="6">
                  <c:v>1.0029499023755328</c:v>
                </c:pt>
                <c:pt idx="7">
                  <c:v>1.2251496027698847</c:v>
                </c:pt>
                <c:pt idx="8">
                  <c:v>1.0452887372042194</c:v>
                </c:pt>
                <c:pt idx="9">
                  <c:v>1.0079542158002237</c:v>
                </c:pt>
                <c:pt idx="10">
                  <c:v>1.0012373343356258</c:v>
                </c:pt>
                <c:pt idx="11">
                  <c:v>1.0128670178289847</c:v>
                </c:pt>
                <c:pt idx="12">
                  <c:v>1.0478013266391679</c:v>
                </c:pt>
                <c:pt idx="13">
                  <c:v>1.0104237956568525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CC-436F-B278-8C41ADAB4B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9857263"/>
        <c:axId val="919925519"/>
      </c:barChart>
      <c:catAx>
        <c:axId val="1589857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9925519"/>
        <c:crosses val="autoZero"/>
        <c:auto val="1"/>
        <c:lblAlgn val="ctr"/>
        <c:lblOffset val="100"/>
        <c:noMultiLvlLbl val="0"/>
      </c:catAx>
      <c:valAx>
        <c:axId val="919925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98572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1"/>
            <c:dispRSqr val="1"/>
            <c:dispEq val="1"/>
            <c:trendlineLbl>
              <c:layout>
                <c:manualLayout>
                  <c:x val="-0.47108398950131236"/>
                  <c:y val="2.8549868766404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FeedRatio!$F$47:$F$58</c:f>
              <c:numCache>
                <c:formatCode>General</c:formatCode>
                <c:ptCount val="12"/>
                <c:pt idx="0">
                  <c:v>1.0101010101010102E-2</c:v>
                </c:pt>
                <c:pt idx="1">
                  <c:v>2.0408163265306124E-2</c:v>
                </c:pt>
                <c:pt idx="2">
                  <c:v>4.1666666666666671E-2</c:v>
                </c:pt>
                <c:pt idx="3">
                  <c:v>8.6956521739130432E-2</c:v>
                </c:pt>
                <c:pt idx="4">
                  <c:v>0.13636363636363635</c:v>
                </c:pt>
                <c:pt idx="5">
                  <c:v>0.19047619047619049</c:v>
                </c:pt>
                <c:pt idx="6">
                  <c:v>0.25</c:v>
                </c:pt>
                <c:pt idx="7">
                  <c:v>0.31578947368421051</c:v>
                </c:pt>
                <c:pt idx="8">
                  <c:v>0.38888888888888895</c:v>
                </c:pt>
                <c:pt idx="9">
                  <c:v>0.4285714285714286</c:v>
                </c:pt>
                <c:pt idx="10">
                  <c:v>0.66666666666666674</c:v>
                </c:pt>
                <c:pt idx="11">
                  <c:v>1</c:v>
                </c:pt>
              </c:numCache>
            </c:numRef>
          </c:xVal>
          <c:yVal>
            <c:numRef>
              <c:f>FeedRatio!$K$47:$K$58</c:f>
              <c:numCache>
                <c:formatCode>General</c:formatCode>
                <c:ptCount val="12"/>
                <c:pt idx="0">
                  <c:v>1.0089911198691539</c:v>
                </c:pt>
                <c:pt idx="1">
                  <c:v>1.0152304877776401</c:v>
                </c:pt>
                <c:pt idx="2">
                  <c:v>1.028095802079221</c:v>
                </c:pt>
                <c:pt idx="3">
                  <c:v>1.0556050517035354</c:v>
                </c:pt>
                <c:pt idx="4">
                  <c:v>1.0859744231303863</c:v>
                </c:pt>
                <c:pt idx="5">
                  <c:v>1.1196051824284685</c:v>
                </c:pt>
                <c:pt idx="6">
                  <c:v>1.1567647603183417</c:v>
                </c:pt>
                <c:pt idx="7">
                  <c:v>1.1981328297980427</c:v>
                </c:pt>
                <c:pt idx="8">
                  <c:v>1.2444125874822047</c:v>
                </c:pt>
                <c:pt idx="9">
                  <c:v>1.2696155604083084</c:v>
                </c:pt>
                <c:pt idx="10">
                  <c:v>1.4212216821579831</c:v>
                </c:pt>
                <c:pt idx="11">
                  <c:v>1.6354567012838335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0A-4FE1-AC9A-21CCD54643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3338687"/>
        <c:axId val="1003342047"/>
      </c:scatterChart>
      <c:valAx>
        <c:axId val="1003338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</a:t>
                </a:r>
                <a:r>
                  <a:rPr lang="en-GB" baseline="0"/>
                  <a:t> NH</a:t>
                </a:r>
                <a:r>
                  <a:rPr lang="en-GB" baseline="-25000"/>
                  <a:t>4</a:t>
                </a:r>
                <a:r>
                  <a:rPr lang="en-GB" baseline="0"/>
                  <a:t>NO</a:t>
                </a:r>
                <a:r>
                  <a:rPr lang="en-GB" baseline="-25000"/>
                  <a:t>3</a:t>
                </a:r>
                <a:r>
                  <a:rPr lang="en-GB" baseline="0"/>
                  <a:t> </a:t>
                </a:r>
                <a:r>
                  <a:rPr lang="en-GB"/>
                  <a:t>added to 1 mL water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42047"/>
        <c:crosses val="autoZero"/>
        <c:crossBetween val="midCat"/>
      </c:valAx>
      <c:valAx>
        <c:axId val="1003342047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Final volume [mL]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386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5.1326917468649748E-4"/>
                  <c:y val="0.40029424129733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H3PO4Ratio!$H$4:$H$7</c:f>
              <c:numCache>
                <c:formatCode>General</c:formatCode>
                <c:ptCount val="4"/>
                <c:pt idx="0">
                  <c:v>60</c:v>
                </c:pt>
                <c:pt idx="1">
                  <c:v>70</c:v>
                </c:pt>
                <c:pt idx="2">
                  <c:v>80</c:v>
                </c:pt>
                <c:pt idx="3">
                  <c:v>90</c:v>
                </c:pt>
              </c:numCache>
            </c:numRef>
          </c:xVal>
          <c:yVal>
            <c:numRef>
              <c:f>H3PO4Ratio!$I$4:$I$7</c:f>
              <c:numCache>
                <c:formatCode>General</c:formatCode>
                <c:ptCount val="4"/>
                <c:pt idx="0">
                  <c:v>1.4222999999999999</c:v>
                </c:pt>
                <c:pt idx="1">
                  <c:v>1.5202</c:v>
                </c:pt>
                <c:pt idx="2">
                  <c:v>1.6274999999999999</c:v>
                </c:pt>
                <c:pt idx="3">
                  <c:v>1.7438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DC-4790-A115-D66F893797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2199135"/>
        <c:axId val="1322197215"/>
      </c:scatterChart>
      <c:valAx>
        <c:axId val="1322199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Weight%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197215"/>
        <c:crosses val="autoZero"/>
        <c:crossBetween val="midCat"/>
      </c:valAx>
      <c:valAx>
        <c:axId val="1322197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Density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1991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Accumulated</a:t>
            </a:r>
            <a:r>
              <a:rPr lang="en-GB" baseline="0"/>
              <a:t> extracellulat conc </a:t>
            </a:r>
          </a:p>
          <a:p>
            <a:pPr>
              <a:defRPr/>
            </a:pPr>
            <a:r>
              <a:rPr lang="en-GB" baseline="0"/>
              <a:t>at steady-state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Calculator!$B$62:$B$75</c:f>
              <c:strCache>
                <c:ptCount val="14"/>
                <c:pt idx="0">
                  <c:v>Na</c:v>
                </c:pt>
                <c:pt idx="1">
                  <c:v>K</c:v>
                </c:pt>
                <c:pt idx="2">
                  <c:v>S</c:v>
                </c:pt>
                <c:pt idx="3">
                  <c:v>P</c:v>
                </c:pt>
                <c:pt idx="4">
                  <c:v>Ca</c:v>
                </c:pt>
                <c:pt idx="5">
                  <c:v>Mg</c:v>
                </c:pt>
                <c:pt idx="6">
                  <c:v>Zn</c:v>
                </c:pt>
                <c:pt idx="7">
                  <c:v>Ni</c:v>
                </c:pt>
                <c:pt idx="8">
                  <c:v>Mo</c:v>
                </c:pt>
                <c:pt idx="9">
                  <c:v>Mn</c:v>
                </c:pt>
                <c:pt idx="10">
                  <c:v>Fe</c:v>
                </c:pt>
                <c:pt idx="11">
                  <c:v>Cu</c:v>
                </c:pt>
                <c:pt idx="12">
                  <c:v>Co</c:v>
                </c:pt>
                <c:pt idx="13">
                  <c:v>B</c:v>
                </c:pt>
              </c:strCache>
            </c:strRef>
          </c:cat>
          <c:val>
            <c:numRef>
              <c:f>Calculator!$M$62:$M$75</c:f>
              <c:numCache>
                <c:formatCode>#,##0</c:formatCode>
                <c:ptCount val="14"/>
                <c:pt idx="0">
                  <c:v>11505.365623136391</c:v>
                </c:pt>
                <c:pt idx="1">
                  <c:v>51327.843521663817</c:v>
                </c:pt>
                <c:pt idx="2">
                  <c:v>2082.4606548470456</c:v>
                </c:pt>
                <c:pt idx="3">
                  <c:v>51055.778607841108</c:v>
                </c:pt>
                <c:pt idx="4">
                  <c:v>7832.7141845726464</c:v>
                </c:pt>
                <c:pt idx="5">
                  <c:v>4751.3833236632445</c:v>
                </c:pt>
                <c:pt idx="6">
                  <c:v>1.6410292707854377</c:v>
                </c:pt>
                <c:pt idx="7">
                  <c:v>0.5494899974413725</c:v>
                </c:pt>
                <c:pt idx="8">
                  <c:v>1.0817276493218724</c:v>
                </c:pt>
                <c:pt idx="9">
                  <c:v>1.5760682571318789</c:v>
                </c:pt>
                <c:pt idx="10">
                  <c:v>0.69813479482275653</c:v>
                </c:pt>
                <c:pt idx="11">
                  <c:v>0.69602734985123904</c:v>
                </c:pt>
                <c:pt idx="12">
                  <c:v>0.69629279975098057</c:v>
                </c:pt>
                <c:pt idx="13">
                  <c:v>0.60772287996829821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DE-4C21-894D-8EF1CFCA0C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9857263"/>
        <c:axId val="919925519"/>
      </c:barChart>
      <c:catAx>
        <c:axId val="1589857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9925519"/>
        <c:crosses val="autoZero"/>
        <c:auto val="1"/>
        <c:lblAlgn val="ctr"/>
        <c:lblOffset val="100"/>
        <c:noMultiLvlLbl val="0"/>
      </c:catAx>
      <c:valAx>
        <c:axId val="919925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Concentration</a:t>
                </a:r>
                <a:r>
                  <a:rPr lang="en-GB" baseline="0"/>
                  <a:t> [µM]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98572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Accumulated extracellular</a:t>
            </a:r>
            <a:r>
              <a:rPr lang="en-GB" baseline="0"/>
              <a:t> trace elements</a:t>
            </a:r>
          </a:p>
          <a:p>
            <a:pPr>
              <a:defRPr/>
            </a:pPr>
            <a:r>
              <a:rPr lang="en-GB" baseline="0"/>
              <a:t>at steady-state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Calculator!$B$68:$B$75</c:f>
              <c:strCache>
                <c:ptCount val="8"/>
                <c:pt idx="0">
                  <c:v>Zn</c:v>
                </c:pt>
                <c:pt idx="1">
                  <c:v>Ni</c:v>
                </c:pt>
                <c:pt idx="2">
                  <c:v>Mo</c:v>
                </c:pt>
                <c:pt idx="3">
                  <c:v>Mn</c:v>
                </c:pt>
                <c:pt idx="4">
                  <c:v>Fe</c:v>
                </c:pt>
                <c:pt idx="5">
                  <c:v>Cu</c:v>
                </c:pt>
                <c:pt idx="6">
                  <c:v>Co</c:v>
                </c:pt>
                <c:pt idx="7">
                  <c:v>B</c:v>
                </c:pt>
              </c:strCache>
            </c:strRef>
          </c:cat>
          <c:val>
            <c:numRef>
              <c:f>Calculator!$M$68:$M$75</c:f>
              <c:numCache>
                <c:formatCode>#,##0</c:formatCode>
                <c:ptCount val="8"/>
                <c:pt idx="0">
                  <c:v>1.6410292707854377</c:v>
                </c:pt>
                <c:pt idx="1">
                  <c:v>0.5494899974413725</c:v>
                </c:pt>
                <c:pt idx="2">
                  <c:v>1.0817276493218724</c:v>
                </c:pt>
                <c:pt idx="3">
                  <c:v>1.5760682571318789</c:v>
                </c:pt>
                <c:pt idx="4">
                  <c:v>0.69813479482275653</c:v>
                </c:pt>
                <c:pt idx="5">
                  <c:v>0.69602734985123904</c:v>
                </c:pt>
                <c:pt idx="6">
                  <c:v>0.69629279975098057</c:v>
                </c:pt>
                <c:pt idx="7">
                  <c:v>0.60772287996829821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B9-449A-91CA-94B043BEB2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9857263"/>
        <c:axId val="919925519"/>
      </c:barChart>
      <c:catAx>
        <c:axId val="1589857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9925519"/>
        <c:crosses val="autoZero"/>
        <c:auto val="1"/>
        <c:lblAlgn val="ctr"/>
        <c:lblOffset val="100"/>
        <c:noMultiLvlLbl val="0"/>
      </c:catAx>
      <c:valAx>
        <c:axId val="919925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Concentration</a:t>
                </a:r>
                <a:r>
                  <a:rPr lang="en-GB" baseline="0"/>
                  <a:t> [µM]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9857263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Fraction of target at steady-state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535267618768289E-2"/>
          <c:y val="0.17864608504242119"/>
          <c:w val="0.90827275530386786"/>
          <c:h val="0.7248408463866704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Calculator!$B$62:$B$75</c:f>
              <c:strCache>
                <c:ptCount val="14"/>
                <c:pt idx="0">
                  <c:v>Na</c:v>
                </c:pt>
                <c:pt idx="1">
                  <c:v>K</c:v>
                </c:pt>
                <c:pt idx="2">
                  <c:v>S</c:v>
                </c:pt>
                <c:pt idx="3">
                  <c:v>P</c:v>
                </c:pt>
                <c:pt idx="4">
                  <c:v>Ca</c:v>
                </c:pt>
                <c:pt idx="5">
                  <c:v>Mg</c:v>
                </c:pt>
                <c:pt idx="6">
                  <c:v>Zn</c:v>
                </c:pt>
                <c:pt idx="7">
                  <c:v>Ni</c:v>
                </c:pt>
                <c:pt idx="8">
                  <c:v>Mo</c:v>
                </c:pt>
                <c:pt idx="9">
                  <c:v>Mn</c:v>
                </c:pt>
                <c:pt idx="10">
                  <c:v>Fe</c:v>
                </c:pt>
                <c:pt idx="11">
                  <c:v>Cu</c:v>
                </c:pt>
                <c:pt idx="12">
                  <c:v>Co</c:v>
                </c:pt>
                <c:pt idx="13">
                  <c:v>B</c:v>
                </c:pt>
              </c:strCache>
            </c:strRef>
          </c:cat>
          <c:val>
            <c:numRef>
              <c:f>Calculator!$K$62:$K$75</c:f>
              <c:numCache>
                <c:formatCode>0%</c:formatCode>
                <c:ptCount val="14"/>
                <c:pt idx="0">
                  <c:v>1.4247039379207906</c:v>
                </c:pt>
                <c:pt idx="1">
                  <c:v>2.4188244999037023</c:v>
                </c:pt>
                <c:pt idx="2">
                  <c:v>1.0443082674367437</c:v>
                </c:pt>
                <c:pt idx="3">
                  <c:v>1.6696840225784835</c:v>
                </c:pt>
                <c:pt idx="4">
                  <c:v>1.9721584087974762</c:v>
                </c:pt>
                <c:pt idx="5">
                  <c:v>1.2828321448560176</c:v>
                </c:pt>
                <c:pt idx="6">
                  <c:v>1.0029499023755328</c:v>
                </c:pt>
                <c:pt idx="7">
                  <c:v>1.2251496027698847</c:v>
                </c:pt>
                <c:pt idx="8">
                  <c:v>1.0452887372042194</c:v>
                </c:pt>
                <c:pt idx="9">
                  <c:v>1.0079542158002237</c:v>
                </c:pt>
                <c:pt idx="10">
                  <c:v>1.0012373343356258</c:v>
                </c:pt>
                <c:pt idx="11">
                  <c:v>1.0128670178289847</c:v>
                </c:pt>
                <c:pt idx="12">
                  <c:v>1.0478013266391679</c:v>
                </c:pt>
                <c:pt idx="13">
                  <c:v>1.0104237956568525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A4-42B7-AE55-EE37D48C70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9857263"/>
        <c:axId val="919925519"/>
      </c:barChart>
      <c:catAx>
        <c:axId val="1589857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9925519"/>
        <c:crosses val="autoZero"/>
        <c:auto val="1"/>
        <c:lblAlgn val="ctr"/>
        <c:lblOffset val="100"/>
        <c:noMultiLvlLbl val="0"/>
      </c:catAx>
      <c:valAx>
        <c:axId val="919925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98572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Accumulated</a:t>
            </a:r>
            <a:r>
              <a:rPr lang="en-GB" baseline="0"/>
              <a:t> extracellulat conc </a:t>
            </a:r>
          </a:p>
          <a:p>
            <a:pPr>
              <a:defRPr/>
            </a:pPr>
            <a:r>
              <a:rPr lang="en-GB" baseline="0"/>
              <a:t>at steady-state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Calculator!$B$62:$B$75</c:f>
              <c:strCache>
                <c:ptCount val="14"/>
                <c:pt idx="0">
                  <c:v>Na</c:v>
                </c:pt>
                <c:pt idx="1">
                  <c:v>K</c:v>
                </c:pt>
                <c:pt idx="2">
                  <c:v>S</c:v>
                </c:pt>
                <c:pt idx="3">
                  <c:v>P</c:v>
                </c:pt>
                <c:pt idx="4">
                  <c:v>Ca</c:v>
                </c:pt>
                <c:pt idx="5">
                  <c:v>Mg</c:v>
                </c:pt>
                <c:pt idx="6">
                  <c:v>Zn</c:v>
                </c:pt>
                <c:pt idx="7">
                  <c:v>Ni</c:v>
                </c:pt>
                <c:pt idx="8">
                  <c:v>Mo</c:v>
                </c:pt>
                <c:pt idx="9">
                  <c:v>Mn</c:v>
                </c:pt>
                <c:pt idx="10">
                  <c:v>Fe</c:v>
                </c:pt>
                <c:pt idx="11">
                  <c:v>Cu</c:v>
                </c:pt>
                <c:pt idx="12">
                  <c:v>Co</c:v>
                </c:pt>
                <c:pt idx="13">
                  <c:v>B</c:v>
                </c:pt>
              </c:strCache>
            </c:strRef>
          </c:cat>
          <c:val>
            <c:numRef>
              <c:f>Calculator!$M$62:$M$75</c:f>
              <c:numCache>
                <c:formatCode>#,##0</c:formatCode>
                <c:ptCount val="14"/>
                <c:pt idx="0">
                  <c:v>11505.365623136391</c:v>
                </c:pt>
                <c:pt idx="1">
                  <c:v>51327.843521663817</c:v>
                </c:pt>
                <c:pt idx="2">
                  <c:v>2082.4606548470456</c:v>
                </c:pt>
                <c:pt idx="3">
                  <c:v>51055.778607841108</c:v>
                </c:pt>
                <c:pt idx="4">
                  <c:v>7832.7141845726464</c:v>
                </c:pt>
                <c:pt idx="5">
                  <c:v>4751.3833236632445</c:v>
                </c:pt>
                <c:pt idx="6">
                  <c:v>1.6410292707854377</c:v>
                </c:pt>
                <c:pt idx="7">
                  <c:v>0.5494899974413725</c:v>
                </c:pt>
                <c:pt idx="8">
                  <c:v>1.0817276493218724</c:v>
                </c:pt>
                <c:pt idx="9">
                  <c:v>1.5760682571318789</c:v>
                </c:pt>
                <c:pt idx="10">
                  <c:v>0.69813479482275653</c:v>
                </c:pt>
                <c:pt idx="11">
                  <c:v>0.69602734985123904</c:v>
                </c:pt>
                <c:pt idx="12">
                  <c:v>0.69629279975098057</c:v>
                </c:pt>
                <c:pt idx="13">
                  <c:v>0.60772287996829821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27-41D5-9227-EE572A3801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9857263"/>
        <c:axId val="919925519"/>
      </c:barChart>
      <c:catAx>
        <c:axId val="1589857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9925519"/>
        <c:crosses val="autoZero"/>
        <c:auto val="1"/>
        <c:lblAlgn val="ctr"/>
        <c:lblOffset val="100"/>
        <c:noMultiLvlLbl val="0"/>
      </c:catAx>
      <c:valAx>
        <c:axId val="919925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Concentration</a:t>
                </a:r>
                <a:r>
                  <a:rPr lang="en-GB" baseline="0"/>
                  <a:t> [µM]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98572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Accumulated extracellular</a:t>
            </a:r>
            <a:r>
              <a:rPr lang="en-GB" baseline="0"/>
              <a:t> trace elements</a:t>
            </a:r>
          </a:p>
          <a:p>
            <a:pPr>
              <a:defRPr/>
            </a:pPr>
            <a:r>
              <a:rPr lang="en-GB" baseline="0"/>
              <a:t>at steady-state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Calculator!$B$68:$B$75</c:f>
              <c:strCache>
                <c:ptCount val="8"/>
                <c:pt idx="0">
                  <c:v>Zn</c:v>
                </c:pt>
                <c:pt idx="1">
                  <c:v>Ni</c:v>
                </c:pt>
                <c:pt idx="2">
                  <c:v>Mo</c:v>
                </c:pt>
                <c:pt idx="3">
                  <c:v>Mn</c:v>
                </c:pt>
                <c:pt idx="4">
                  <c:v>Fe</c:v>
                </c:pt>
                <c:pt idx="5">
                  <c:v>Cu</c:v>
                </c:pt>
                <c:pt idx="6">
                  <c:v>Co</c:v>
                </c:pt>
                <c:pt idx="7">
                  <c:v>B</c:v>
                </c:pt>
              </c:strCache>
            </c:strRef>
          </c:cat>
          <c:val>
            <c:numRef>
              <c:f>Calculator!$M$68:$M$75</c:f>
              <c:numCache>
                <c:formatCode>#,##0</c:formatCode>
                <c:ptCount val="8"/>
                <c:pt idx="0">
                  <c:v>1.6410292707854377</c:v>
                </c:pt>
                <c:pt idx="1">
                  <c:v>0.5494899974413725</c:v>
                </c:pt>
                <c:pt idx="2">
                  <c:v>1.0817276493218724</c:v>
                </c:pt>
                <c:pt idx="3">
                  <c:v>1.5760682571318789</c:v>
                </c:pt>
                <c:pt idx="4">
                  <c:v>0.69813479482275653</c:v>
                </c:pt>
                <c:pt idx="5">
                  <c:v>0.69602734985123904</c:v>
                </c:pt>
                <c:pt idx="6">
                  <c:v>0.69629279975098057</c:v>
                </c:pt>
                <c:pt idx="7">
                  <c:v>0.60772287996829821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78-435B-9FC1-EBD523D7B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9857263"/>
        <c:axId val="919925519"/>
      </c:barChart>
      <c:catAx>
        <c:axId val="1589857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9925519"/>
        <c:crosses val="autoZero"/>
        <c:auto val="1"/>
        <c:lblAlgn val="ctr"/>
        <c:lblOffset val="100"/>
        <c:noMultiLvlLbl val="0"/>
      </c:catAx>
      <c:valAx>
        <c:axId val="919925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Concentration</a:t>
                </a:r>
                <a:r>
                  <a:rPr lang="en-GB" baseline="0"/>
                  <a:t> [µM]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98572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Eq 2: L H2O per Kg HNO3  as a function of MHNO3, 2-5 M only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2.2407302790668705E-2"/>
                  <c:y val="8.6819831940570288E-2"/>
                </c:manualLayout>
              </c:layout>
              <c:numFmt formatCode="#,##0.0000000" sourceLinked="0"/>
              <c:spPr>
                <a:solidFill>
                  <a:schemeClr val="bg1">
                    <a:lumMod val="9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AcidRatio!$O$24:$O$41</c:f>
              <c:numCache>
                <c:formatCode>General</c:formatCode>
                <c:ptCount val="18"/>
                <c:pt idx="0">
                  <c:v>2.0286666666666666</c:v>
                </c:pt>
                <c:pt idx="1">
                  <c:v>2.2100000000000004</c:v>
                </c:pt>
                <c:pt idx="2">
                  <c:v>2.3932222222222226</c:v>
                </c:pt>
                <c:pt idx="3">
                  <c:v>2.5785714285714287</c:v>
                </c:pt>
                <c:pt idx="4">
                  <c:v>2.7659682539682544</c:v>
                </c:pt>
                <c:pt idx="5">
                  <c:v>2.9553015873015882</c:v>
                </c:pt>
                <c:pt idx="6">
                  <c:v>3.1467142857142858</c:v>
                </c:pt>
                <c:pt idx="7">
                  <c:v>3.3400793650793652</c:v>
                </c:pt>
                <c:pt idx="8">
                  <c:v>3.5353968253968255</c:v>
                </c:pt>
                <c:pt idx="9">
                  <c:v>3.7329999999999997</c:v>
                </c:pt>
                <c:pt idx="10">
                  <c:v>3.9325873015873016</c:v>
                </c:pt>
                <c:pt idx="11">
                  <c:v>4.1345238095238086</c:v>
                </c:pt>
                <c:pt idx="12">
                  <c:v>4.3386666666666658</c:v>
                </c:pt>
                <c:pt idx="13">
                  <c:v>4.5450396825396835</c:v>
                </c:pt>
                <c:pt idx="14">
                  <c:v>4.7534603174603181</c:v>
                </c:pt>
                <c:pt idx="15">
                  <c:v>4.9641428571428579</c:v>
                </c:pt>
                <c:pt idx="16">
                  <c:v>5.1771111111111114</c:v>
                </c:pt>
                <c:pt idx="17">
                  <c:v>5.3926190476190472</c:v>
                </c:pt>
              </c:numCache>
            </c:numRef>
          </c:xVal>
          <c:yVal>
            <c:numRef>
              <c:f>AcidRatio!$P$24:$P$41</c:f>
              <c:numCache>
                <c:formatCode>0.000000000</c:formatCode>
                <c:ptCount val="18"/>
                <c:pt idx="0">
                  <c:v>7.3333333333333339</c:v>
                </c:pt>
                <c:pt idx="1">
                  <c:v>6.6923076923076916</c:v>
                </c:pt>
                <c:pt idx="2">
                  <c:v>6.1428571428571423</c:v>
                </c:pt>
                <c:pt idx="3">
                  <c:v>5.666666666666667</c:v>
                </c:pt>
                <c:pt idx="4">
                  <c:v>5.25</c:v>
                </c:pt>
                <c:pt idx="5">
                  <c:v>4.8823529411764701</c:v>
                </c:pt>
                <c:pt idx="6">
                  <c:v>4.5555555555555562</c:v>
                </c:pt>
                <c:pt idx="7">
                  <c:v>4.2631578947368416</c:v>
                </c:pt>
                <c:pt idx="8">
                  <c:v>4</c:v>
                </c:pt>
                <c:pt idx="9">
                  <c:v>3.7619047619047623</c:v>
                </c:pt>
                <c:pt idx="10">
                  <c:v>3.5454545454545454</c:v>
                </c:pt>
                <c:pt idx="11">
                  <c:v>3.347826086956522</c:v>
                </c:pt>
                <c:pt idx="12">
                  <c:v>3.166666666666667</c:v>
                </c:pt>
                <c:pt idx="13">
                  <c:v>3</c:v>
                </c:pt>
                <c:pt idx="14">
                  <c:v>2.8461538461538458</c:v>
                </c:pt>
                <c:pt idx="15">
                  <c:v>2.7037037037037033</c:v>
                </c:pt>
                <c:pt idx="16">
                  <c:v>2.5714285714285712</c:v>
                </c:pt>
                <c:pt idx="17">
                  <c:v>2.4482758620689657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36-440F-800A-85BC4F7C6B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3980687"/>
        <c:axId val="533977807"/>
      </c:scatterChart>
      <c:valAx>
        <c:axId val="533980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 HNO3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977807"/>
        <c:crosses val="autoZero"/>
        <c:crossBetween val="midCat"/>
      </c:valAx>
      <c:valAx>
        <c:axId val="533977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 H2O kg-1 HNO3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9806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Eq 1: density as a function of % HNO3 (W/W)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0.12553857628730869"/>
                  <c:y val="0.58424413571368761"/>
                </c:manualLayout>
              </c:layout>
              <c:numFmt formatCode="#,##0.00000000" sourceLinked="0"/>
              <c:spPr>
                <a:solidFill>
                  <a:schemeClr val="bg1">
                    <a:lumMod val="9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AcidRatio!$B$24:$B$80</c:f>
              <c:numCache>
                <c:formatCode>0.00</c:formatCode>
                <c:ptCount val="57"/>
                <c:pt idx="0">
                  <c:v>0.12</c:v>
                </c:pt>
                <c:pt idx="1">
                  <c:v>0.13</c:v>
                </c:pt>
                <c:pt idx="2">
                  <c:v>0.14000000000000001</c:v>
                </c:pt>
                <c:pt idx="3">
                  <c:v>0.15</c:v>
                </c:pt>
                <c:pt idx="4">
                  <c:v>0.16</c:v>
                </c:pt>
                <c:pt idx="5">
                  <c:v>0.17</c:v>
                </c:pt>
                <c:pt idx="6">
                  <c:v>0.18</c:v>
                </c:pt>
                <c:pt idx="7">
                  <c:v>0.19</c:v>
                </c:pt>
                <c:pt idx="8">
                  <c:v>0.2</c:v>
                </c:pt>
                <c:pt idx="9">
                  <c:v>0.21</c:v>
                </c:pt>
                <c:pt idx="10">
                  <c:v>0.22</c:v>
                </c:pt>
                <c:pt idx="11">
                  <c:v>0.23</c:v>
                </c:pt>
                <c:pt idx="12">
                  <c:v>0.24</c:v>
                </c:pt>
                <c:pt idx="13">
                  <c:v>0.25</c:v>
                </c:pt>
                <c:pt idx="14">
                  <c:v>0.26</c:v>
                </c:pt>
                <c:pt idx="15">
                  <c:v>0.27</c:v>
                </c:pt>
                <c:pt idx="16">
                  <c:v>0.28000000000000003</c:v>
                </c:pt>
                <c:pt idx="17">
                  <c:v>0.28999999999999998</c:v>
                </c:pt>
                <c:pt idx="18">
                  <c:v>0.3</c:v>
                </c:pt>
                <c:pt idx="19">
                  <c:v>0.31</c:v>
                </c:pt>
                <c:pt idx="20">
                  <c:v>0.32</c:v>
                </c:pt>
                <c:pt idx="21">
                  <c:v>0.33</c:v>
                </c:pt>
                <c:pt idx="22">
                  <c:v>0.34</c:v>
                </c:pt>
                <c:pt idx="23">
                  <c:v>0.35</c:v>
                </c:pt>
                <c:pt idx="24">
                  <c:v>0.36</c:v>
                </c:pt>
                <c:pt idx="25">
                  <c:v>0.37</c:v>
                </c:pt>
                <c:pt idx="26">
                  <c:v>0.38</c:v>
                </c:pt>
                <c:pt idx="27">
                  <c:v>0.39</c:v>
                </c:pt>
                <c:pt idx="28">
                  <c:v>0.4</c:v>
                </c:pt>
                <c:pt idx="29">
                  <c:v>0.41</c:v>
                </c:pt>
                <c:pt idx="30">
                  <c:v>0.42</c:v>
                </c:pt>
                <c:pt idx="31">
                  <c:v>0.43</c:v>
                </c:pt>
                <c:pt idx="32">
                  <c:v>0.44</c:v>
                </c:pt>
                <c:pt idx="33">
                  <c:v>0.45</c:v>
                </c:pt>
                <c:pt idx="34">
                  <c:v>0.46</c:v>
                </c:pt>
                <c:pt idx="35">
                  <c:v>0.47</c:v>
                </c:pt>
                <c:pt idx="36">
                  <c:v>0.48</c:v>
                </c:pt>
                <c:pt idx="37">
                  <c:v>0.49</c:v>
                </c:pt>
                <c:pt idx="38">
                  <c:v>0.5</c:v>
                </c:pt>
                <c:pt idx="39">
                  <c:v>0.51</c:v>
                </c:pt>
                <c:pt idx="40">
                  <c:v>0.52</c:v>
                </c:pt>
                <c:pt idx="41">
                  <c:v>0.53</c:v>
                </c:pt>
                <c:pt idx="42">
                  <c:v>0.54</c:v>
                </c:pt>
                <c:pt idx="43">
                  <c:v>0.55000000000000004</c:v>
                </c:pt>
                <c:pt idx="44">
                  <c:v>0.56000000000000005</c:v>
                </c:pt>
                <c:pt idx="45">
                  <c:v>0.56999999999999995</c:v>
                </c:pt>
                <c:pt idx="46">
                  <c:v>0.57999999999999996</c:v>
                </c:pt>
                <c:pt idx="47">
                  <c:v>0.59</c:v>
                </c:pt>
                <c:pt idx="48">
                  <c:v>0.6</c:v>
                </c:pt>
                <c:pt idx="49">
                  <c:v>0.61</c:v>
                </c:pt>
                <c:pt idx="50">
                  <c:v>0.62</c:v>
                </c:pt>
                <c:pt idx="51">
                  <c:v>0.63</c:v>
                </c:pt>
                <c:pt idx="52">
                  <c:v>0.64</c:v>
                </c:pt>
                <c:pt idx="53">
                  <c:v>0.65</c:v>
                </c:pt>
                <c:pt idx="54">
                  <c:v>0.66</c:v>
                </c:pt>
                <c:pt idx="55">
                  <c:v>0.67</c:v>
                </c:pt>
                <c:pt idx="56">
                  <c:v>0.68</c:v>
                </c:pt>
              </c:numCache>
            </c:numRef>
          </c:xVal>
          <c:yVal>
            <c:numRef>
              <c:f>AcidRatio!$J$24:$J$80</c:f>
              <c:numCache>
                <c:formatCode>General</c:formatCode>
                <c:ptCount val="57"/>
                <c:pt idx="0">
                  <c:v>1.0650500000000001</c:v>
                </c:pt>
                <c:pt idx="1">
                  <c:v>1.0710000000000002</c:v>
                </c:pt>
                <c:pt idx="2">
                  <c:v>1.0769500000000001</c:v>
                </c:pt>
                <c:pt idx="3">
                  <c:v>1.0830000000000002</c:v>
                </c:pt>
                <c:pt idx="4">
                  <c:v>1.0891000000000002</c:v>
                </c:pt>
                <c:pt idx="5">
                  <c:v>1.0952000000000002</c:v>
                </c:pt>
                <c:pt idx="6">
                  <c:v>1.1013500000000001</c:v>
                </c:pt>
                <c:pt idx="7">
                  <c:v>1.1074999999999999</c:v>
                </c:pt>
                <c:pt idx="8">
                  <c:v>1.11365</c:v>
                </c:pt>
                <c:pt idx="9">
                  <c:v>1.1198999999999999</c:v>
                </c:pt>
                <c:pt idx="10">
                  <c:v>1.12615</c:v>
                </c:pt>
                <c:pt idx="11">
                  <c:v>1.1324999999999998</c:v>
                </c:pt>
                <c:pt idx="12">
                  <c:v>1.1389</c:v>
                </c:pt>
                <c:pt idx="13">
                  <c:v>1.1453500000000001</c:v>
                </c:pt>
                <c:pt idx="14">
                  <c:v>1.1517999999999999</c:v>
                </c:pt>
                <c:pt idx="15">
                  <c:v>1.1583000000000001</c:v>
                </c:pt>
                <c:pt idx="16">
                  <c:v>1.1648499999999999</c:v>
                </c:pt>
                <c:pt idx="17">
                  <c:v>1.1715</c:v>
                </c:pt>
                <c:pt idx="18">
                  <c:v>1.17815</c:v>
                </c:pt>
                <c:pt idx="19">
                  <c:v>1.1848000000000001</c:v>
                </c:pt>
                <c:pt idx="20">
                  <c:v>1.1915</c:v>
                </c:pt>
                <c:pt idx="21">
                  <c:v>1.1982499999999998</c:v>
                </c:pt>
                <c:pt idx="22">
                  <c:v>1.20505</c:v>
                </c:pt>
                <c:pt idx="23">
                  <c:v>1.2119</c:v>
                </c:pt>
                <c:pt idx="24">
                  <c:v>1.2183999999999999</c:v>
                </c:pt>
                <c:pt idx="25">
                  <c:v>1.22485</c:v>
                </c:pt>
                <c:pt idx="26">
                  <c:v>1.2313000000000001</c:v>
                </c:pt>
                <c:pt idx="27">
                  <c:v>1.2376499999999999</c:v>
                </c:pt>
                <c:pt idx="28">
                  <c:v>1.244</c:v>
                </c:pt>
                <c:pt idx="29">
                  <c:v>1.2503500000000001</c:v>
                </c:pt>
                <c:pt idx="30">
                  <c:v>1.2566999999999999</c:v>
                </c:pt>
                <c:pt idx="31">
                  <c:v>1.26305</c:v>
                </c:pt>
                <c:pt idx="32">
                  <c:v>1.2694000000000001</c:v>
                </c:pt>
                <c:pt idx="33">
                  <c:v>1.2757499999999999</c:v>
                </c:pt>
                <c:pt idx="34">
                  <c:v>1.2821</c:v>
                </c:pt>
                <c:pt idx="35">
                  <c:v>1.2884500000000001</c:v>
                </c:pt>
                <c:pt idx="36">
                  <c:v>1.2948</c:v>
                </c:pt>
                <c:pt idx="37">
                  <c:v>1.3012000000000001</c:v>
                </c:pt>
                <c:pt idx="38">
                  <c:v>1.30715</c:v>
                </c:pt>
                <c:pt idx="39">
                  <c:v>1.3130999999999999</c:v>
                </c:pt>
                <c:pt idx="40">
                  <c:v>1.3189500000000001</c:v>
                </c:pt>
                <c:pt idx="41">
                  <c:v>1.3248000000000002</c:v>
                </c:pt>
                <c:pt idx="42">
                  <c:v>1.3305499999999999</c:v>
                </c:pt>
                <c:pt idx="43">
                  <c:v>1.3361999999999998</c:v>
                </c:pt>
                <c:pt idx="44">
                  <c:v>1.34175</c:v>
                </c:pt>
                <c:pt idx="45">
                  <c:v>1.3473000000000002</c:v>
                </c:pt>
                <c:pt idx="46">
                  <c:v>1.3527499999999999</c:v>
                </c:pt>
                <c:pt idx="47">
                  <c:v>1.3580999999999999</c:v>
                </c:pt>
                <c:pt idx="48">
                  <c:v>1.3633500000000001</c:v>
                </c:pt>
                <c:pt idx="49">
                  <c:v>1.3685</c:v>
                </c:pt>
                <c:pt idx="50">
                  <c:v>1.3734500000000001</c:v>
                </c:pt>
                <c:pt idx="51">
                  <c:v>1.3782999999999999</c:v>
                </c:pt>
                <c:pt idx="52">
                  <c:v>1.3830499999999999</c:v>
                </c:pt>
                <c:pt idx="53">
                  <c:v>1.3877000000000002</c:v>
                </c:pt>
                <c:pt idx="54">
                  <c:v>1.3923000000000001</c:v>
                </c:pt>
                <c:pt idx="55">
                  <c:v>1.3968</c:v>
                </c:pt>
                <c:pt idx="56">
                  <c:v>1.4012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661-4A3E-90AF-F53F5FE373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319487"/>
        <c:axId val="94319967"/>
      </c:scatterChart>
      <c:valAx>
        <c:axId val="94319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 fraction HNO3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19967"/>
        <c:crosses val="autoZero"/>
        <c:crossBetween val="midCat"/>
      </c:valAx>
      <c:valAx>
        <c:axId val="94319967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density (Kg L-1)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194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1"/>
            <c:dispRSqr val="1"/>
            <c:dispEq val="1"/>
            <c:trendlineLbl>
              <c:layout>
                <c:manualLayout>
                  <c:x val="-0.47108398950131236"/>
                  <c:y val="2.8549868766404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FeedRatio!$G$18:$G$26</c:f>
              <c:numCache>
                <c:formatCode>0.0000</c:formatCode>
                <c:ptCount val="9"/>
                <c:pt idx="0">
                  <c:v>0</c:v>
                </c:pt>
                <c:pt idx="1">
                  <c:v>1.0101010101010102E-2</c:v>
                </c:pt>
                <c:pt idx="2">
                  <c:v>5.2631578947368425E-2</c:v>
                </c:pt>
                <c:pt idx="3">
                  <c:v>0.11111111111111112</c:v>
                </c:pt>
                <c:pt idx="4">
                  <c:v>0.25</c:v>
                </c:pt>
                <c:pt idx="5">
                  <c:v>0.4285714285714286</c:v>
                </c:pt>
                <c:pt idx="6">
                  <c:v>0.66666666666666674</c:v>
                </c:pt>
                <c:pt idx="7">
                  <c:v>1</c:v>
                </c:pt>
                <c:pt idx="8">
                  <c:v>1.4999999999999998</c:v>
                </c:pt>
              </c:numCache>
            </c:numRef>
          </c:xVal>
          <c:yVal>
            <c:numRef>
              <c:f>FeedRatio!$L$18:$L$26</c:f>
              <c:numCache>
                <c:formatCode>General</c:formatCode>
                <c:ptCount val="9"/>
                <c:pt idx="0">
                  <c:v>1</c:v>
                </c:pt>
                <c:pt idx="1">
                  <c:v>1.0080848404201699</c:v>
                </c:pt>
                <c:pt idx="2">
                  <c:v>1.034527350316824</c:v>
                </c:pt>
                <c:pt idx="3">
                  <c:v>1.07095046854083</c:v>
                </c:pt>
                <c:pt idx="4">
                  <c:v>1.1577289987959618</c:v>
                </c:pt>
                <c:pt idx="5">
                  <c:v>1.2687135244861711</c:v>
                </c:pt>
                <c:pt idx="6">
                  <c:v>1.4215853519845332</c:v>
                </c:pt>
                <c:pt idx="7">
                  <c:v>1.6346546791990191</c:v>
                </c:pt>
                <c:pt idx="8">
                  <c:v>1.9541936996795122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0B-46BB-817C-EBF0036501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3338687"/>
        <c:axId val="1003342047"/>
      </c:scatterChart>
      <c:valAx>
        <c:axId val="1003338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</a:t>
                </a:r>
                <a:r>
                  <a:rPr lang="en-GB" baseline="0"/>
                  <a:t> glucose </a:t>
                </a:r>
                <a:r>
                  <a:rPr lang="en-GB"/>
                  <a:t>added to 1 mL water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42047"/>
        <c:crosses val="autoZero"/>
        <c:crossBetween val="midCat"/>
      </c:valAx>
      <c:valAx>
        <c:axId val="1003342047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Final volume [mL]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386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756444</xdr:colOff>
      <xdr:row>76</xdr:row>
      <xdr:rowOff>1</xdr:rowOff>
    </xdr:from>
    <xdr:to>
      <xdr:col>10</xdr:col>
      <xdr:colOff>713581</xdr:colOff>
      <xdr:row>90</xdr:row>
      <xdr:rowOff>68263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AA246B7-D5E9-43C0-91BE-6AF3E27EF3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738188</xdr:colOff>
      <xdr:row>75</xdr:row>
      <xdr:rowOff>103188</xdr:rowOff>
    </xdr:from>
    <xdr:to>
      <xdr:col>15</xdr:col>
      <xdr:colOff>576263</xdr:colOff>
      <xdr:row>89</xdr:row>
      <xdr:rowOff>173038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5FCA2F0-0AFF-4E90-82F3-02FE788851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611187</xdr:colOff>
      <xdr:row>75</xdr:row>
      <xdr:rowOff>119062</xdr:rowOff>
    </xdr:from>
    <xdr:to>
      <xdr:col>19</xdr:col>
      <xdr:colOff>306388</xdr:colOff>
      <xdr:row>90</xdr:row>
      <xdr:rowOff>6349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E317AAF-326B-4AE4-BA74-F280EC5872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884464</xdr:colOff>
      <xdr:row>30</xdr:row>
      <xdr:rowOff>61233</xdr:rowOff>
    </xdr:from>
    <xdr:to>
      <xdr:col>17</xdr:col>
      <xdr:colOff>59191</xdr:colOff>
      <xdr:row>43</xdr:row>
      <xdr:rowOff>4763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E4D3BB62-8E7E-4C8B-A9E6-ECEBCB850D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282503</xdr:colOff>
      <xdr:row>29</xdr:row>
      <xdr:rowOff>194236</xdr:rowOff>
    </xdr:from>
    <xdr:to>
      <xdr:col>21</xdr:col>
      <xdr:colOff>460756</xdr:colOff>
      <xdr:row>42</xdr:row>
      <xdr:rowOff>125013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D78E2FE9-988D-4A7C-A9FE-E22C40849B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518091</xdr:colOff>
      <xdr:row>30</xdr:row>
      <xdr:rowOff>15874</xdr:rowOff>
    </xdr:from>
    <xdr:to>
      <xdr:col>29</xdr:col>
      <xdr:colOff>139587</xdr:colOff>
      <xdr:row>42</xdr:row>
      <xdr:rowOff>169635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9AB23920-AB0F-4F23-A138-B37D963337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1392115</xdr:colOff>
      <xdr:row>37</xdr:row>
      <xdr:rowOff>46405</xdr:rowOff>
    </xdr:from>
    <xdr:to>
      <xdr:col>22</xdr:col>
      <xdr:colOff>446942</xdr:colOff>
      <xdr:row>58</xdr:row>
      <xdr:rowOff>95251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C9D9CE18-0B76-AEDC-E5B1-C3B29B4D9E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1251683</xdr:colOff>
      <xdr:row>13</xdr:row>
      <xdr:rowOff>178287</xdr:rowOff>
    </xdr:from>
    <xdr:to>
      <xdr:col>22</xdr:col>
      <xdr:colOff>288193</xdr:colOff>
      <xdr:row>36</xdr:row>
      <xdr:rowOff>153864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11445A20-7990-4218-8560-353EA987EE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200025</xdr:colOff>
      <xdr:row>4</xdr:row>
      <xdr:rowOff>123825</xdr:rowOff>
    </xdr:from>
    <xdr:to>
      <xdr:col>16</xdr:col>
      <xdr:colOff>52387</xdr:colOff>
      <xdr:row>13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0ECBD4-34BE-6B7D-FAF1-FD43AFC723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114300</xdr:colOff>
      <xdr:row>46</xdr:row>
      <xdr:rowOff>57150</xdr:rowOff>
    </xdr:from>
    <xdr:to>
      <xdr:col>18</xdr:col>
      <xdr:colOff>242887</xdr:colOff>
      <xdr:row>55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D214C34-55DE-4CB2-8903-04D39D1F90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</xdr:colOff>
      <xdr:row>8</xdr:row>
      <xdr:rowOff>138112</xdr:rowOff>
    </xdr:from>
    <xdr:to>
      <xdr:col>12</xdr:col>
      <xdr:colOff>104775</xdr:colOff>
      <xdr:row>20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EFCCB9-44CC-A632-2B68-58CAE5BFA7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Lars Bakken" id="{66142E26-CDF1-454B-BC68-7BAB43F01A12}" userId="S::lars.bakken@nmbu.no::a345ee4d-4bb1-48f5-aa05-50785dba8c71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L60" dT="2025-05-07T18:45:48.52" personId="{66142E26-CDF1-454B-BC68-7BAB43F01A12}" id="{B5C52630-6C8A-4209-8F44-AAD54C9604CC}">
    <text xml:space="preserve">Estimated amounts accumulated pr L H2O (including H2O in cells!)
</text>
  </threadedComment>
  <threadedComment ref="M60" dT="2025-05-07T18:46:19.37" personId="{66142E26-CDF1-454B-BC68-7BAB43F01A12}" id="{343258B8-24F1-4F31-AA64-9B1BB9FC838A}">
    <text>This is the estimated extracellular concentration</text>
  </threadedComment>
</ThreadedComments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525" row="2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6F33E178-6F95-45CC-BBE2-F0D172468983}">
  <we:reference id="wa104100404" version="3.0.0.1" store="en-US" storeType="OMEX"/>
  <we:alternateReferences>
    <we:reference id="wa104100404" version="3.0.0.1" store="WA104100404" storeType="OMEX"/>
  </we:alternateReferences>
  <we:properties>
    <we:property name="UniqueID" value="&quot;2025471746614435961&quot;"/>
  </we:properties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CB2E6-D78A-41A0-8EFF-C1AC76DB4838}">
  <dimension ref="A1:U81"/>
  <sheetViews>
    <sheetView tabSelected="1" zoomScaleNormal="100" workbookViewId="0">
      <selection activeCell="H16" sqref="H16"/>
    </sheetView>
  </sheetViews>
  <sheetFormatPr defaultRowHeight="15" x14ac:dyDescent="0.25"/>
  <cols>
    <col min="2" max="2" width="19.85546875" customWidth="1"/>
    <col min="3" max="3" width="12.28515625" customWidth="1"/>
    <col min="4" max="4" width="14.5703125" customWidth="1"/>
    <col min="5" max="5" width="16" customWidth="1"/>
    <col min="6" max="6" width="15.42578125" customWidth="1"/>
    <col min="7" max="7" width="27.28515625" customWidth="1"/>
    <col min="8" max="8" width="19" customWidth="1"/>
    <col min="9" max="9" width="22.42578125" customWidth="1"/>
    <col min="10" max="10" width="20" customWidth="1"/>
    <col min="11" max="11" width="15.85546875" customWidth="1"/>
    <col min="12" max="12" width="21.42578125" customWidth="1"/>
    <col min="13" max="13" width="16.28515625" customWidth="1"/>
    <col min="14" max="14" width="13.42578125" customWidth="1"/>
    <col min="15" max="15" width="11.28515625" customWidth="1"/>
    <col min="16" max="17" width="17.140625" customWidth="1"/>
    <col min="18" max="18" width="11.42578125" customWidth="1"/>
    <col min="19" max="19" width="33.140625" customWidth="1"/>
    <col min="21" max="21" width="18.85546875" bestFit="1" customWidth="1"/>
    <col min="22" max="22" width="13.5703125" customWidth="1"/>
    <col min="24" max="24" width="14" customWidth="1"/>
  </cols>
  <sheetData>
    <row r="1" spans="1:21" ht="18.75" x14ac:dyDescent="0.3">
      <c r="A1" s="34" t="s">
        <v>49</v>
      </c>
    </row>
    <row r="3" spans="1:21" x14ac:dyDescent="0.25">
      <c r="B3" s="1" t="s">
        <v>50</v>
      </c>
      <c r="G3" s="1" t="s">
        <v>51</v>
      </c>
      <c r="H3" s="1"/>
      <c r="I3" s="1"/>
      <c r="J3" s="1"/>
      <c r="L3" s="1" t="s">
        <v>58</v>
      </c>
      <c r="M3" s="1"/>
      <c r="N3" s="1"/>
      <c r="S3" s="105"/>
      <c r="T3" s="106"/>
      <c r="U3" s="106"/>
    </row>
    <row r="4" spans="1:21" ht="18" x14ac:dyDescent="0.35">
      <c r="B4" s="35" t="s">
        <v>53</v>
      </c>
      <c r="C4" s="77">
        <v>0.37</v>
      </c>
      <c r="D4" s="36" t="s">
        <v>54</v>
      </c>
      <c r="E4" s="4"/>
      <c r="G4" s="35" t="s">
        <v>221</v>
      </c>
      <c r="H4" s="71">
        <f>C4*(O28*6)</f>
        <v>6.5549533927507628</v>
      </c>
      <c r="I4" s="4" t="s">
        <v>55</v>
      </c>
      <c r="L4" s="199" t="s">
        <v>174</v>
      </c>
      <c r="M4" s="160"/>
      <c r="N4" s="161"/>
      <c r="S4" s="106"/>
      <c r="T4" s="107"/>
      <c r="U4" s="106"/>
    </row>
    <row r="5" spans="1:21" ht="18" x14ac:dyDescent="0.35">
      <c r="B5" s="5" t="s">
        <v>59</v>
      </c>
      <c r="C5" s="80">
        <v>1</v>
      </c>
      <c r="D5" t="s">
        <v>157</v>
      </c>
      <c r="E5" s="6"/>
      <c r="G5" s="5" t="s">
        <v>60</v>
      </c>
      <c r="H5" s="72">
        <f>H4/C6</f>
        <v>8.9289094863415794</v>
      </c>
      <c r="I5" s="6" t="s">
        <v>61</v>
      </c>
      <c r="L5" s="5" t="s">
        <v>66</v>
      </c>
      <c r="M5" s="33">
        <f>C12*O28*6</f>
        <v>11.772620248906827</v>
      </c>
      <c r="N5" s="6" t="s">
        <v>168</v>
      </c>
      <c r="S5" s="106"/>
      <c r="T5" s="107"/>
      <c r="U5" s="106"/>
    </row>
    <row r="6" spans="1:21" ht="18" x14ac:dyDescent="0.35">
      <c r="B6" s="5" t="s">
        <v>62</v>
      </c>
      <c r="C6" s="81">
        <f>C4/((1-C4)*(4/5))</f>
        <v>0.73412698412698407</v>
      </c>
      <c r="D6" t="s">
        <v>63</v>
      </c>
      <c r="E6" s="6"/>
      <c r="G6" s="65" t="s">
        <v>64</v>
      </c>
      <c r="H6" s="73">
        <f>H4*C8</f>
        <v>1.4046328698751633</v>
      </c>
      <c r="I6" s="66" t="s">
        <v>65</v>
      </c>
      <c r="J6" s="64"/>
      <c r="L6" s="5" t="s">
        <v>70</v>
      </c>
      <c r="M6" s="33">
        <f>M5*C4</f>
        <v>4.3558694920955263</v>
      </c>
      <c r="N6" s="6" t="s">
        <v>71</v>
      </c>
      <c r="S6" s="106"/>
      <c r="T6" s="107"/>
      <c r="U6" s="106"/>
    </row>
    <row r="7" spans="1:21" ht="18" x14ac:dyDescent="0.35">
      <c r="B7" s="5" t="s">
        <v>67</v>
      </c>
      <c r="C7" s="79">
        <v>4</v>
      </c>
      <c r="D7" t="s">
        <v>68</v>
      </c>
      <c r="E7" s="6"/>
      <c r="G7" s="5" t="s">
        <v>164</v>
      </c>
      <c r="H7" s="72">
        <f>O29*1</f>
        <v>1.4046328698751633</v>
      </c>
      <c r="I7" s="6" t="s">
        <v>69</v>
      </c>
      <c r="L7" s="5" t="s">
        <v>197</v>
      </c>
      <c r="M7" s="70">
        <f>(M6*12/C9)</f>
        <v>106.67435490846188</v>
      </c>
      <c r="N7" s="6" t="s">
        <v>74</v>
      </c>
      <c r="S7" s="106"/>
      <c r="T7" s="107"/>
      <c r="U7" s="106"/>
    </row>
    <row r="8" spans="1:21" ht="18" x14ac:dyDescent="0.35">
      <c r="B8" s="5" t="s">
        <v>72</v>
      </c>
      <c r="C8" s="72">
        <f>(1/14)/(C7/12)</f>
        <v>0.21428571428571427</v>
      </c>
      <c r="D8" t="s">
        <v>73</v>
      </c>
      <c r="E8" s="6"/>
      <c r="G8" s="5" t="s">
        <v>163</v>
      </c>
      <c r="H8" s="72">
        <f>H7</f>
        <v>1.4046328698751633</v>
      </c>
      <c r="I8" s="6" t="s">
        <v>61</v>
      </c>
      <c r="L8" s="5" t="s">
        <v>79</v>
      </c>
      <c r="M8" s="33">
        <f>1*H29+1*C12*M24</f>
        <v>1.2101708340943946</v>
      </c>
      <c r="N8" s="6" t="s">
        <v>80</v>
      </c>
      <c r="S8" s="106"/>
      <c r="T8" s="107"/>
      <c r="U8" s="106"/>
    </row>
    <row r="9" spans="1:21" ht="18" x14ac:dyDescent="0.35">
      <c r="B9" s="7" t="s">
        <v>75</v>
      </c>
      <c r="C9" s="78">
        <v>0.49</v>
      </c>
      <c r="D9" s="15" t="s">
        <v>76</v>
      </c>
      <c r="E9" s="8"/>
      <c r="G9" s="5" t="s">
        <v>77</v>
      </c>
      <c r="H9" s="72">
        <f>H6-H7</f>
        <v>0</v>
      </c>
      <c r="I9" s="6" t="s">
        <v>78</v>
      </c>
      <c r="L9" s="7" t="s">
        <v>83</v>
      </c>
      <c r="M9" s="89">
        <f>M7/M8</f>
        <v>88.148178672880789</v>
      </c>
      <c r="N9" s="8" t="s">
        <v>84</v>
      </c>
      <c r="S9" s="106"/>
      <c r="T9" s="107"/>
      <c r="U9" s="106"/>
    </row>
    <row r="10" spans="1:21" ht="18" x14ac:dyDescent="0.35">
      <c r="G10" s="5" t="s">
        <v>81</v>
      </c>
      <c r="H10" s="72">
        <f>H5-H8-H9</f>
        <v>7.5242766164664161</v>
      </c>
      <c r="I10" s="66" t="s">
        <v>82</v>
      </c>
      <c r="J10" s="63"/>
      <c r="L10" s="1" t="s">
        <v>87</v>
      </c>
      <c r="S10" s="106"/>
      <c r="T10" s="107"/>
      <c r="U10" s="106"/>
    </row>
    <row r="11" spans="1:21" ht="16.5" x14ac:dyDescent="0.25">
      <c r="B11" s="164" t="s">
        <v>52</v>
      </c>
      <c r="C11" s="164"/>
      <c r="D11" s="164"/>
      <c r="G11" s="7" t="s">
        <v>85</v>
      </c>
      <c r="H11" s="74">
        <f>H10/H20</f>
        <v>1.5048553232932833</v>
      </c>
      <c r="I11" s="68" t="s">
        <v>86</v>
      </c>
      <c r="J11" s="63"/>
      <c r="L11" s="35" t="s">
        <v>171</v>
      </c>
      <c r="M11" s="36">
        <f>M7*0.001/1.57</f>
        <v>6.7945448986281451E-2</v>
      </c>
      <c r="N11" s="160" t="s">
        <v>172</v>
      </c>
      <c r="O11" s="161"/>
      <c r="S11" s="106"/>
      <c r="T11" s="107"/>
      <c r="U11" s="106"/>
    </row>
    <row r="12" spans="1:21" ht="18" x14ac:dyDescent="0.35">
      <c r="B12" s="82" t="s">
        <v>56</v>
      </c>
      <c r="C12" s="83">
        <f>1/H11</f>
        <v>0.66451570760407819</v>
      </c>
      <c r="D12" s="84" t="s">
        <v>57</v>
      </c>
      <c r="L12" s="5" t="s">
        <v>165</v>
      </c>
      <c r="M12" s="33">
        <f>M8+M11</f>
        <v>1.278116283080676</v>
      </c>
      <c r="N12" s="158" t="s">
        <v>173</v>
      </c>
      <c r="O12" s="159"/>
      <c r="P12" s="37"/>
      <c r="Q12" s="37"/>
    </row>
    <row r="13" spans="1:21" s="37" customFormat="1" ht="18" x14ac:dyDescent="0.35">
      <c r="B13" s="7" t="s">
        <v>58</v>
      </c>
      <c r="C13" s="89">
        <f>M9</f>
        <v>88.148178672880789</v>
      </c>
      <c r="D13" s="8" t="s">
        <v>156</v>
      </c>
      <c r="L13" s="5" t="s">
        <v>88</v>
      </c>
      <c r="M13">
        <f>M7*0.001/0.2</f>
        <v>0.53337177454230944</v>
      </c>
      <c r="N13" s="158" t="s">
        <v>89</v>
      </c>
      <c r="O13" s="159"/>
      <c r="P13"/>
      <c r="Q13"/>
    </row>
    <row r="14" spans="1:21" x14ac:dyDescent="0.25">
      <c r="A14" s="1"/>
      <c r="B14" s="1"/>
      <c r="H14" s="136"/>
      <c r="L14" s="7" t="s">
        <v>90</v>
      </c>
      <c r="M14" s="45">
        <f>M12-M13</f>
        <v>0.7447445085383666</v>
      </c>
      <c r="N14" s="156" t="s">
        <v>91</v>
      </c>
      <c r="O14" s="157"/>
    </row>
    <row r="15" spans="1:21" x14ac:dyDescent="0.25">
      <c r="A15" s="1"/>
      <c r="B15" s="1"/>
      <c r="H15" s="136"/>
    </row>
    <row r="16" spans="1:21" x14ac:dyDescent="0.25">
      <c r="A16" s="1"/>
      <c r="B16" s="1"/>
      <c r="I16" s="21"/>
    </row>
    <row r="18" spans="2:19" ht="18.75" x14ac:dyDescent="0.3">
      <c r="B18" s="34" t="s">
        <v>92</v>
      </c>
      <c r="C18" s="37"/>
      <c r="D18" s="37"/>
      <c r="E18" s="37"/>
      <c r="F18" s="37"/>
      <c r="G18" s="34" t="s">
        <v>93</v>
      </c>
      <c r="K18" s="21"/>
    </row>
    <row r="19" spans="2:19" ht="19.5" thickBot="1" x14ac:dyDescent="0.35">
      <c r="G19" s="2" t="s">
        <v>94</v>
      </c>
      <c r="K19" s="125"/>
      <c r="L19" s="2" t="s">
        <v>95</v>
      </c>
      <c r="M19" s="34"/>
      <c r="N19" s="34"/>
      <c r="O19" s="34"/>
      <c r="P19" s="34"/>
    </row>
    <row r="20" spans="2:19" ht="18" x14ac:dyDescent="0.35">
      <c r="B20" s="12" t="s">
        <v>96</v>
      </c>
      <c r="C20" s="38" t="s">
        <v>149</v>
      </c>
      <c r="D20" s="38" t="s">
        <v>147</v>
      </c>
      <c r="E20" s="13" t="s">
        <v>148</v>
      </c>
      <c r="G20" s="194" t="s">
        <v>190</v>
      </c>
      <c r="H20" s="195">
        <v>5</v>
      </c>
      <c r="I20" s="196" t="s">
        <v>191</v>
      </c>
      <c r="J20" s="21"/>
      <c r="K20" s="124"/>
      <c r="L20" s="127" t="s">
        <v>28</v>
      </c>
      <c r="M20" s="134">
        <v>500</v>
      </c>
      <c r="N20" s="130" t="s">
        <v>117</v>
      </c>
      <c r="O20" s="26"/>
      <c r="P20" s="26"/>
    </row>
    <row r="21" spans="2:19" x14ac:dyDescent="0.25">
      <c r="B21" s="5" t="s">
        <v>99</v>
      </c>
      <c r="C21" s="26">
        <v>58.4</v>
      </c>
      <c r="D21" s="26">
        <v>0</v>
      </c>
      <c r="E21" s="75">
        <f>D21/C21</f>
        <v>0</v>
      </c>
      <c r="G21" s="141" t="s">
        <v>201</v>
      </c>
      <c r="H21" s="1" t="s">
        <v>178</v>
      </c>
      <c r="I21" s="142" t="s">
        <v>189</v>
      </c>
      <c r="J21" s="125"/>
      <c r="K21" s="124"/>
      <c r="L21" s="128" t="s">
        <v>14</v>
      </c>
      <c r="M21" s="39">
        <v>450</v>
      </c>
      <c r="N21" s="131" t="s">
        <v>27</v>
      </c>
    </row>
    <row r="22" spans="2:19" ht="18" x14ac:dyDescent="0.35">
      <c r="B22" s="5" t="s">
        <v>100</v>
      </c>
      <c r="C22" s="26">
        <f>H34</f>
        <v>246.47</v>
      </c>
      <c r="D22" s="26">
        <v>0.5</v>
      </c>
      <c r="E22" s="75">
        <f>D22/C22</f>
        <v>2.0286444597719805E-3</v>
      </c>
      <c r="G22" s="128" t="s">
        <v>145</v>
      </c>
      <c r="H22" s="135">
        <v>1</v>
      </c>
      <c r="I22" s="122">
        <f>AcidRatio!D4</f>
        <v>1.40103875208064</v>
      </c>
      <c r="J22" s="124"/>
      <c r="K22" s="124"/>
      <c r="L22" s="128" t="s">
        <v>42</v>
      </c>
      <c r="M22" s="32">
        <f>IF(C5=1,(M21/$M$28)*6*C4*C8*$M$29,0)</f>
        <v>95.111566404354321</v>
      </c>
      <c r="N22" s="131" t="s">
        <v>27</v>
      </c>
    </row>
    <row r="23" spans="2:19" ht="18" x14ac:dyDescent="0.35">
      <c r="B23" s="5" t="s">
        <v>101</v>
      </c>
      <c r="C23" s="26">
        <v>147</v>
      </c>
      <c r="D23" s="26">
        <v>0.1</v>
      </c>
      <c r="E23" s="75">
        <f t="shared" ref="E23:E25" si="0">D23/C23</f>
        <v>6.8027210884353748E-4</v>
      </c>
      <c r="G23" s="128" t="s">
        <v>160</v>
      </c>
      <c r="H23" s="136">
        <v>0.83</v>
      </c>
      <c r="I23" s="122">
        <f>H23*(1+(SUM(I34:I42)+I44*0.89)/1000)</f>
        <v>0.87788685</v>
      </c>
      <c r="J23" s="124"/>
      <c r="K23" s="124"/>
      <c r="L23" s="143" t="s">
        <v>104</v>
      </c>
      <c r="M23" s="95">
        <f>(((INTERCEPT(FeedRatio!L18:L26,FeedRatio!G18:G26)+SLOPE(FeedRatio!L18:L26,FeedRatio!G18:G26)*M21/M20)+(INTERCEPT(FeedRatio!K47:K58,FeedRatio!F47:F58)+SLOPE(FeedRatio!K47:K58,FeedRatio!F47:F58)*M22/M20))*M20-M20)/1000</f>
        <v>0.84595478149234105</v>
      </c>
      <c r="N23" s="137" t="s">
        <v>26</v>
      </c>
    </row>
    <row r="24" spans="2:19" ht="18.75" thickBot="1" x14ac:dyDescent="0.4">
      <c r="B24" s="5" t="s">
        <v>103</v>
      </c>
      <c r="C24" s="26">
        <v>136</v>
      </c>
      <c r="D24" s="26">
        <v>0.99</v>
      </c>
      <c r="E24" s="75">
        <f t="shared" si="0"/>
        <v>7.2794117647058823E-3</v>
      </c>
      <c r="G24" s="128" t="s">
        <v>162</v>
      </c>
      <c r="H24" s="136">
        <v>0.40899999999999997</v>
      </c>
      <c r="I24" s="122">
        <f>H24*(1+SUM(I46:I54)/1000)</f>
        <v>0.41600923749999996</v>
      </c>
      <c r="J24" s="124"/>
      <c r="K24" s="124"/>
      <c r="L24" s="129" t="s">
        <v>106</v>
      </c>
      <c r="M24" s="126">
        <f>(M20/1000)/M23</f>
        <v>0.59104813985205518</v>
      </c>
      <c r="N24" s="132" t="s">
        <v>158</v>
      </c>
    </row>
    <row r="25" spans="2:19" ht="18" x14ac:dyDescent="0.35">
      <c r="B25" s="7" t="s">
        <v>105</v>
      </c>
      <c r="C25" s="54">
        <v>174</v>
      </c>
      <c r="D25" s="54">
        <v>7.45</v>
      </c>
      <c r="E25" s="76">
        <f t="shared" si="0"/>
        <v>4.2816091954022986E-2</v>
      </c>
      <c r="G25" s="197" t="s">
        <v>187</v>
      </c>
      <c r="H25" s="74">
        <f>AcidRatio!G7-H24-H23</f>
        <v>0.88650793848558551</v>
      </c>
      <c r="I25" s="198">
        <f>H25</f>
        <v>0.88650793848558551</v>
      </c>
      <c r="J25" s="124"/>
      <c r="R25" s="40"/>
    </row>
    <row r="26" spans="2:19" ht="16.5" x14ac:dyDescent="0.25">
      <c r="B26" s="10" t="s">
        <v>107</v>
      </c>
      <c r="C26" s="162">
        <f>1/1000</f>
        <v>1E-3</v>
      </c>
      <c r="D26" s="162"/>
      <c r="E26" s="163"/>
      <c r="G26" s="200" t="s">
        <v>193</v>
      </c>
      <c r="H26" s="201"/>
      <c r="I26" s="202"/>
      <c r="J26" s="124"/>
      <c r="L26" s="69" t="s">
        <v>109</v>
      </c>
      <c r="M26" s="60"/>
      <c r="N26" s="60"/>
      <c r="O26" s="60"/>
      <c r="P26" s="60"/>
    </row>
    <row r="27" spans="2:19" ht="18" x14ac:dyDescent="0.35">
      <c r="G27" s="128" t="s">
        <v>5</v>
      </c>
      <c r="H27" s="26">
        <f>AcidRatio!G6</f>
        <v>1.1586990936598165</v>
      </c>
      <c r="I27" s="138" t="s">
        <v>48</v>
      </c>
      <c r="L27" s="12" t="s">
        <v>96</v>
      </c>
      <c r="M27" s="38" t="s">
        <v>98</v>
      </c>
      <c r="N27" s="38" t="s">
        <v>97</v>
      </c>
      <c r="O27" s="38" t="s">
        <v>146</v>
      </c>
      <c r="P27" s="13" t="s">
        <v>152</v>
      </c>
      <c r="S27" s="1"/>
    </row>
    <row r="28" spans="2:19" x14ac:dyDescent="0.25">
      <c r="B28" s="144" t="s">
        <v>111</v>
      </c>
      <c r="C28" s="145"/>
      <c r="D28" s="145"/>
      <c r="E28" s="146"/>
      <c r="G28" s="128" t="s">
        <v>30</v>
      </c>
      <c r="H28" s="81">
        <f>SUM(I22:I25)/H27</f>
        <v>3.0909170445227816</v>
      </c>
      <c r="I28" s="139" t="s">
        <v>26</v>
      </c>
      <c r="L28" s="5" t="s">
        <v>14</v>
      </c>
      <c r="M28">
        <v>180.15600000000001</v>
      </c>
      <c r="N28" s="21">
        <f>(M21/M23)</f>
        <v>531.9433258668497</v>
      </c>
      <c r="O28" s="33">
        <f>N28/M28</f>
        <v>2.9526817084462893</v>
      </c>
      <c r="P28" s="29">
        <f>O28/$M$24</f>
        <v>4.9956704189702261</v>
      </c>
    </row>
    <row r="29" spans="2:19" ht="18.75" thickBot="1" x14ac:dyDescent="0.4">
      <c r="B29" s="5" t="s">
        <v>112</v>
      </c>
      <c r="C29" s="23">
        <v>292.24</v>
      </c>
      <c r="D29" s="32">
        <v>1.53</v>
      </c>
      <c r="E29" s="41">
        <f>D29/C29</f>
        <v>5.2354229400492745E-3</v>
      </c>
      <c r="G29" s="129" t="s">
        <v>194</v>
      </c>
      <c r="H29" s="123">
        <f>(SUM(H23:H25)+I22-H22)/H28</f>
        <v>0.81741006121253201</v>
      </c>
      <c r="I29" s="140" t="s">
        <v>158</v>
      </c>
      <c r="L29" s="7" t="s">
        <v>42</v>
      </c>
      <c r="M29" s="15">
        <v>80.043000000000006</v>
      </c>
      <c r="N29" s="61">
        <f>M22/M23</f>
        <v>112.4310288034177</v>
      </c>
      <c r="O29" s="45">
        <f>N29/M29</f>
        <v>1.4046328698751633</v>
      </c>
      <c r="P29" s="30">
        <f>O29/$M$24</f>
        <v>2.3765117850244075</v>
      </c>
    </row>
    <row r="30" spans="2:19" ht="18" x14ac:dyDescent="0.35">
      <c r="B30" s="5" t="s">
        <v>114</v>
      </c>
      <c r="C30" s="26">
        <v>287.56</v>
      </c>
      <c r="D30" s="32">
        <v>10.96</v>
      </c>
      <c r="E30" s="41">
        <f>D30/C30</f>
        <v>3.8113784949227993E-2</v>
      </c>
    </row>
    <row r="31" spans="2:19" ht="18" x14ac:dyDescent="0.35">
      <c r="B31" s="5" t="s">
        <v>115</v>
      </c>
      <c r="C31" s="26">
        <v>278.02999999999997</v>
      </c>
      <c r="D31" s="32">
        <v>1</v>
      </c>
      <c r="E31" s="41">
        <f>D31/C31</f>
        <v>3.5967341653778372E-3</v>
      </c>
      <c r="G31" s="1" t="s">
        <v>159</v>
      </c>
      <c r="L31" s="1"/>
      <c r="M31" s="1"/>
      <c r="N31" s="1"/>
      <c r="O31" s="1"/>
    </row>
    <row r="32" spans="2:19" ht="18" x14ac:dyDescent="0.35">
      <c r="B32" s="5" t="s">
        <v>116</v>
      </c>
      <c r="C32" s="26">
        <v>169.03</v>
      </c>
      <c r="D32" s="32">
        <v>1.54</v>
      </c>
      <c r="E32" s="41">
        <f t="shared" ref="E32:E36" si="1">D32/C32</f>
        <v>9.1108087321777192E-3</v>
      </c>
      <c r="G32" s="57" t="s">
        <v>96</v>
      </c>
      <c r="H32" s="58" t="s">
        <v>150</v>
      </c>
      <c r="I32" s="58" t="s">
        <v>151</v>
      </c>
      <c r="J32" s="59" t="s">
        <v>148</v>
      </c>
      <c r="L32" s="1"/>
      <c r="M32" s="26"/>
    </row>
    <row r="33" spans="2:12" ht="18" x14ac:dyDescent="0.35">
      <c r="B33" s="5" t="s">
        <v>118</v>
      </c>
      <c r="C33" s="26">
        <v>249.7</v>
      </c>
      <c r="D33" s="32">
        <v>0.4</v>
      </c>
      <c r="E33" s="41">
        <f t="shared" si="1"/>
        <v>1.601922306768122E-3</v>
      </c>
      <c r="G33" s="144" t="s">
        <v>161</v>
      </c>
      <c r="H33" s="145"/>
      <c r="I33" s="145"/>
      <c r="J33" s="146"/>
      <c r="L33" s="1"/>
    </row>
    <row r="34" spans="2:12" ht="18" x14ac:dyDescent="0.35">
      <c r="B34" s="5" t="s">
        <v>119</v>
      </c>
      <c r="C34" s="26">
        <v>291.02999999999997</v>
      </c>
      <c r="D34" s="32">
        <v>0.28999999999999998</v>
      </c>
      <c r="E34" s="41">
        <f t="shared" si="1"/>
        <v>9.9646084596089748E-4</v>
      </c>
      <c r="G34" s="5" t="s">
        <v>100</v>
      </c>
      <c r="H34" s="26">
        <v>246.47</v>
      </c>
      <c r="I34" s="39">
        <v>8</v>
      </c>
      <c r="J34" s="75">
        <f t="shared" ref="J34:J41" si="2">I34/H34</f>
        <v>3.2458311356351688E-2</v>
      </c>
      <c r="L34" s="1"/>
    </row>
    <row r="35" spans="2:12" ht="18" x14ac:dyDescent="0.35">
      <c r="B35" s="5" t="s">
        <v>120</v>
      </c>
      <c r="C35" s="26">
        <v>61.83</v>
      </c>
      <c r="D35" s="32">
        <v>0.11</v>
      </c>
      <c r="E35" s="41">
        <f t="shared" si="1"/>
        <v>1.7790716480672814E-3</v>
      </c>
      <c r="G35" s="5" t="s">
        <v>102</v>
      </c>
      <c r="H35" s="26">
        <v>95.2</v>
      </c>
      <c r="I35" s="39">
        <v>2.6</v>
      </c>
      <c r="J35" s="75">
        <f t="shared" si="2"/>
        <v>2.7310924369747899E-2</v>
      </c>
      <c r="L35" s="1"/>
    </row>
    <row r="36" spans="2:12" ht="18" x14ac:dyDescent="0.35">
      <c r="B36" s="7" t="s">
        <v>121</v>
      </c>
      <c r="C36" s="54">
        <v>241.96</v>
      </c>
      <c r="D36" s="62">
        <v>0.24</v>
      </c>
      <c r="E36" s="42">
        <f t="shared" si="1"/>
        <v>9.9189948751859805E-4</v>
      </c>
      <c r="G36" s="5" t="s">
        <v>101</v>
      </c>
      <c r="H36" s="26">
        <v>147</v>
      </c>
      <c r="I36" s="39">
        <v>0</v>
      </c>
      <c r="J36" s="75">
        <f t="shared" si="2"/>
        <v>0</v>
      </c>
      <c r="L36" s="1"/>
    </row>
    <row r="37" spans="2:12" x14ac:dyDescent="0.25">
      <c r="G37" s="5" t="s">
        <v>99</v>
      </c>
      <c r="H37" s="26">
        <v>58.4</v>
      </c>
      <c r="I37" s="39">
        <v>0</v>
      </c>
      <c r="J37" s="75">
        <f t="shared" si="2"/>
        <v>0</v>
      </c>
      <c r="L37" s="1"/>
    </row>
    <row r="38" spans="2:12" ht="18" x14ac:dyDescent="0.35">
      <c r="E38" s="47"/>
      <c r="G38" s="5" t="s">
        <v>108</v>
      </c>
      <c r="H38" s="26">
        <v>136.15</v>
      </c>
      <c r="I38" s="39">
        <v>6</v>
      </c>
      <c r="J38" s="75">
        <f t="shared" si="2"/>
        <v>4.4069041498347408E-2</v>
      </c>
      <c r="L38" s="1"/>
    </row>
    <row r="39" spans="2:12" ht="18" x14ac:dyDescent="0.35">
      <c r="E39" s="47"/>
      <c r="G39" s="5" t="s">
        <v>110</v>
      </c>
      <c r="H39" s="26">
        <v>142.05000000000001</v>
      </c>
      <c r="I39" s="39">
        <v>4</v>
      </c>
      <c r="J39" s="75">
        <f t="shared" si="2"/>
        <v>2.8159098908834914E-2</v>
      </c>
      <c r="L39" s="1"/>
    </row>
    <row r="40" spans="2:12" ht="18" x14ac:dyDescent="0.35">
      <c r="G40" s="5" t="s">
        <v>103</v>
      </c>
      <c r="H40" s="26">
        <v>136.09</v>
      </c>
      <c r="I40" s="39">
        <v>6</v>
      </c>
      <c r="J40" s="75">
        <f t="shared" si="2"/>
        <v>4.4088470864868834E-2</v>
      </c>
    </row>
    <row r="41" spans="2:12" ht="18" x14ac:dyDescent="0.35">
      <c r="G41" s="5" t="s">
        <v>113</v>
      </c>
      <c r="H41" s="26">
        <v>174.27</v>
      </c>
      <c r="I41" s="39">
        <v>5.3</v>
      </c>
      <c r="J41" s="75">
        <f t="shared" si="2"/>
        <v>3.0412578183278818E-2</v>
      </c>
    </row>
    <row r="42" spans="2:12" ht="18" x14ac:dyDescent="0.35">
      <c r="G42" s="5" t="s">
        <v>105</v>
      </c>
      <c r="H42" s="26">
        <v>174.2</v>
      </c>
      <c r="I42" s="39">
        <v>12</v>
      </c>
      <c r="J42" s="75">
        <f>I42/H42</f>
        <v>6.8886337543053969E-2</v>
      </c>
    </row>
    <row r="43" spans="2:12" ht="18" x14ac:dyDescent="0.35">
      <c r="G43" s="35"/>
      <c r="H43" s="36" t="s">
        <v>12</v>
      </c>
      <c r="I43" s="23" t="s">
        <v>188</v>
      </c>
      <c r="J43" s="44"/>
    </row>
    <row r="44" spans="2:12" ht="18" x14ac:dyDescent="0.35">
      <c r="G44" s="7" t="s">
        <v>192</v>
      </c>
      <c r="H44" s="110">
        <f>H3PO4Ratio!B7</f>
        <v>15.728243770026738</v>
      </c>
      <c r="I44" s="109">
        <v>15.5</v>
      </c>
      <c r="J44" s="76">
        <f>H44*I44/(1000+I44)</f>
        <v>0.24006674390488869</v>
      </c>
    </row>
    <row r="45" spans="2:12" x14ac:dyDescent="0.25">
      <c r="G45" s="144" t="s">
        <v>162</v>
      </c>
      <c r="H45" s="145"/>
      <c r="I45" s="145"/>
      <c r="J45" s="146"/>
    </row>
    <row r="46" spans="2:12" x14ac:dyDescent="0.25">
      <c r="G46" s="35" t="s">
        <v>112</v>
      </c>
      <c r="H46" s="23">
        <v>292.24</v>
      </c>
      <c r="I46" s="43">
        <v>15</v>
      </c>
      <c r="J46" s="44">
        <f t="shared" ref="J46:J54" si="3">I46/H46</f>
        <v>5.1327675882836023E-2</v>
      </c>
    </row>
    <row r="47" spans="2:12" ht="18" x14ac:dyDescent="0.35">
      <c r="G47" s="5" t="s">
        <v>114</v>
      </c>
      <c r="H47" s="26">
        <v>287.56</v>
      </c>
      <c r="I47" s="100">
        <v>0.90300000000000002</v>
      </c>
      <c r="J47" s="41">
        <f t="shared" si="3"/>
        <v>3.1402142161635832E-3</v>
      </c>
    </row>
    <row r="48" spans="2:12" ht="18" x14ac:dyDescent="0.35">
      <c r="G48" s="5" t="s">
        <v>115</v>
      </c>
      <c r="H48" s="26">
        <v>278.02999999999997</v>
      </c>
      <c r="I48" s="100">
        <v>0.88400000000000001</v>
      </c>
      <c r="J48" s="41">
        <f t="shared" si="3"/>
        <v>3.1795130021940081E-3</v>
      </c>
    </row>
    <row r="49" spans="2:13" ht="18" x14ac:dyDescent="0.35">
      <c r="G49" s="5" t="s">
        <v>116</v>
      </c>
      <c r="H49" s="26">
        <v>169.03</v>
      </c>
      <c r="I49" s="100">
        <v>0.19</v>
      </c>
      <c r="J49" s="41">
        <f t="shared" si="3"/>
        <v>1.1240608176063421E-3</v>
      </c>
    </row>
    <row r="50" spans="2:13" ht="18" x14ac:dyDescent="0.35">
      <c r="G50" s="5" t="s">
        <v>118</v>
      </c>
      <c r="H50" s="26">
        <v>249.7</v>
      </c>
      <c r="I50" s="100">
        <v>7.6999999999999999E-2</v>
      </c>
      <c r="J50" s="41">
        <f t="shared" si="3"/>
        <v>3.0837004405286344E-4</v>
      </c>
    </row>
    <row r="51" spans="2:13" ht="18" x14ac:dyDescent="0.35">
      <c r="G51" s="5" t="s">
        <v>119</v>
      </c>
      <c r="H51" s="26">
        <v>291.02999999999997</v>
      </c>
      <c r="I51" s="100">
        <v>2.5000000000000001E-2</v>
      </c>
      <c r="J51" s="41">
        <f t="shared" si="3"/>
        <v>8.5901797065594628E-5</v>
      </c>
      <c r="K51" s="67"/>
    </row>
    <row r="52" spans="2:13" ht="18" x14ac:dyDescent="0.35">
      <c r="G52" s="5" t="s">
        <v>120</v>
      </c>
      <c r="H52" s="26">
        <v>61.83</v>
      </c>
      <c r="I52" s="100">
        <v>2.0500000000000001E-2</v>
      </c>
      <c r="J52" s="41">
        <f t="shared" si="3"/>
        <v>3.3155426168526608E-4</v>
      </c>
      <c r="K52" s="67"/>
    </row>
    <row r="53" spans="2:13" ht="18" x14ac:dyDescent="0.35">
      <c r="G53" s="5" t="s">
        <v>121</v>
      </c>
      <c r="H53" s="26">
        <v>241.96</v>
      </c>
      <c r="I53" s="100">
        <v>3.4000000000000002E-2</v>
      </c>
      <c r="J53" s="41">
        <f t="shared" si="3"/>
        <v>1.4051909406513475E-4</v>
      </c>
      <c r="K53" s="67"/>
    </row>
    <row r="54" spans="2:13" ht="18" x14ac:dyDescent="0.35">
      <c r="G54" s="7" t="s">
        <v>122</v>
      </c>
      <c r="H54" s="54">
        <v>237.69</v>
      </c>
      <c r="I54" s="101">
        <v>4.0000000000000001E-3</v>
      </c>
      <c r="J54" s="42">
        <f t="shared" si="3"/>
        <v>1.6828642349278473E-5</v>
      </c>
      <c r="K54" s="67"/>
    </row>
    <row r="55" spans="2:13" x14ac:dyDescent="0.25">
      <c r="J55" s="46"/>
      <c r="K55" s="67"/>
    </row>
    <row r="56" spans="2:13" x14ac:dyDescent="0.25">
      <c r="J56" s="46"/>
      <c r="K56" s="67"/>
    </row>
    <row r="57" spans="2:13" x14ac:dyDescent="0.25">
      <c r="J57" s="40"/>
      <c r="K57" s="40"/>
    </row>
    <row r="58" spans="2:13" ht="18.75" x14ac:dyDescent="0.3">
      <c r="B58" s="34" t="s">
        <v>123</v>
      </c>
    </row>
    <row r="60" spans="2:13" ht="15.75" customHeight="1" x14ac:dyDescent="0.35">
      <c r="B60" s="147" t="s">
        <v>124</v>
      </c>
      <c r="C60" s="148"/>
      <c r="D60" s="148"/>
      <c r="E60" s="147" t="s">
        <v>166</v>
      </c>
      <c r="F60" s="148"/>
      <c r="G60" s="87" t="s">
        <v>167</v>
      </c>
      <c r="H60" s="148" t="s">
        <v>125</v>
      </c>
      <c r="I60" s="148"/>
      <c r="J60" s="155"/>
      <c r="K60" s="149" t="s">
        <v>126</v>
      </c>
      <c r="L60" s="151" t="s">
        <v>153</v>
      </c>
      <c r="M60" s="153" t="s">
        <v>154</v>
      </c>
    </row>
    <row r="61" spans="2:13" ht="18" x14ac:dyDescent="0.35">
      <c r="B61" s="48" t="s">
        <v>127</v>
      </c>
      <c r="C61" s="49" t="s">
        <v>155</v>
      </c>
      <c r="D61" s="49" t="s">
        <v>128</v>
      </c>
      <c r="E61" s="48" t="s">
        <v>129</v>
      </c>
      <c r="F61" s="49" t="s">
        <v>130</v>
      </c>
      <c r="G61" s="88" t="s">
        <v>130</v>
      </c>
      <c r="H61" s="49" t="s">
        <v>169</v>
      </c>
      <c r="I61" s="49" t="s">
        <v>180</v>
      </c>
      <c r="J61" s="50" t="s">
        <v>170</v>
      </c>
      <c r="K61" s="150"/>
      <c r="L61" s="152"/>
      <c r="M61" s="154"/>
    </row>
    <row r="62" spans="2:13" x14ac:dyDescent="0.25">
      <c r="B62" s="51" t="s">
        <v>131</v>
      </c>
      <c r="C62" s="26">
        <v>23</v>
      </c>
      <c r="D62" s="85">
        <v>4350</v>
      </c>
      <c r="E62" s="52">
        <f>C62*(E21)+C62*C26*(2*E36+2*E29)</f>
        <v>2.864568316681221E-4</v>
      </c>
      <c r="F62" s="67">
        <f>C62*((H23/H28)*(J37+2*J39)+(H24/H28)*(2*J53+2*J46))</f>
        <v>0.66111027478261852</v>
      </c>
      <c r="G62" s="90">
        <f>F62/$H$29</f>
        <v>0.808786563994501</v>
      </c>
      <c r="H62" s="92">
        <f>(G62*$E$79)</f>
        <v>0.54629499914972435</v>
      </c>
      <c r="I62" s="71">
        <f t="shared" ref="I62:I75" si="4">($M$9*D62)*0.000001</f>
        <v>0.3834445772270314</v>
      </c>
      <c r="J62" s="96">
        <f>(H62-I62)</f>
        <v>0.16285042192269295</v>
      </c>
      <c r="K62" s="111">
        <f>H62/I62</f>
        <v>1.4247039379207906</v>
      </c>
      <c r="L62" s="32">
        <f t="shared" ref="L62:L75" si="5">(J62/C62*1000)</f>
        <v>7.0804531270736062</v>
      </c>
      <c r="M62" s="113">
        <f>1000*L62*$M$8/$M$14</f>
        <v>11505.365623136391</v>
      </c>
    </row>
    <row r="63" spans="2:13" x14ac:dyDescent="0.25">
      <c r="B63" s="51" t="s">
        <v>132</v>
      </c>
      <c r="C63" s="26">
        <v>39</v>
      </c>
      <c r="D63" s="85">
        <v>9850</v>
      </c>
      <c r="E63" s="52">
        <f>C63*(E24+2*E25)</f>
        <v>3.6235522312373223</v>
      </c>
      <c r="F63" s="67">
        <f>C63*H23/H28*(J40+2*J42+2*J41)</f>
        <v>2.5415614501655019</v>
      </c>
      <c r="G63" s="90">
        <f>F63/$H$29</f>
        <v>3.1092857437983983</v>
      </c>
      <c r="H63" s="92">
        <f>(G63*$E$79)</f>
        <v>2.1001674958291527</v>
      </c>
      <c r="I63" s="72">
        <f t="shared" si="4"/>
        <v>0.86825955992787573</v>
      </c>
      <c r="J63" s="93">
        <f t="shared" ref="J63:J75" si="6">(H63-I63)</f>
        <v>1.231907935901277</v>
      </c>
      <c r="K63" s="111">
        <f>H63/I63</f>
        <v>2.4188244999037023</v>
      </c>
      <c r="L63" s="32">
        <f>(J63/C63*1000)</f>
        <v>31.587382971827616</v>
      </c>
      <c r="M63" s="113">
        <f>1000*L63*$M$8/$M$14</f>
        <v>51327.843521663817</v>
      </c>
    </row>
    <row r="64" spans="2:13" x14ac:dyDescent="0.25">
      <c r="B64" s="51" t="s">
        <v>133</v>
      </c>
      <c r="C64" s="26">
        <v>32</v>
      </c>
      <c r="D64" s="85">
        <v>10500</v>
      </c>
      <c r="E64" s="52">
        <f>C64*((E22)+C26*(E30+E31+E32+E33))</f>
        <v>6.6594166717617032E-2</v>
      </c>
      <c r="F64" s="67">
        <f>C64*(H23/H28)*((J34+J39+J41+J38)+(H24/H28)*(J47+J48+J49+J50))</f>
        <v>1.1697095629210752</v>
      </c>
      <c r="G64" s="90">
        <f>F64/$H$29</f>
        <v>1.4309948194006179</v>
      </c>
      <c r="H64" s="92">
        <f t="shared" ref="H64:H75" si="7">(G64*$E$79)</f>
        <v>0.96656565334959688</v>
      </c>
      <c r="I64" s="72">
        <f>($M$9*D64)*0.000001</f>
        <v>0.92555587606524825</v>
      </c>
      <c r="J64" s="93">
        <f>(H64-I64)</f>
        <v>4.1009777284348625E-2</v>
      </c>
      <c r="K64" s="111">
        <f t="shared" ref="K64:K75" si="8">H64/I64</f>
        <v>1.0443082674367437</v>
      </c>
      <c r="L64" s="32">
        <f t="shared" si="5"/>
        <v>1.2815555401358945</v>
      </c>
      <c r="M64" s="113">
        <f t="shared" ref="M64:M75" si="9">1000*L64*$M$8/$M$14</f>
        <v>2082.4606548470456</v>
      </c>
    </row>
    <row r="65" spans="2:13" x14ac:dyDescent="0.25">
      <c r="B65" s="51" t="s">
        <v>134</v>
      </c>
      <c r="C65" s="26">
        <v>31</v>
      </c>
      <c r="D65" s="85">
        <v>16500</v>
      </c>
      <c r="E65" s="52">
        <f>C65*(E24+E25)</f>
        <v>1.5529606152805948</v>
      </c>
      <c r="F65" s="67">
        <f>C65*(H23/H28)*(J40+J42+(J44))</f>
        <v>2.9388556891571693</v>
      </c>
      <c r="G65" s="90">
        <f>F65/$H$29</f>
        <v>3.5953260531167448</v>
      </c>
      <c r="H65" s="92">
        <f>(G65*$E$79)</f>
        <v>2.4284634915667911</v>
      </c>
      <c r="I65" s="72">
        <f t="shared" si="4"/>
        <v>1.454444948102533</v>
      </c>
      <c r="J65" s="93">
        <f t="shared" si="6"/>
        <v>0.97401854346425809</v>
      </c>
      <c r="K65" s="111">
        <f t="shared" si="8"/>
        <v>1.6696840225784835</v>
      </c>
      <c r="L65" s="32">
        <f t="shared" si="5"/>
        <v>31.41995301497607</v>
      </c>
      <c r="M65" s="113">
        <f t="shared" si="9"/>
        <v>51055.778607841108</v>
      </c>
    </row>
    <row r="66" spans="2:13" x14ac:dyDescent="0.25">
      <c r="B66" s="51" t="s">
        <v>135</v>
      </c>
      <c r="C66" s="26">
        <v>40</v>
      </c>
      <c r="D66" s="85">
        <v>2250</v>
      </c>
      <c r="E66" s="52">
        <f>C66*(E23)</f>
        <v>2.7210884353741499E-2</v>
      </c>
      <c r="F66" s="67">
        <f>C66*H23/H28*(J38+J36)</f>
        <v>0.47335213358048117</v>
      </c>
      <c r="G66" s="90">
        <f>F66/$H$29</f>
        <v>0.57908772602862113</v>
      </c>
      <c r="H66" s="92">
        <f t="shared" si="7"/>
        <v>0.39114488652728441</v>
      </c>
      <c r="I66" s="72">
        <f t="shared" si="4"/>
        <v>0.19833340201398175</v>
      </c>
      <c r="J66" s="93">
        <f t="shared" si="6"/>
        <v>0.19281148451330266</v>
      </c>
      <c r="K66" s="111">
        <f t="shared" si="8"/>
        <v>1.9721584087974762</v>
      </c>
      <c r="L66" s="32">
        <f t="shared" si="5"/>
        <v>4.8202871128325668</v>
      </c>
      <c r="M66" s="113">
        <f t="shared" si="9"/>
        <v>7832.7141845726464</v>
      </c>
    </row>
    <row r="67" spans="2:13" x14ac:dyDescent="0.25">
      <c r="B67" s="51" t="s">
        <v>136</v>
      </c>
      <c r="C67" s="26">
        <v>24.3</v>
      </c>
      <c r="D67" s="85">
        <v>2850</v>
      </c>
      <c r="E67" s="52">
        <f>C67*E22</f>
        <v>4.9296060372459129E-2</v>
      </c>
      <c r="F67" s="67">
        <f>C67*H23/H28*(J34+J35)</f>
        <v>0.39000908079880936</v>
      </c>
      <c r="G67" s="90">
        <f>F67/$H$29</f>
        <v>0.47712782030144896</v>
      </c>
      <c r="H67" s="92">
        <f t="shared" si="7"/>
        <v>0.32227605376943685</v>
      </c>
      <c r="I67" s="72">
        <f>($M$9*D67)*0.000001</f>
        <v>0.25122230921771022</v>
      </c>
      <c r="J67" s="93">
        <f>(H67-I67)</f>
        <v>7.1053744551726639E-2</v>
      </c>
      <c r="K67" s="111">
        <f t="shared" si="8"/>
        <v>1.2828321448560176</v>
      </c>
      <c r="L67" s="32">
        <f t="shared" si="5"/>
        <v>2.9240224095360756</v>
      </c>
      <c r="M67" s="113">
        <f t="shared" si="9"/>
        <v>4751.3833236632445</v>
      </c>
    </row>
    <row r="68" spans="2:13" x14ac:dyDescent="0.25">
      <c r="B68" s="51" t="s">
        <v>137</v>
      </c>
      <c r="C68" s="26">
        <v>65.400000000000006</v>
      </c>
      <c r="D68" s="85">
        <v>254</v>
      </c>
      <c r="E68" s="52">
        <f>C68*C26*E30</f>
        <v>2.492641535679511E-3</v>
      </c>
      <c r="F68" s="67">
        <f>C68*J47*H24/H28</f>
        <v>2.7175214595719359E-2</v>
      </c>
      <c r="G68" s="90">
        <f>F68/$H$29</f>
        <v>3.3245510283306412E-2</v>
      </c>
      <c r="H68" s="92">
        <f t="shared" si="7"/>
        <v>2.2455684627414891E-2</v>
      </c>
      <c r="I68" s="72">
        <f t="shared" si="4"/>
        <v>2.238963738291172E-2</v>
      </c>
      <c r="J68" s="93">
        <f t="shared" si="6"/>
        <v>6.6047244503170816E-5</v>
      </c>
      <c r="K68" s="111">
        <f>H68/I68</f>
        <v>1.0029499023755328</v>
      </c>
      <c r="L68" s="32">
        <f t="shared" si="5"/>
        <v>1.0098967049414498E-3</v>
      </c>
      <c r="M68" s="113">
        <f t="shared" si="9"/>
        <v>1.6410292707854377</v>
      </c>
    </row>
    <row r="69" spans="2:13" x14ac:dyDescent="0.25">
      <c r="B69" s="51" t="s">
        <v>138</v>
      </c>
      <c r="C69" s="26">
        <v>58.69</v>
      </c>
      <c r="D69" s="85">
        <v>1</v>
      </c>
      <c r="E69" s="52"/>
      <c r="F69" s="67">
        <f>C69*J54*H24/H28</f>
        <v>1.3069204354183576E-4</v>
      </c>
      <c r="G69" s="90">
        <f>F69/$H$29</f>
        <v>1.5988553327563577E-4</v>
      </c>
      <c r="H69" s="92">
        <f t="shared" si="7"/>
        <v>1.0799470608596872E-4</v>
      </c>
      <c r="I69" s="72">
        <f t="shared" si="4"/>
        <v>8.8148178672880782E-5</v>
      </c>
      <c r="J69" s="93">
        <f t="shared" si="6"/>
        <v>1.9846527413087934E-5</v>
      </c>
      <c r="K69" s="111">
        <f t="shared" si="8"/>
        <v>1.2251496027698847</v>
      </c>
      <c r="L69" s="81">
        <f t="shared" si="5"/>
        <v>3.3815858601274383E-4</v>
      </c>
      <c r="M69" s="113">
        <f t="shared" si="9"/>
        <v>0.5494899974413725</v>
      </c>
    </row>
    <row r="70" spans="2:13" x14ac:dyDescent="0.25">
      <c r="B70" s="51" t="s">
        <v>139</v>
      </c>
      <c r="C70" s="26">
        <v>95.95</v>
      </c>
      <c r="D70" s="85">
        <v>16</v>
      </c>
      <c r="E70" s="52">
        <f>C70*C26*E36</f>
        <v>9.5172755827409493E-5</v>
      </c>
      <c r="F70" s="67">
        <f>C70*J53*H24/H28</f>
        <v>1.7840880277494534E-3</v>
      </c>
      <c r="G70" s="90">
        <f>F70/$H$29</f>
        <v>2.1826108001447497E-3</v>
      </c>
      <c r="H70" s="92">
        <f t="shared" si="7"/>
        <v>1.4742447739492393E-3</v>
      </c>
      <c r="I70" s="72">
        <f t="shared" si="4"/>
        <v>1.4103708587660925E-3</v>
      </c>
      <c r="J70" s="93">
        <f t="shared" si="6"/>
        <v>6.3873915183146812E-5</v>
      </c>
      <c r="K70" s="111">
        <f t="shared" si="8"/>
        <v>1.0452887372042194</v>
      </c>
      <c r="L70" s="72">
        <f t="shared" si="5"/>
        <v>6.6570000190877346E-4</v>
      </c>
      <c r="M70" s="113">
        <f t="shared" si="9"/>
        <v>1.0817276493218724</v>
      </c>
    </row>
    <row r="71" spans="2:13" x14ac:dyDescent="0.25">
      <c r="B71" s="51" t="s">
        <v>140</v>
      </c>
      <c r="C71" s="26">
        <v>54.94</v>
      </c>
      <c r="D71" s="85">
        <v>76</v>
      </c>
      <c r="E71" s="52">
        <f>C71*C26*E32</f>
        <v>5.0054783174584381E-4</v>
      </c>
      <c r="F71" s="67">
        <f>C71*J49*H24/H28</f>
        <v>8.1717377968292607E-3</v>
      </c>
      <c r="G71" s="90">
        <f>F71/$H$29</f>
        <v>9.997109388043799E-3</v>
      </c>
      <c r="H71" s="92">
        <f t="shared" si="7"/>
        <v>6.7525489514415581E-3</v>
      </c>
      <c r="I71" s="72">
        <f t="shared" si="4"/>
        <v>6.6992615791389397E-3</v>
      </c>
      <c r="J71" s="93">
        <f t="shared" si="6"/>
        <v>5.3287372302618374E-5</v>
      </c>
      <c r="K71" s="111">
        <f t="shared" si="8"/>
        <v>1.0079542158002237</v>
      </c>
      <c r="L71" s="72">
        <f t="shared" si="5"/>
        <v>9.6991940849323584E-4</v>
      </c>
      <c r="M71" s="113">
        <f t="shared" si="9"/>
        <v>1.5760682571318789</v>
      </c>
    </row>
    <row r="72" spans="2:13" x14ac:dyDescent="0.25">
      <c r="B72" s="51" t="s">
        <v>141</v>
      </c>
      <c r="C72" s="26">
        <v>55.85</v>
      </c>
      <c r="D72" s="85">
        <v>220</v>
      </c>
      <c r="E72" s="53">
        <f>C72*C26*E31</f>
        <v>2.0087760313635222E-4</v>
      </c>
      <c r="F72" s="67">
        <f>C72*J48*H24/H28</f>
        <v>2.3497396285114585E-2</v>
      </c>
      <c r="G72" s="90">
        <f>F72/$H$29</f>
        <v>2.8746154959554758E-2</v>
      </c>
      <c r="H72" s="92">
        <f t="shared" si="7"/>
        <v>1.9416594437014635E-2</v>
      </c>
      <c r="I72" s="72">
        <f t="shared" si="4"/>
        <v>1.9392599308033772E-2</v>
      </c>
      <c r="J72" s="93">
        <f t="shared" si="6"/>
        <v>2.3995128980863062E-5</v>
      </c>
      <c r="K72" s="111">
        <f t="shared" si="8"/>
        <v>1.0012373343356258</v>
      </c>
      <c r="L72" s="72">
        <f t="shared" si="5"/>
        <v>4.2963525480506826E-4</v>
      </c>
      <c r="M72" s="113">
        <f t="shared" si="9"/>
        <v>0.69813479482275653</v>
      </c>
    </row>
    <row r="73" spans="2:13" x14ac:dyDescent="0.25">
      <c r="B73" s="51" t="s">
        <v>142</v>
      </c>
      <c r="C73" s="26">
        <v>63.55</v>
      </c>
      <c r="D73" s="85">
        <v>24</v>
      </c>
      <c r="E73" s="52">
        <f>C73*E33*C26</f>
        <v>1.0180216259511414E-4</v>
      </c>
      <c r="F73" s="67">
        <f>C73*J50*H24/H28</f>
        <v>2.5931264576391473E-3</v>
      </c>
      <c r="G73" s="90">
        <f>F73/$H$29</f>
        <v>3.1723691457780055E-3</v>
      </c>
      <c r="H73" s="92">
        <f t="shared" si="7"/>
        <v>2.1427771886269741E-3</v>
      </c>
      <c r="I73" s="72">
        <f t="shared" si="4"/>
        <v>2.1155562881491384E-3</v>
      </c>
      <c r="J73" s="93">
        <f t="shared" si="6"/>
        <v>2.7220900477835635E-5</v>
      </c>
      <c r="K73" s="111">
        <f t="shared" si="8"/>
        <v>1.0128670178289847</v>
      </c>
      <c r="L73" s="72">
        <f t="shared" si="5"/>
        <v>4.2833832380543879E-4</v>
      </c>
      <c r="M73" s="113">
        <f t="shared" si="9"/>
        <v>0.69602734985123904</v>
      </c>
    </row>
    <row r="74" spans="2:13" x14ac:dyDescent="0.25">
      <c r="B74" s="51" t="s">
        <v>143</v>
      </c>
      <c r="C74" s="26">
        <v>59</v>
      </c>
      <c r="D74" s="85">
        <v>6</v>
      </c>
      <c r="E74" s="52">
        <f>C74*E34*C26</f>
        <v>5.8791189911692953E-5</v>
      </c>
      <c r="F74" s="67">
        <f>C74*J51*H24/H28</f>
        <v>6.7064118354878265E-4</v>
      </c>
      <c r="G74" s="90">
        <f>F74/$H$29</f>
        <v>8.2044645077400326E-4</v>
      </c>
      <c r="H74" s="92">
        <f t="shared" si="7"/>
        <v>5.5417067132562529E-4</v>
      </c>
      <c r="I74" s="72">
        <f t="shared" si="4"/>
        <v>5.2888907203728461E-4</v>
      </c>
      <c r="J74" s="93">
        <f t="shared" si="6"/>
        <v>2.5281599288340677E-5</v>
      </c>
      <c r="K74" s="111">
        <f t="shared" si="8"/>
        <v>1.0478013266391679</v>
      </c>
      <c r="L74" s="72">
        <f t="shared" si="5"/>
        <v>4.2850168285323183E-4</v>
      </c>
      <c r="M74" s="113">
        <f t="shared" si="9"/>
        <v>0.69629279975098057</v>
      </c>
    </row>
    <row r="75" spans="2:13" x14ac:dyDescent="0.25">
      <c r="B75" s="24" t="s">
        <v>144</v>
      </c>
      <c r="C75" s="54">
        <v>10.81</v>
      </c>
      <c r="D75" s="86">
        <v>4.4000000000000004</v>
      </c>
      <c r="E75" s="55">
        <f>C75*E35*C26</f>
        <v>1.9231764515607311E-5</v>
      </c>
      <c r="F75" s="56">
        <f>C75*J52*H24/H28</f>
        <v>4.7425974897775865E-4</v>
      </c>
      <c r="G75" s="91">
        <f>F75/$H$29</f>
        <v>5.8019808108827279E-4</v>
      </c>
      <c r="H75" s="99">
        <f t="shared" si="7"/>
        <v>3.9189487600951872E-4</v>
      </c>
      <c r="I75" s="74">
        <f t="shared" si="4"/>
        <v>3.8785198616067546E-4</v>
      </c>
      <c r="J75" s="94">
        <f t="shared" si="6"/>
        <v>4.0428898488432648E-6</v>
      </c>
      <c r="K75" s="112">
        <f t="shared" si="8"/>
        <v>1.0104237956568525</v>
      </c>
      <c r="L75" s="74">
        <f t="shared" si="5"/>
        <v>3.7399536067005221E-4</v>
      </c>
      <c r="M75" s="114">
        <f t="shared" si="9"/>
        <v>0.60772287996829821</v>
      </c>
    </row>
    <row r="76" spans="2:13" x14ac:dyDescent="0.25">
      <c r="B76" s="26"/>
      <c r="E76" s="40"/>
      <c r="F76" s="40"/>
      <c r="G76" s="40"/>
      <c r="H76" s="40"/>
      <c r="I76" s="40"/>
      <c r="J76" s="27"/>
      <c r="K76" s="40"/>
      <c r="L76" s="33"/>
    </row>
    <row r="77" spans="2:13" x14ac:dyDescent="0.25">
      <c r="B77" s="69" t="s">
        <v>175</v>
      </c>
      <c r="E77" s="40"/>
      <c r="F77" s="40"/>
      <c r="G77" s="40"/>
      <c r="H77" s="40"/>
      <c r="I77" s="40"/>
      <c r="J77" s="40"/>
      <c r="K77" s="40"/>
      <c r="L77" s="40"/>
    </row>
    <row r="78" spans="2:13" ht="18" x14ac:dyDescent="0.35">
      <c r="B78" s="10"/>
      <c r="C78" s="16" t="s">
        <v>178</v>
      </c>
      <c r="D78" s="16" t="s">
        <v>179</v>
      </c>
      <c r="E78" s="11" t="s">
        <v>202</v>
      </c>
    </row>
    <row r="79" spans="2:13" x14ac:dyDescent="0.25">
      <c r="B79" s="97" t="s">
        <v>94</v>
      </c>
      <c r="C79" s="3">
        <v>1</v>
      </c>
      <c r="D79" s="72">
        <f>C79*H29</f>
        <v>0.81741006121253201</v>
      </c>
      <c r="E79" s="93">
        <f>D79/D81</f>
        <v>0.67545014156965966</v>
      </c>
    </row>
    <row r="80" spans="2:13" x14ac:dyDescent="0.25">
      <c r="B80" s="97" t="s">
        <v>176</v>
      </c>
      <c r="C80" s="47">
        <f>C79*C12</f>
        <v>0.66451570760407819</v>
      </c>
      <c r="D80" s="72">
        <f>C80*M24</f>
        <v>0.39276077288186262</v>
      </c>
      <c r="E80" s="93">
        <f>D80/D81</f>
        <v>0.32454985843034029</v>
      </c>
    </row>
    <row r="81" spans="2:5" x14ac:dyDescent="0.25">
      <c r="B81" s="98" t="s">
        <v>177</v>
      </c>
      <c r="C81" s="15">
        <f>SUM(C79:C80)</f>
        <v>1.6645157076040782</v>
      </c>
      <c r="D81" s="74">
        <f>SUM(D79:D80)</f>
        <v>1.2101708340943946</v>
      </c>
      <c r="E81" s="104" t="s">
        <v>203</v>
      </c>
    </row>
  </sheetData>
  <mergeCells count="17">
    <mergeCell ref="L4:N4"/>
    <mergeCell ref="G33:J33"/>
    <mergeCell ref="G45:J45"/>
    <mergeCell ref="G26:I26"/>
    <mergeCell ref="N12:O12"/>
    <mergeCell ref="N11:O11"/>
    <mergeCell ref="N13:O13"/>
    <mergeCell ref="C26:E26"/>
    <mergeCell ref="B11:D11"/>
    <mergeCell ref="M60:M61"/>
    <mergeCell ref="H60:J60"/>
    <mergeCell ref="N14:O14"/>
    <mergeCell ref="B28:E28"/>
    <mergeCell ref="B60:D60"/>
    <mergeCell ref="E60:F60"/>
    <mergeCell ref="K60:K61"/>
    <mergeCell ref="L60:L61"/>
  </mergeCell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EF4BA-1BC7-4850-8FCB-D8052E2F745A}">
  <dimension ref="A1:AB119"/>
  <sheetViews>
    <sheetView zoomScale="90" zoomScaleNormal="90" workbookViewId="0">
      <selection activeCell="G3" sqref="G3"/>
    </sheetView>
  </sheetViews>
  <sheetFormatPr defaultRowHeight="15" x14ac:dyDescent="0.25"/>
  <cols>
    <col min="1" max="1" width="11.5703125" customWidth="1"/>
    <col min="2" max="6" width="23" style="72" customWidth="1"/>
    <col min="7" max="7" width="17.7109375" style="72" customWidth="1"/>
    <col min="8" max="8" width="22.28515625" style="72" customWidth="1"/>
    <col min="9" max="9" width="17.7109375" style="72" customWidth="1"/>
    <col min="10" max="10" width="24.5703125" style="72" customWidth="1"/>
    <col min="11" max="11" width="17.7109375" style="72" customWidth="1"/>
    <col min="12" max="12" width="25.85546875" customWidth="1"/>
    <col min="13" max="13" width="13.5703125" bestFit="1" customWidth="1"/>
    <col min="14" max="14" width="18.28515625" bestFit="1" customWidth="1"/>
    <col min="15" max="15" width="17.42578125" customWidth="1"/>
    <col min="16" max="16" width="17.85546875" style="26" customWidth="1"/>
    <col min="17" max="17" width="23.140625" style="26" customWidth="1"/>
    <col min="18" max="18" width="32.42578125" style="26" customWidth="1"/>
    <col min="19" max="19" width="13.85546875" style="26" bestFit="1" customWidth="1"/>
    <col min="20" max="20" width="23.5703125" customWidth="1"/>
  </cols>
  <sheetData>
    <row r="1" spans="1:27" ht="18.75" x14ac:dyDescent="0.35">
      <c r="A1" s="2" t="s">
        <v>196</v>
      </c>
    </row>
    <row r="2" spans="1:27" ht="18" x14ac:dyDescent="0.35">
      <c r="A2" t="s">
        <v>212</v>
      </c>
      <c r="C2" s="1" t="s">
        <v>216</v>
      </c>
      <c r="D2" s="60"/>
      <c r="E2" s="60"/>
      <c r="F2" s="69" t="s">
        <v>211</v>
      </c>
      <c r="G2" s="26"/>
      <c r="H2"/>
      <c r="U2" s="170"/>
      <c r="V2" s="170"/>
      <c r="W2" s="170"/>
      <c r="X2" s="170"/>
      <c r="Y2" s="170"/>
      <c r="Z2" s="170"/>
      <c r="AA2" s="170"/>
    </row>
    <row r="3" spans="1:27" ht="18" x14ac:dyDescent="0.35">
      <c r="A3" t="s">
        <v>213</v>
      </c>
      <c r="C3" s="184" t="s">
        <v>215</v>
      </c>
      <c r="D3" s="185">
        <v>0.68</v>
      </c>
      <c r="E3" s="121" t="s">
        <v>209</v>
      </c>
      <c r="F3" s="184" t="s">
        <v>214</v>
      </c>
      <c r="G3" s="183">
        <f>Calculator!H20</f>
        <v>5</v>
      </c>
      <c r="H3" s="120" t="s">
        <v>198</v>
      </c>
      <c r="U3" s="170"/>
      <c r="V3" s="170"/>
      <c r="W3" s="170"/>
      <c r="X3" s="170"/>
      <c r="Y3" s="170"/>
      <c r="Z3" s="170"/>
      <c r="AA3" s="170"/>
    </row>
    <row r="4" spans="1:27" ht="18" x14ac:dyDescent="0.35">
      <c r="C4" s="97" t="s">
        <v>5</v>
      </c>
      <c r="D4" s="186">
        <f>1.00283842+0.45358825*D3+0.62958727*D3^2-0.64039548*D3^3</f>
        <v>1.40103875208064</v>
      </c>
      <c r="E4" s="187" t="s">
        <v>48</v>
      </c>
      <c r="F4" s="97" t="s">
        <v>211</v>
      </c>
      <c r="G4" s="174">
        <f>18.9000828-8.5428132*G3+1.6122617*G3^2-0.1103276*G3^3</f>
        <v>2.701609300000003</v>
      </c>
      <c r="H4" s="66" t="s">
        <v>206</v>
      </c>
      <c r="U4" s="170"/>
      <c r="V4" s="170"/>
      <c r="W4" s="170"/>
      <c r="X4" s="170"/>
      <c r="Y4" s="170"/>
      <c r="Z4" s="170"/>
      <c r="AA4" s="170"/>
    </row>
    <row r="5" spans="1:27" ht="18" x14ac:dyDescent="0.35">
      <c r="C5" s="97" t="s">
        <v>199</v>
      </c>
      <c r="D5" s="186">
        <f>D4*(1-D3)</f>
        <v>0.44833240066580471</v>
      </c>
      <c r="E5" s="187" t="s">
        <v>208</v>
      </c>
      <c r="F5" s="97" t="s">
        <v>217</v>
      </c>
      <c r="G5" s="174">
        <f>1/(1+G4)</f>
        <v>0.27015276841886021</v>
      </c>
      <c r="H5" s="66" t="s">
        <v>220</v>
      </c>
      <c r="U5" s="170"/>
      <c r="V5" s="170"/>
      <c r="W5" s="170"/>
      <c r="X5" s="170"/>
      <c r="Y5" s="170"/>
      <c r="Z5" s="170"/>
      <c r="AA5" s="170"/>
    </row>
    <row r="6" spans="1:27" ht="18" x14ac:dyDescent="0.35">
      <c r="C6" s="188" t="s">
        <v>210</v>
      </c>
      <c r="D6" s="174">
        <f>D4-D5</f>
        <v>0.95270635141483528</v>
      </c>
      <c r="E6" s="187" t="s">
        <v>207</v>
      </c>
      <c r="F6" s="97" t="s">
        <v>5</v>
      </c>
      <c r="G6" s="174">
        <f>1.00283842+0.45358825*G5+0.62958727*G5^2-0.64039548*G5^3</f>
        <v>1.1586990936598165</v>
      </c>
      <c r="H6" s="66" t="s">
        <v>10</v>
      </c>
      <c r="U6" s="170"/>
      <c r="V6" s="170"/>
      <c r="W6" s="170"/>
      <c r="X6" s="170"/>
      <c r="Y6" s="170"/>
      <c r="Z6" s="170"/>
      <c r="AA6" s="170"/>
    </row>
    <row r="7" spans="1:27" ht="18" x14ac:dyDescent="0.35">
      <c r="C7" s="189" t="s">
        <v>200</v>
      </c>
      <c r="D7" s="74">
        <f>D6*1000/63</f>
        <v>15.122323038330718</v>
      </c>
      <c r="E7" s="104" t="s">
        <v>205</v>
      </c>
      <c r="F7" s="191" t="s">
        <v>218</v>
      </c>
      <c r="G7" s="193">
        <f>G4*D6-D5</f>
        <v>2.1255079384855855</v>
      </c>
      <c r="H7" s="192" t="s">
        <v>219</v>
      </c>
      <c r="U7" s="170"/>
      <c r="V7" s="170"/>
      <c r="W7" s="170"/>
      <c r="X7" s="170"/>
      <c r="Y7" s="170"/>
      <c r="Z7" s="170"/>
      <c r="AA7" s="170"/>
    </row>
    <row r="8" spans="1:27" x14ac:dyDescent="0.25">
      <c r="C8" s="190"/>
      <c r="D8" s="174"/>
      <c r="E8" s="175"/>
      <c r="F8"/>
      <c r="G8"/>
      <c r="H8"/>
      <c r="U8" s="170"/>
      <c r="V8" s="170"/>
      <c r="W8" s="170"/>
      <c r="X8" s="170"/>
      <c r="Y8" s="170"/>
      <c r="Z8" s="170"/>
      <c r="AA8" s="170"/>
    </row>
    <row r="9" spans="1:27" x14ac:dyDescent="0.25">
      <c r="C9" s="190"/>
      <c r="D9" s="174"/>
      <c r="E9" s="175"/>
      <c r="F9"/>
      <c r="G9"/>
      <c r="H9"/>
      <c r="U9" s="170"/>
      <c r="V9" s="170"/>
      <c r="W9" s="170"/>
      <c r="X9" s="170"/>
      <c r="Y9" s="170"/>
      <c r="Z9" s="170"/>
      <c r="AA9" s="170"/>
    </row>
    <row r="10" spans="1:27" x14ac:dyDescent="0.25">
      <c r="B10"/>
      <c r="C10" t="s">
        <v>8</v>
      </c>
      <c r="D10" s="14" t="s">
        <v>47</v>
      </c>
      <c r="E10" s="14"/>
      <c r="F10"/>
      <c r="G10"/>
      <c r="H10"/>
      <c r="I10"/>
      <c r="J10"/>
      <c r="K10" s="26"/>
      <c r="L10" s="26"/>
      <c r="M10" s="26"/>
      <c r="N10" s="26"/>
      <c r="O10" s="102"/>
      <c r="P10" s="133"/>
      <c r="Q10" s="133"/>
      <c r="R10" s="133"/>
      <c r="S10" s="133"/>
      <c r="U10" s="170"/>
      <c r="V10" s="170"/>
      <c r="W10" s="170"/>
      <c r="X10" s="170"/>
      <c r="Y10" s="170"/>
      <c r="Z10" s="170"/>
      <c r="AA10" s="170"/>
    </row>
    <row r="11" spans="1:27" ht="18" x14ac:dyDescent="0.35">
      <c r="B11"/>
      <c r="C11" s="167" t="s">
        <v>34</v>
      </c>
      <c r="D11" s="165" t="s">
        <v>25</v>
      </c>
      <c r="E11" s="165"/>
      <c r="F11" s="165"/>
      <c r="G11" s="165"/>
      <c r="H11" s="165"/>
      <c r="I11" s="165"/>
      <c r="J11" s="166"/>
      <c r="K11" s="167" t="s">
        <v>182</v>
      </c>
      <c r="L11" s="166"/>
      <c r="M11" s="167" t="s">
        <v>195</v>
      </c>
      <c r="N11" s="166"/>
      <c r="O11" s="181" t="s">
        <v>204</v>
      </c>
      <c r="P11" s="182"/>
      <c r="U11" s="170"/>
      <c r="V11" s="175"/>
      <c r="W11" s="170"/>
      <c r="X11" s="170"/>
      <c r="Y11" s="170"/>
      <c r="Z11" s="170"/>
      <c r="AA11" s="170"/>
    </row>
    <row r="12" spans="1:27" s="26" customFormat="1" ht="18" x14ac:dyDescent="0.35">
      <c r="B12" s="26" t="s">
        <v>181</v>
      </c>
      <c r="C12" s="168"/>
      <c r="D12" s="54" t="s">
        <v>35</v>
      </c>
      <c r="E12" s="54" t="s">
        <v>43</v>
      </c>
      <c r="F12" s="54" t="s">
        <v>36</v>
      </c>
      <c r="G12" s="54" t="s">
        <v>44</v>
      </c>
      <c r="H12" s="54" t="s">
        <v>45</v>
      </c>
      <c r="I12" s="54" t="s">
        <v>33</v>
      </c>
      <c r="J12" s="203" t="s">
        <v>46</v>
      </c>
      <c r="K12" s="24" t="s">
        <v>183</v>
      </c>
      <c r="L12" s="104" t="s">
        <v>184</v>
      </c>
      <c r="M12" s="24" t="s">
        <v>185</v>
      </c>
      <c r="N12" s="104" t="s">
        <v>186</v>
      </c>
      <c r="O12" s="24" t="s">
        <v>205</v>
      </c>
      <c r="P12" s="104" t="s">
        <v>206</v>
      </c>
      <c r="U12" s="175"/>
      <c r="V12" s="175"/>
      <c r="W12" s="175"/>
      <c r="X12" s="174"/>
      <c r="Y12" s="175"/>
      <c r="Z12" s="175"/>
      <c r="AA12" s="175"/>
    </row>
    <row r="13" spans="1:27" x14ac:dyDescent="0.25">
      <c r="A13" s="33"/>
      <c r="B13" s="33">
        <f>C13</f>
        <v>0.01</v>
      </c>
      <c r="C13" s="31">
        <v>0.01</v>
      </c>
      <c r="D13" s="170">
        <v>1.0058</v>
      </c>
      <c r="E13" s="170">
        <v>1.0057199999999999</v>
      </c>
      <c r="F13" s="170">
        <v>1.0053399999999999</v>
      </c>
      <c r="G13" s="170">
        <v>1.00464</v>
      </c>
      <c r="H13" s="170">
        <v>1.00241</v>
      </c>
      <c r="I13" s="170">
        <v>1.00241</v>
      </c>
      <c r="J13" s="28">
        <f>(H13+I13)/2</f>
        <v>1.00241</v>
      </c>
      <c r="K13" s="103">
        <f>C13</f>
        <v>0.01</v>
      </c>
      <c r="L13" s="108">
        <f>(1-K13)</f>
        <v>0.99</v>
      </c>
      <c r="M13" s="115">
        <f>K13*J13</f>
        <v>1.0024100000000001E-2</v>
      </c>
      <c r="N13" s="108">
        <f>L13*J13</f>
        <v>0.99238590000000004</v>
      </c>
      <c r="O13" s="35">
        <f t="shared" ref="O13:O23" si="0">M13*1000/63</f>
        <v>0.15911269841269843</v>
      </c>
      <c r="P13" s="176">
        <f t="shared" ref="P13:P23" si="1">N13/M13</f>
        <v>99</v>
      </c>
      <c r="U13" s="26"/>
      <c r="V13" s="26"/>
      <c r="X13" s="26"/>
    </row>
    <row r="14" spans="1:27" x14ac:dyDescent="0.25">
      <c r="A14" s="33"/>
      <c r="B14" s="33">
        <f t="shared" ref="B14:B77" si="2">C14</f>
        <v>0.02</v>
      </c>
      <c r="C14" s="31">
        <v>0.02</v>
      </c>
      <c r="D14" s="170">
        <v>1.0117</v>
      </c>
      <c r="E14" s="170">
        <v>1.01149</v>
      </c>
      <c r="F14" s="170">
        <v>1.0109900000000001</v>
      </c>
      <c r="G14" s="170">
        <v>1.0101800000000001</v>
      </c>
      <c r="H14" s="170">
        <v>1.00909</v>
      </c>
      <c r="I14" s="170">
        <v>1.0077799999999999</v>
      </c>
      <c r="J14" s="28">
        <f t="shared" ref="J14:J77" si="3">(H14+I14)/2</f>
        <v>1.008435</v>
      </c>
      <c r="K14" s="103">
        <f t="shared" ref="K14:K77" si="4">C14</f>
        <v>0.02</v>
      </c>
      <c r="L14" s="108">
        <f t="shared" ref="L14:L77" si="5">(1-K14)</f>
        <v>0.98</v>
      </c>
      <c r="M14" s="115">
        <f t="shared" ref="M14:M21" si="6">K14*J14</f>
        <v>2.0168700000000001E-2</v>
      </c>
      <c r="N14" s="108">
        <f t="shared" ref="N14:N77" si="7">L14*J14</f>
        <v>0.98826629999999993</v>
      </c>
      <c r="O14" s="5">
        <f t="shared" si="0"/>
        <v>0.32013809523809528</v>
      </c>
      <c r="P14" s="177">
        <f t="shared" si="1"/>
        <v>48.999999999999993</v>
      </c>
      <c r="U14" s="26"/>
      <c r="V14" s="26"/>
      <c r="W14" s="26"/>
    </row>
    <row r="15" spans="1:27" x14ac:dyDescent="0.25">
      <c r="A15" s="33"/>
      <c r="B15" s="33">
        <f t="shared" si="2"/>
        <v>0.03</v>
      </c>
      <c r="C15" s="31">
        <v>0.03</v>
      </c>
      <c r="D15" s="170">
        <v>1.0176000000000001</v>
      </c>
      <c r="E15" s="170">
        <v>1.0173000000000001</v>
      </c>
      <c r="F15" s="170">
        <v>1.01668</v>
      </c>
      <c r="G15" s="170">
        <v>1.01576</v>
      </c>
      <c r="H15" s="170">
        <v>1.01457</v>
      </c>
      <c r="I15" s="170">
        <v>1.01318</v>
      </c>
      <c r="J15" s="28">
        <f t="shared" si="3"/>
        <v>1.0138750000000001</v>
      </c>
      <c r="K15" s="103">
        <f t="shared" si="4"/>
        <v>0.03</v>
      </c>
      <c r="L15" s="108">
        <f t="shared" si="5"/>
        <v>0.97</v>
      </c>
      <c r="M15" s="115">
        <f t="shared" si="6"/>
        <v>3.0416250000000002E-2</v>
      </c>
      <c r="N15" s="108">
        <f t="shared" si="7"/>
        <v>0.98345875000000005</v>
      </c>
      <c r="O15" s="5">
        <f t="shared" si="0"/>
        <v>0.48279761904761909</v>
      </c>
      <c r="P15" s="177">
        <f t="shared" si="1"/>
        <v>32.333333333333336</v>
      </c>
      <c r="U15" s="26"/>
      <c r="V15" s="26"/>
      <c r="W15" s="26"/>
    </row>
    <row r="16" spans="1:27" x14ac:dyDescent="0.25">
      <c r="A16" s="33"/>
      <c r="B16" s="33">
        <f t="shared" si="2"/>
        <v>0.04</v>
      </c>
      <c r="C16" s="31">
        <v>0.04</v>
      </c>
      <c r="D16" s="170">
        <v>1.0236000000000001</v>
      </c>
      <c r="E16" s="170">
        <v>1.02315</v>
      </c>
      <c r="F16" s="170">
        <v>1.0224</v>
      </c>
      <c r="G16" s="170">
        <v>1.0213699999999999</v>
      </c>
      <c r="H16" s="170">
        <v>1.0200800000000001</v>
      </c>
      <c r="I16" s="170">
        <v>1.01861</v>
      </c>
      <c r="J16" s="28">
        <f t="shared" si="3"/>
        <v>1.0193449999999999</v>
      </c>
      <c r="K16" s="103">
        <f t="shared" si="4"/>
        <v>0.04</v>
      </c>
      <c r="L16" s="108">
        <f t="shared" si="5"/>
        <v>0.96</v>
      </c>
      <c r="M16" s="115">
        <f t="shared" si="6"/>
        <v>4.0773799999999999E-2</v>
      </c>
      <c r="N16" s="108">
        <f t="shared" si="7"/>
        <v>0.97857119999999986</v>
      </c>
      <c r="O16" s="5">
        <f t="shared" si="0"/>
        <v>0.64720317460317467</v>
      </c>
      <c r="P16" s="177">
        <f t="shared" si="1"/>
        <v>23.999999999999996</v>
      </c>
      <c r="U16" s="26"/>
      <c r="V16" s="26"/>
      <c r="W16" s="26"/>
      <c r="X16" s="26"/>
    </row>
    <row r="17" spans="1:28" x14ac:dyDescent="0.25">
      <c r="A17" s="33"/>
      <c r="B17" s="33">
        <f t="shared" si="2"/>
        <v>0.05</v>
      </c>
      <c r="C17" s="31">
        <v>0.05</v>
      </c>
      <c r="D17" s="170">
        <v>1.0296000000000001</v>
      </c>
      <c r="E17" s="170">
        <v>1.02904</v>
      </c>
      <c r="F17" s="170">
        <v>1.02816</v>
      </c>
      <c r="G17" s="170">
        <v>1.02702</v>
      </c>
      <c r="H17" s="170">
        <v>1.02563</v>
      </c>
      <c r="I17" s="170">
        <v>1.0240800000000001</v>
      </c>
      <c r="J17" s="28">
        <f t="shared" si="3"/>
        <v>1.0248550000000001</v>
      </c>
      <c r="K17" s="103">
        <f t="shared" si="4"/>
        <v>0.05</v>
      </c>
      <c r="L17" s="108">
        <f t="shared" si="5"/>
        <v>0.95</v>
      </c>
      <c r="M17" s="115">
        <f t="shared" si="6"/>
        <v>5.1242750000000004E-2</v>
      </c>
      <c r="N17" s="108">
        <f t="shared" si="7"/>
        <v>0.97361225000000007</v>
      </c>
      <c r="O17" s="5">
        <f t="shared" si="0"/>
        <v>0.81337698412698411</v>
      </c>
      <c r="P17" s="177">
        <f t="shared" si="1"/>
        <v>19</v>
      </c>
      <c r="U17" s="26"/>
      <c r="V17" s="26"/>
      <c r="W17" s="26"/>
      <c r="X17" s="26"/>
    </row>
    <row r="18" spans="1:28" x14ac:dyDescent="0.25">
      <c r="A18" s="33"/>
      <c r="B18" s="33">
        <f t="shared" si="2"/>
        <v>0.06</v>
      </c>
      <c r="C18" s="31">
        <v>0.06</v>
      </c>
      <c r="D18" s="170">
        <v>1.0357000000000001</v>
      </c>
      <c r="E18" s="170">
        <v>1.0349699999999999</v>
      </c>
      <c r="F18" s="170">
        <v>1.0339700000000001</v>
      </c>
      <c r="G18" s="170">
        <v>1.0327200000000001</v>
      </c>
      <c r="H18" s="170">
        <v>1.03122</v>
      </c>
      <c r="I18" s="170">
        <v>1.0295799999999999</v>
      </c>
      <c r="J18" s="28">
        <f t="shared" si="3"/>
        <v>1.0304</v>
      </c>
      <c r="K18" s="103">
        <f t="shared" si="4"/>
        <v>0.06</v>
      </c>
      <c r="L18" s="108">
        <f t="shared" si="5"/>
        <v>0.94</v>
      </c>
      <c r="M18" s="115">
        <f t="shared" si="6"/>
        <v>6.1823999999999997E-2</v>
      </c>
      <c r="N18" s="108">
        <f t="shared" si="7"/>
        <v>0.96857599999999988</v>
      </c>
      <c r="O18" s="5">
        <f t="shared" si="0"/>
        <v>0.98133333333333328</v>
      </c>
      <c r="P18" s="177">
        <f t="shared" si="1"/>
        <v>15.666666666666666</v>
      </c>
      <c r="U18" s="26"/>
      <c r="V18" s="26"/>
      <c r="W18" s="26"/>
      <c r="X18" s="72"/>
      <c r="Y18" s="21"/>
      <c r="AB18" s="21"/>
    </row>
    <row r="19" spans="1:28" x14ac:dyDescent="0.25">
      <c r="A19" s="33"/>
      <c r="B19" s="33">
        <f t="shared" si="2"/>
        <v>7.0000000000000007E-2</v>
      </c>
      <c r="C19" s="31">
        <v>7.0000000000000007E-2</v>
      </c>
      <c r="D19" s="170">
        <v>1.0418000000000001</v>
      </c>
      <c r="E19" s="170">
        <v>1.0409999999999999</v>
      </c>
      <c r="F19" s="170">
        <v>1.0399</v>
      </c>
      <c r="G19" s="170">
        <v>1.0385</v>
      </c>
      <c r="H19" s="170">
        <v>1.0368999999999999</v>
      </c>
      <c r="I19" s="170">
        <v>1.0351999999999999</v>
      </c>
      <c r="J19" s="28">
        <f t="shared" si="3"/>
        <v>1.0360499999999999</v>
      </c>
      <c r="K19" s="103">
        <f t="shared" si="4"/>
        <v>7.0000000000000007E-2</v>
      </c>
      <c r="L19" s="108">
        <f t="shared" si="5"/>
        <v>0.92999999999999994</v>
      </c>
      <c r="M19" s="115">
        <f t="shared" si="6"/>
        <v>7.2523500000000005E-2</v>
      </c>
      <c r="N19" s="108">
        <f t="shared" si="7"/>
        <v>0.96352649999999984</v>
      </c>
      <c r="O19" s="5">
        <f t="shared" si="0"/>
        <v>1.1511666666666667</v>
      </c>
      <c r="P19" s="177">
        <f t="shared" si="1"/>
        <v>13.285714285714283</v>
      </c>
      <c r="U19" s="26"/>
      <c r="V19" s="26"/>
      <c r="W19" s="26"/>
      <c r="X19" s="26"/>
    </row>
    <row r="20" spans="1:28" x14ac:dyDescent="0.25">
      <c r="A20" s="33"/>
      <c r="B20" s="33">
        <f t="shared" si="2"/>
        <v>0.08</v>
      </c>
      <c r="C20" s="31">
        <v>0.08</v>
      </c>
      <c r="D20" s="170">
        <v>1.048</v>
      </c>
      <c r="E20" s="170">
        <v>1.0470999999999999</v>
      </c>
      <c r="F20" s="170">
        <v>1.0458000000000001</v>
      </c>
      <c r="G20" s="170">
        <v>1.0443</v>
      </c>
      <c r="H20" s="170">
        <v>1.0427</v>
      </c>
      <c r="I20" s="170">
        <v>1.0408999999999999</v>
      </c>
      <c r="J20" s="28">
        <f t="shared" si="3"/>
        <v>1.0417999999999998</v>
      </c>
      <c r="K20" s="103">
        <f t="shared" si="4"/>
        <v>0.08</v>
      </c>
      <c r="L20" s="108">
        <f t="shared" si="5"/>
        <v>0.92</v>
      </c>
      <c r="M20" s="115">
        <f t="shared" si="6"/>
        <v>8.3343999999999988E-2</v>
      </c>
      <c r="N20" s="108">
        <f t="shared" si="7"/>
        <v>0.95845599999999986</v>
      </c>
      <c r="O20" s="5">
        <f t="shared" si="0"/>
        <v>1.3229206349206348</v>
      </c>
      <c r="P20" s="177">
        <f t="shared" si="1"/>
        <v>11.5</v>
      </c>
      <c r="U20" s="26"/>
      <c r="V20" s="26"/>
      <c r="W20" s="26"/>
      <c r="X20" s="26"/>
    </row>
    <row r="21" spans="1:28" x14ac:dyDescent="0.25">
      <c r="A21" s="33"/>
      <c r="B21" s="33">
        <f t="shared" si="2"/>
        <v>0.09</v>
      </c>
      <c r="C21" s="31">
        <v>0.09</v>
      </c>
      <c r="D21" s="170">
        <v>1.0543</v>
      </c>
      <c r="E21" s="170">
        <v>1.0531999999999999</v>
      </c>
      <c r="F21" s="170">
        <v>1.0518000000000001</v>
      </c>
      <c r="G21" s="170">
        <v>1.0502</v>
      </c>
      <c r="H21" s="170">
        <v>1.0485</v>
      </c>
      <c r="I21" s="170">
        <v>1.0466</v>
      </c>
      <c r="J21" s="28">
        <f t="shared" si="3"/>
        <v>1.04755</v>
      </c>
      <c r="K21" s="103">
        <f t="shared" si="4"/>
        <v>0.09</v>
      </c>
      <c r="L21" s="108">
        <f t="shared" si="5"/>
        <v>0.91</v>
      </c>
      <c r="M21" s="115">
        <f t="shared" si="6"/>
        <v>9.4279499999999988E-2</v>
      </c>
      <c r="N21" s="108">
        <f t="shared" si="7"/>
        <v>0.95327050000000002</v>
      </c>
      <c r="O21" s="5">
        <f t="shared" si="0"/>
        <v>1.4964999999999997</v>
      </c>
      <c r="P21" s="177">
        <f t="shared" si="1"/>
        <v>10.111111111111112</v>
      </c>
      <c r="U21" s="26"/>
      <c r="V21" s="26"/>
      <c r="W21" s="26"/>
      <c r="X21" s="26"/>
    </row>
    <row r="22" spans="1:28" x14ac:dyDescent="0.25">
      <c r="A22" s="33"/>
      <c r="B22" s="33">
        <f t="shared" si="2"/>
        <v>0.1</v>
      </c>
      <c r="C22" s="31">
        <v>0.1</v>
      </c>
      <c r="D22" s="170">
        <v>1.0606</v>
      </c>
      <c r="E22" s="170">
        <v>1.0593999999999999</v>
      </c>
      <c r="F22" s="170">
        <v>1.0578000000000001</v>
      </c>
      <c r="G22" s="170">
        <v>1.0561</v>
      </c>
      <c r="H22" s="170">
        <v>1.0543</v>
      </c>
      <c r="I22" s="170">
        <v>1.0523</v>
      </c>
      <c r="J22" s="28">
        <f t="shared" si="3"/>
        <v>1.0533000000000001</v>
      </c>
      <c r="K22" s="103">
        <f t="shared" si="4"/>
        <v>0.1</v>
      </c>
      <c r="L22" s="108">
        <f t="shared" si="5"/>
        <v>0.9</v>
      </c>
      <c r="M22" s="115">
        <f>K22*J22</f>
        <v>0.10533000000000002</v>
      </c>
      <c r="N22" s="108">
        <f t="shared" si="7"/>
        <v>0.94797000000000009</v>
      </c>
      <c r="O22" s="5">
        <f t="shared" si="0"/>
        <v>1.6719047619047622</v>
      </c>
      <c r="P22" s="177">
        <f t="shared" si="1"/>
        <v>8.9999999999999982</v>
      </c>
      <c r="U22" s="26"/>
      <c r="V22" s="26"/>
      <c r="W22" s="26"/>
      <c r="X22" s="26"/>
    </row>
    <row r="23" spans="1:28" x14ac:dyDescent="0.25">
      <c r="A23" s="33"/>
      <c r="B23" s="33">
        <f t="shared" si="2"/>
        <v>0.11</v>
      </c>
      <c r="C23" s="31">
        <v>0.11</v>
      </c>
      <c r="D23" s="170">
        <v>1.0669</v>
      </c>
      <c r="E23" s="170">
        <v>1.0656000000000001</v>
      </c>
      <c r="F23" s="170">
        <v>1.0639000000000001</v>
      </c>
      <c r="G23" s="170">
        <v>1.0621</v>
      </c>
      <c r="H23" s="170">
        <v>1.0602</v>
      </c>
      <c r="I23" s="170">
        <v>1.0581</v>
      </c>
      <c r="J23" s="28">
        <f t="shared" si="3"/>
        <v>1.05915</v>
      </c>
      <c r="K23" s="103">
        <f t="shared" si="4"/>
        <v>0.11</v>
      </c>
      <c r="L23" s="108">
        <f t="shared" si="5"/>
        <v>0.89</v>
      </c>
      <c r="M23" s="115">
        <f t="shared" ref="M23:M34" si="8">K23*J23</f>
        <v>0.1165065</v>
      </c>
      <c r="N23" s="108">
        <f t="shared" si="7"/>
        <v>0.94264350000000008</v>
      </c>
      <c r="O23" s="5">
        <f t="shared" si="0"/>
        <v>1.8493095238095238</v>
      </c>
      <c r="P23" s="177">
        <f t="shared" si="1"/>
        <v>8.0909090909090917</v>
      </c>
      <c r="U23" s="26"/>
      <c r="V23" s="26"/>
      <c r="W23" s="26"/>
      <c r="X23" s="26"/>
    </row>
    <row r="24" spans="1:28" x14ac:dyDescent="0.25">
      <c r="A24" s="33"/>
      <c r="B24" s="33">
        <f t="shared" si="2"/>
        <v>0.12</v>
      </c>
      <c r="C24" s="31">
        <v>0.12</v>
      </c>
      <c r="D24" s="170">
        <v>1.0732999999999999</v>
      </c>
      <c r="E24" s="170">
        <v>1.0718000000000001</v>
      </c>
      <c r="F24" s="170">
        <v>1.07</v>
      </c>
      <c r="G24" s="170">
        <v>1.0681</v>
      </c>
      <c r="H24" s="170">
        <v>1.0661</v>
      </c>
      <c r="I24" s="170">
        <v>1.0640000000000001</v>
      </c>
      <c r="J24" s="28">
        <f t="shared" si="3"/>
        <v>1.0650500000000001</v>
      </c>
      <c r="K24" s="103">
        <f t="shared" si="4"/>
        <v>0.12</v>
      </c>
      <c r="L24" s="108">
        <f t="shared" si="5"/>
        <v>0.88</v>
      </c>
      <c r="M24" s="115">
        <f t="shared" si="8"/>
        <v>0.127806</v>
      </c>
      <c r="N24" s="108">
        <f t="shared" si="7"/>
        <v>0.93724400000000008</v>
      </c>
      <c r="O24" s="179">
        <f>M24*1000/63</f>
        <v>2.0286666666666666</v>
      </c>
      <c r="P24" s="180">
        <f>N24/M24</f>
        <v>7.3333333333333339</v>
      </c>
      <c r="T24" s="17"/>
      <c r="U24" s="26"/>
      <c r="V24" s="26"/>
      <c r="W24" s="26"/>
      <c r="X24" s="26"/>
      <c r="Y24" s="33"/>
    </row>
    <row r="25" spans="1:28" x14ac:dyDescent="0.25">
      <c r="A25" s="33"/>
      <c r="B25" s="33">
        <f t="shared" si="2"/>
        <v>0.13</v>
      </c>
      <c r="C25" s="31">
        <v>0.13</v>
      </c>
      <c r="D25" s="170">
        <v>1.0797000000000001</v>
      </c>
      <c r="E25" s="170">
        <v>1.0781000000000001</v>
      </c>
      <c r="F25" s="170">
        <v>1.0762</v>
      </c>
      <c r="G25" s="170">
        <v>1.0742</v>
      </c>
      <c r="H25" s="170">
        <v>1.0721000000000001</v>
      </c>
      <c r="I25" s="170">
        <v>1.0699000000000001</v>
      </c>
      <c r="J25" s="28">
        <f t="shared" si="3"/>
        <v>1.0710000000000002</v>
      </c>
      <c r="K25" s="103">
        <f t="shared" si="4"/>
        <v>0.13</v>
      </c>
      <c r="L25" s="108">
        <f t="shared" si="5"/>
        <v>0.87</v>
      </c>
      <c r="M25" s="115">
        <f t="shared" si="8"/>
        <v>0.13923000000000002</v>
      </c>
      <c r="N25" s="108">
        <f t="shared" si="7"/>
        <v>0.9317700000000001</v>
      </c>
      <c r="O25" s="179">
        <f>M25*1000/63</f>
        <v>2.2100000000000004</v>
      </c>
      <c r="P25" s="180">
        <f>N25/M25</f>
        <v>6.6923076923076916</v>
      </c>
      <c r="T25" s="17"/>
      <c r="U25" s="26"/>
      <c r="V25" s="26"/>
      <c r="W25" s="26"/>
      <c r="X25" s="26"/>
      <c r="Y25" s="33"/>
    </row>
    <row r="26" spans="1:28" x14ac:dyDescent="0.25">
      <c r="A26" s="33"/>
      <c r="B26" s="33">
        <f t="shared" si="2"/>
        <v>0.14000000000000001</v>
      </c>
      <c r="C26" s="31">
        <v>0.14000000000000001</v>
      </c>
      <c r="D26" s="170">
        <v>1.0862000000000001</v>
      </c>
      <c r="E26" s="170">
        <v>1.0845</v>
      </c>
      <c r="F26" s="170">
        <v>1.0824</v>
      </c>
      <c r="G26" s="170">
        <v>1.0803</v>
      </c>
      <c r="H26" s="170">
        <v>1.0781000000000001</v>
      </c>
      <c r="I26" s="170">
        <v>1.0758000000000001</v>
      </c>
      <c r="J26" s="28">
        <f t="shared" si="3"/>
        <v>1.0769500000000001</v>
      </c>
      <c r="K26" s="103">
        <f t="shared" si="4"/>
        <v>0.14000000000000001</v>
      </c>
      <c r="L26" s="108">
        <f t="shared" si="5"/>
        <v>0.86</v>
      </c>
      <c r="M26" s="115">
        <f t="shared" si="8"/>
        <v>0.15077300000000002</v>
      </c>
      <c r="N26" s="108">
        <f t="shared" si="7"/>
        <v>0.92617700000000003</v>
      </c>
      <c r="O26" s="179">
        <f>M26*1000/63</f>
        <v>2.3932222222222226</v>
      </c>
      <c r="P26" s="180">
        <f>N26/M26</f>
        <v>6.1428571428571423</v>
      </c>
      <c r="T26" s="17"/>
      <c r="U26" s="26"/>
      <c r="V26" s="26"/>
      <c r="W26" s="26"/>
      <c r="X26" s="26"/>
      <c r="Y26" s="33"/>
    </row>
    <row r="27" spans="1:28" x14ac:dyDescent="0.25">
      <c r="A27" s="33"/>
      <c r="B27" s="33">
        <f t="shared" si="2"/>
        <v>0.15</v>
      </c>
      <c r="C27" s="31">
        <v>0.15</v>
      </c>
      <c r="D27" s="170">
        <v>1.0927</v>
      </c>
      <c r="E27" s="170">
        <v>1.0909</v>
      </c>
      <c r="F27" s="170">
        <v>1.0887</v>
      </c>
      <c r="G27" s="170">
        <v>1.0865</v>
      </c>
      <c r="H27" s="170">
        <v>1.0842000000000001</v>
      </c>
      <c r="I27" s="170">
        <v>1.0818000000000001</v>
      </c>
      <c r="J27" s="28">
        <f t="shared" si="3"/>
        <v>1.0830000000000002</v>
      </c>
      <c r="K27" s="103">
        <f t="shared" si="4"/>
        <v>0.15</v>
      </c>
      <c r="L27" s="108">
        <f t="shared" si="5"/>
        <v>0.85</v>
      </c>
      <c r="M27" s="115">
        <f t="shared" si="8"/>
        <v>0.16245000000000001</v>
      </c>
      <c r="N27" s="108">
        <f t="shared" si="7"/>
        <v>0.92055000000000009</v>
      </c>
      <c r="O27" s="179">
        <f>M27*1000/63</f>
        <v>2.5785714285714287</v>
      </c>
      <c r="P27" s="180">
        <f>N27/M27</f>
        <v>5.666666666666667</v>
      </c>
      <c r="T27" s="17"/>
      <c r="U27" s="26"/>
      <c r="V27" s="26"/>
      <c r="W27" s="26"/>
      <c r="X27" s="26"/>
      <c r="Y27" s="33"/>
    </row>
    <row r="28" spans="1:28" x14ac:dyDescent="0.25">
      <c r="A28" s="33"/>
      <c r="B28" s="33">
        <f t="shared" si="2"/>
        <v>0.16</v>
      </c>
      <c r="C28" s="31">
        <v>0.16</v>
      </c>
      <c r="D28" s="170">
        <v>1.0992</v>
      </c>
      <c r="E28" s="170">
        <v>1.0972999999999999</v>
      </c>
      <c r="F28" s="170">
        <v>1.095</v>
      </c>
      <c r="G28" s="170">
        <v>1.0927</v>
      </c>
      <c r="H28" s="170">
        <v>1.0903</v>
      </c>
      <c r="I28" s="170">
        <v>1.0879000000000001</v>
      </c>
      <c r="J28" s="28">
        <f t="shared" si="3"/>
        <v>1.0891000000000002</v>
      </c>
      <c r="K28" s="103">
        <f t="shared" si="4"/>
        <v>0.16</v>
      </c>
      <c r="L28" s="108">
        <f t="shared" si="5"/>
        <v>0.84</v>
      </c>
      <c r="M28" s="115">
        <f t="shared" si="8"/>
        <v>0.17425600000000002</v>
      </c>
      <c r="N28" s="108">
        <f t="shared" si="7"/>
        <v>0.9148440000000001</v>
      </c>
      <c r="O28" s="179">
        <f>M28*1000/63</f>
        <v>2.7659682539682544</v>
      </c>
      <c r="P28" s="180">
        <f>N28/M28</f>
        <v>5.25</v>
      </c>
      <c r="T28" s="17"/>
      <c r="U28" s="26"/>
      <c r="V28" s="26"/>
      <c r="W28" s="26"/>
      <c r="X28" s="26"/>
      <c r="Y28" s="33"/>
    </row>
    <row r="29" spans="1:28" x14ac:dyDescent="0.25">
      <c r="A29" s="33"/>
      <c r="B29" s="33">
        <f t="shared" si="2"/>
        <v>0.17</v>
      </c>
      <c r="C29" s="31">
        <v>0.17</v>
      </c>
      <c r="D29" s="170">
        <v>1.1056999999999999</v>
      </c>
      <c r="E29" s="170">
        <v>1.1037999999999999</v>
      </c>
      <c r="F29" s="170">
        <v>1.1013999999999999</v>
      </c>
      <c r="G29" s="170">
        <v>1.0989</v>
      </c>
      <c r="H29" s="170">
        <v>1.0964</v>
      </c>
      <c r="I29" s="170">
        <v>1.0940000000000001</v>
      </c>
      <c r="J29" s="28">
        <f t="shared" si="3"/>
        <v>1.0952000000000002</v>
      </c>
      <c r="K29" s="103">
        <f t="shared" si="4"/>
        <v>0.17</v>
      </c>
      <c r="L29" s="108">
        <f t="shared" si="5"/>
        <v>0.83</v>
      </c>
      <c r="M29" s="115">
        <f t="shared" si="8"/>
        <v>0.18618400000000004</v>
      </c>
      <c r="N29" s="108">
        <f t="shared" si="7"/>
        <v>0.90901600000000005</v>
      </c>
      <c r="O29" s="179">
        <f>M29*1000/63</f>
        <v>2.9553015873015882</v>
      </c>
      <c r="P29" s="180">
        <f>N29/M29</f>
        <v>4.8823529411764701</v>
      </c>
      <c r="T29" s="17"/>
      <c r="U29" s="26"/>
      <c r="V29" s="26"/>
      <c r="W29" s="26"/>
      <c r="X29" s="26"/>
      <c r="Y29" s="33"/>
    </row>
    <row r="30" spans="1:28" x14ac:dyDescent="0.25">
      <c r="A30" s="33"/>
      <c r="B30" s="33">
        <f t="shared" si="2"/>
        <v>0.18</v>
      </c>
      <c r="C30" s="31">
        <v>0.18</v>
      </c>
      <c r="D30" s="170">
        <v>1.1123000000000001</v>
      </c>
      <c r="E30" s="170">
        <v>1.1103000000000001</v>
      </c>
      <c r="F30" s="170">
        <v>1.1077999999999999</v>
      </c>
      <c r="G30" s="170">
        <v>1.1052</v>
      </c>
      <c r="H30" s="170">
        <v>1.1026</v>
      </c>
      <c r="I30" s="170">
        <v>1.1001000000000001</v>
      </c>
      <c r="J30" s="28">
        <f t="shared" si="3"/>
        <v>1.1013500000000001</v>
      </c>
      <c r="K30" s="103">
        <f t="shared" si="4"/>
        <v>0.18</v>
      </c>
      <c r="L30" s="108">
        <f t="shared" si="5"/>
        <v>0.82000000000000006</v>
      </c>
      <c r="M30" s="115">
        <f t="shared" si="8"/>
        <v>0.198243</v>
      </c>
      <c r="N30" s="108">
        <f t="shared" si="7"/>
        <v>0.9031070000000001</v>
      </c>
      <c r="O30" s="179">
        <f>M30*1000/63</f>
        <v>3.1467142857142858</v>
      </c>
      <c r="P30" s="180">
        <f>N30/M30</f>
        <v>4.5555555555555562</v>
      </c>
      <c r="T30" s="17"/>
      <c r="U30" s="26"/>
      <c r="V30" s="26"/>
      <c r="W30" s="26"/>
      <c r="X30" s="26"/>
      <c r="Y30" s="33"/>
    </row>
    <row r="31" spans="1:28" x14ac:dyDescent="0.25">
      <c r="A31" s="33"/>
      <c r="B31" s="33">
        <f t="shared" si="2"/>
        <v>0.19</v>
      </c>
      <c r="C31" s="31">
        <v>0.19</v>
      </c>
      <c r="D31" s="170">
        <v>1.1189</v>
      </c>
      <c r="E31" s="170">
        <v>1.1168</v>
      </c>
      <c r="F31" s="170">
        <v>1.1142000000000001</v>
      </c>
      <c r="G31" s="170">
        <v>1.1114999999999999</v>
      </c>
      <c r="H31" s="170">
        <v>1.1088</v>
      </c>
      <c r="I31" s="170">
        <v>1.1062000000000001</v>
      </c>
      <c r="J31" s="28">
        <f t="shared" si="3"/>
        <v>1.1074999999999999</v>
      </c>
      <c r="K31" s="103">
        <f t="shared" si="4"/>
        <v>0.19</v>
      </c>
      <c r="L31" s="108">
        <f t="shared" si="5"/>
        <v>0.81</v>
      </c>
      <c r="M31" s="115">
        <f t="shared" si="8"/>
        <v>0.210425</v>
      </c>
      <c r="N31" s="108">
        <f t="shared" si="7"/>
        <v>0.89707499999999996</v>
      </c>
      <c r="O31" s="179">
        <f>M31*1000/63</f>
        <v>3.3400793650793652</v>
      </c>
      <c r="P31" s="180">
        <f>N31/M31</f>
        <v>4.2631578947368416</v>
      </c>
      <c r="T31" s="17"/>
      <c r="U31" s="26"/>
      <c r="V31" s="26"/>
      <c r="W31" s="26"/>
      <c r="X31" s="26"/>
      <c r="Y31" s="33"/>
    </row>
    <row r="32" spans="1:28" x14ac:dyDescent="0.25">
      <c r="A32" s="33"/>
      <c r="B32" s="33">
        <f t="shared" si="2"/>
        <v>0.2</v>
      </c>
      <c r="C32" s="31">
        <v>0.2</v>
      </c>
      <c r="D32" s="170">
        <v>1.1254999999999999</v>
      </c>
      <c r="E32" s="170">
        <v>1.1234</v>
      </c>
      <c r="F32" s="170">
        <v>1.1206</v>
      </c>
      <c r="G32" s="170">
        <v>1.1177999999999999</v>
      </c>
      <c r="H32" s="170">
        <v>1.115</v>
      </c>
      <c r="I32" s="170">
        <v>1.1123000000000001</v>
      </c>
      <c r="J32" s="28">
        <f t="shared" si="3"/>
        <v>1.11365</v>
      </c>
      <c r="K32" s="103">
        <f t="shared" si="4"/>
        <v>0.2</v>
      </c>
      <c r="L32" s="108">
        <f t="shared" si="5"/>
        <v>0.8</v>
      </c>
      <c r="M32" s="115">
        <f t="shared" si="8"/>
        <v>0.22273000000000001</v>
      </c>
      <c r="N32" s="108">
        <f t="shared" si="7"/>
        <v>0.89092000000000005</v>
      </c>
      <c r="O32" s="179">
        <f>M32*1000/63</f>
        <v>3.5353968253968255</v>
      </c>
      <c r="P32" s="180">
        <f>N32/M32</f>
        <v>4</v>
      </c>
      <c r="T32" s="17"/>
      <c r="U32" s="26"/>
      <c r="V32" s="26"/>
      <c r="W32" s="26"/>
      <c r="X32" s="26"/>
      <c r="Y32" s="33"/>
    </row>
    <row r="33" spans="1:25" x14ac:dyDescent="0.25">
      <c r="A33" s="33"/>
      <c r="B33" s="33">
        <f t="shared" si="2"/>
        <v>0.21</v>
      </c>
      <c r="C33" s="31">
        <v>0.21</v>
      </c>
      <c r="D33" s="170">
        <v>1.1322000000000001</v>
      </c>
      <c r="E33" s="170">
        <v>1.1299999999999999</v>
      </c>
      <c r="F33" s="170">
        <v>1.1271</v>
      </c>
      <c r="G33" s="170">
        <v>1.1242000000000001</v>
      </c>
      <c r="H33" s="170">
        <v>1.1213</v>
      </c>
      <c r="I33" s="170">
        <v>1.1185</v>
      </c>
      <c r="J33" s="28">
        <f t="shared" si="3"/>
        <v>1.1198999999999999</v>
      </c>
      <c r="K33" s="103">
        <f t="shared" si="4"/>
        <v>0.21</v>
      </c>
      <c r="L33" s="108">
        <f t="shared" si="5"/>
        <v>0.79</v>
      </c>
      <c r="M33" s="115">
        <f t="shared" si="8"/>
        <v>0.23517899999999997</v>
      </c>
      <c r="N33" s="108">
        <f t="shared" si="7"/>
        <v>0.88472099999999998</v>
      </c>
      <c r="O33" s="179">
        <f>M33*1000/63</f>
        <v>3.7329999999999997</v>
      </c>
      <c r="P33" s="180">
        <f>N33/M33</f>
        <v>3.7619047619047623</v>
      </c>
      <c r="T33" s="17"/>
      <c r="U33" s="26"/>
      <c r="V33" s="26"/>
      <c r="W33" s="26"/>
      <c r="X33" s="26"/>
      <c r="Y33" s="33"/>
    </row>
    <row r="34" spans="1:25" x14ac:dyDescent="0.25">
      <c r="A34" s="33"/>
      <c r="B34" s="33">
        <f t="shared" si="2"/>
        <v>0.22</v>
      </c>
      <c r="C34" s="31">
        <v>0.22</v>
      </c>
      <c r="D34" s="170">
        <v>1.1389</v>
      </c>
      <c r="E34" s="170">
        <v>1.1366000000000001</v>
      </c>
      <c r="F34" s="170">
        <v>1.1335999999999999</v>
      </c>
      <c r="G34" s="170">
        <v>1.1306</v>
      </c>
      <c r="H34" s="170">
        <v>1.1275999999999999</v>
      </c>
      <c r="I34" s="170">
        <v>1.1247</v>
      </c>
      <c r="J34" s="28">
        <f t="shared" si="3"/>
        <v>1.12615</v>
      </c>
      <c r="K34" s="103">
        <f t="shared" si="4"/>
        <v>0.22</v>
      </c>
      <c r="L34" s="108">
        <f t="shared" si="5"/>
        <v>0.78</v>
      </c>
      <c r="M34" s="115">
        <f t="shared" si="8"/>
        <v>0.247753</v>
      </c>
      <c r="N34" s="108">
        <f t="shared" si="7"/>
        <v>0.87839699999999998</v>
      </c>
      <c r="O34" s="179">
        <f>M34*1000/63</f>
        <v>3.9325873015873016</v>
      </c>
      <c r="P34" s="180">
        <f>N34/M34</f>
        <v>3.5454545454545454</v>
      </c>
      <c r="T34" s="17"/>
      <c r="U34" s="26"/>
      <c r="V34" s="26"/>
      <c r="W34" s="26"/>
      <c r="X34" s="26"/>
      <c r="Y34" s="33"/>
    </row>
    <row r="35" spans="1:25" x14ac:dyDescent="0.25">
      <c r="A35" s="33"/>
      <c r="B35" s="33">
        <f t="shared" si="2"/>
        <v>0.23</v>
      </c>
      <c r="C35" s="31">
        <v>0.23</v>
      </c>
      <c r="D35" s="170">
        <v>1.1456999999999999</v>
      </c>
      <c r="E35" s="170">
        <v>1.1433</v>
      </c>
      <c r="F35" s="170">
        <v>1.1402000000000001</v>
      </c>
      <c r="G35" s="170">
        <v>1.1371</v>
      </c>
      <c r="H35" s="170">
        <v>1.1339999999999999</v>
      </c>
      <c r="I35" s="170">
        <v>1.131</v>
      </c>
      <c r="J35" s="28">
        <f t="shared" si="3"/>
        <v>1.1324999999999998</v>
      </c>
      <c r="K35" s="103">
        <f t="shared" si="4"/>
        <v>0.23</v>
      </c>
      <c r="L35" s="108">
        <f t="shared" si="5"/>
        <v>0.77</v>
      </c>
      <c r="M35" s="115">
        <f>K35*J35</f>
        <v>0.26047499999999996</v>
      </c>
      <c r="N35" s="108">
        <f t="shared" si="7"/>
        <v>0.87202499999999994</v>
      </c>
      <c r="O35" s="179">
        <f>M35*1000/63</f>
        <v>4.1345238095238086</v>
      </c>
      <c r="P35" s="180">
        <f>N35/M35</f>
        <v>3.347826086956522</v>
      </c>
      <c r="T35" s="17"/>
      <c r="U35" s="26"/>
      <c r="V35" s="26"/>
      <c r="W35" s="26"/>
      <c r="X35" s="26"/>
      <c r="Y35" s="33"/>
    </row>
    <row r="36" spans="1:25" x14ac:dyDescent="0.25">
      <c r="A36" s="33"/>
      <c r="B36" s="33">
        <f t="shared" si="2"/>
        <v>0.24</v>
      </c>
      <c r="C36" s="31">
        <v>0.24</v>
      </c>
      <c r="D36" s="170">
        <v>1.1525000000000001</v>
      </c>
      <c r="E36" s="170">
        <v>1.1500999999999999</v>
      </c>
      <c r="F36" s="170">
        <v>1.1469</v>
      </c>
      <c r="G36" s="170">
        <v>1.1436999999999999</v>
      </c>
      <c r="H36" s="170">
        <v>1.1404000000000001</v>
      </c>
      <c r="I36" s="170">
        <v>1.1374</v>
      </c>
      <c r="J36" s="28">
        <f t="shared" si="3"/>
        <v>1.1389</v>
      </c>
      <c r="K36" s="103">
        <f t="shared" si="4"/>
        <v>0.24</v>
      </c>
      <c r="L36" s="108">
        <f t="shared" si="5"/>
        <v>0.76</v>
      </c>
      <c r="M36" s="115">
        <f t="shared" ref="M36:M80" si="9">K36*J36</f>
        <v>0.27333599999999997</v>
      </c>
      <c r="N36" s="108">
        <f t="shared" si="7"/>
        <v>0.865564</v>
      </c>
      <c r="O36" s="179">
        <f>M36*1000/63</f>
        <v>4.3386666666666658</v>
      </c>
      <c r="P36" s="180">
        <f>N36/M36</f>
        <v>3.166666666666667</v>
      </c>
      <c r="T36" s="17"/>
      <c r="U36" s="26"/>
      <c r="V36" s="26"/>
      <c r="W36" s="26"/>
      <c r="X36" s="26"/>
      <c r="Y36" s="33"/>
    </row>
    <row r="37" spans="1:25" x14ac:dyDescent="0.25">
      <c r="A37" s="33"/>
      <c r="B37" s="33">
        <f t="shared" si="2"/>
        <v>0.25</v>
      </c>
      <c r="C37" s="31">
        <v>0.25</v>
      </c>
      <c r="D37" s="170">
        <v>1.1594</v>
      </c>
      <c r="E37" s="170">
        <v>1.1569</v>
      </c>
      <c r="F37" s="170">
        <v>1.1536</v>
      </c>
      <c r="G37" s="170">
        <v>1.1503000000000001</v>
      </c>
      <c r="H37" s="170">
        <v>1.1469</v>
      </c>
      <c r="I37" s="170">
        <v>1.1437999999999999</v>
      </c>
      <c r="J37" s="28">
        <f t="shared" si="3"/>
        <v>1.1453500000000001</v>
      </c>
      <c r="K37" s="103">
        <f t="shared" si="4"/>
        <v>0.25</v>
      </c>
      <c r="L37" s="108">
        <f t="shared" si="5"/>
        <v>0.75</v>
      </c>
      <c r="M37" s="115">
        <f t="shared" si="9"/>
        <v>0.28633750000000002</v>
      </c>
      <c r="N37" s="108">
        <f t="shared" si="7"/>
        <v>0.85901250000000007</v>
      </c>
      <c r="O37" s="179">
        <f>M37*1000/63</f>
        <v>4.5450396825396835</v>
      </c>
      <c r="P37" s="180">
        <f>N37/M37</f>
        <v>3</v>
      </c>
      <c r="T37" s="17"/>
      <c r="U37" s="26"/>
      <c r="V37" s="26"/>
      <c r="W37" s="26"/>
      <c r="X37" s="26"/>
      <c r="Y37" s="33"/>
    </row>
    <row r="38" spans="1:25" x14ac:dyDescent="0.25">
      <c r="A38" s="33"/>
      <c r="B38" s="33">
        <f t="shared" si="2"/>
        <v>0.26</v>
      </c>
      <c r="C38" s="31">
        <v>0.26</v>
      </c>
      <c r="D38" s="170">
        <v>1.1662999999999999</v>
      </c>
      <c r="E38" s="170">
        <v>1.1637999999999999</v>
      </c>
      <c r="F38" s="170">
        <v>1.1603000000000001</v>
      </c>
      <c r="G38" s="170">
        <v>1.1569</v>
      </c>
      <c r="H38" s="170">
        <v>1.1534</v>
      </c>
      <c r="I38" s="170">
        <v>1.1501999999999999</v>
      </c>
      <c r="J38" s="28">
        <f t="shared" si="3"/>
        <v>1.1517999999999999</v>
      </c>
      <c r="K38" s="103">
        <f t="shared" si="4"/>
        <v>0.26</v>
      </c>
      <c r="L38" s="108">
        <f t="shared" si="5"/>
        <v>0.74</v>
      </c>
      <c r="M38" s="115">
        <f t="shared" si="9"/>
        <v>0.29946800000000001</v>
      </c>
      <c r="N38" s="108">
        <f t="shared" si="7"/>
        <v>0.85233199999999998</v>
      </c>
      <c r="O38" s="179">
        <f>M38*1000/63</f>
        <v>4.7534603174603181</v>
      </c>
      <c r="P38" s="180">
        <f>N38/M38</f>
        <v>2.8461538461538458</v>
      </c>
      <c r="T38" s="17"/>
      <c r="U38" s="26"/>
      <c r="V38" s="26"/>
      <c r="W38" s="26"/>
      <c r="X38" s="26"/>
      <c r="Y38" s="33"/>
    </row>
    <row r="39" spans="1:25" x14ac:dyDescent="0.25">
      <c r="A39" s="33"/>
      <c r="B39" s="33">
        <f t="shared" si="2"/>
        <v>0.27</v>
      </c>
      <c r="C39" s="31">
        <v>0.27</v>
      </c>
      <c r="D39" s="170">
        <v>1.1733</v>
      </c>
      <c r="E39" s="170">
        <v>1.1707000000000001</v>
      </c>
      <c r="F39" s="170">
        <v>1.167</v>
      </c>
      <c r="G39" s="170">
        <v>1.1635</v>
      </c>
      <c r="H39" s="170">
        <v>1.1599999999999999</v>
      </c>
      <c r="I39" s="170">
        <v>1.1566000000000001</v>
      </c>
      <c r="J39" s="28">
        <f t="shared" si="3"/>
        <v>1.1583000000000001</v>
      </c>
      <c r="K39" s="103">
        <f t="shared" si="4"/>
        <v>0.27</v>
      </c>
      <c r="L39" s="108">
        <f t="shared" si="5"/>
        <v>0.73</v>
      </c>
      <c r="M39" s="115">
        <f t="shared" si="9"/>
        <v>0.31274100000000005</v>
      </c>
      <c r="N39" s="108">
        <f t="shared" si="7"/>
        <v>0.84555900000000006</v>
      </c>
      <c r="O39" s="179">
        <f>M39*1000/63</f>
        <v>4.9641428571428579</v>
      </c>
      <c r="P39" s="180">
        <f>N39/M39</f>
        <v>2.7037037037037033</v>
      </c>
      <c r="T39" s="17"/>
      <c r="U39" s="26"/>
      <c r="V39" s="26"/>
      <c r="W39" s="26"/>
      <c r="X39" s="26"/>
      <c r="Y39" s="33"/>
    </row>
    <row r="40" spans="1:25" x14ac:dyDescent="0.25">
      <c r="A40" s="33"/>
      <c r="B40" s="33">
        <f t="shared" si="2"/>
        <v>0.28000000000000003</v>
      </c>
      <c r="C40" s="31">
        <v>0.28000000000000003</v>
      </c>
      <c r="D40" s="170">
        <v>1.1802999999999999</v>
      </c>
      <c r="E40" s="170">
        <v>1.1777</v>
      </c>
      <c r="F40" s="170">
        <v>1.1738</v>
      </c>
      <c r="G40" s="170">
        <v>1.1701999999999999</v>
      </c>
      <c r="H40" s="170">
        <v>1.1666000000000001</v>
      </c>
      <c r="I40" s="170">
        <v>1.1631</v>
      </c>
      <c r="J40" s="28">
        <f t="shared" si="3"/>
        <v>1.1648499999999999</v>
      </c>
      <c r="K40" s="103">
        <f t="shared" si="4"/>
        <v>0.28000000000000003</v>
      </c>
      <c r="L40" s="108">
        <f t="shared" si="5"/>
        <v>0.72</v>
      </c>
      <c r="M40" s="115">
        <f t="shared" si="9"/>
        <v>0.326158</v>
      </c>
      <c r="N40" s="108">
        <f t="shared" si="7"/>
        <v>0.83869199999999988</v>
      </c>
      <c r="O40" s="179">
        <f>M40*1000/63</f>
        <v>5.1771111111111114</v>
      </c>
      <c r="P40" s="180">
        <f>N40/M40</f>
        <v>2.5714285714285712</v>
      </c>
      <c r="S40"/>
    </row>
    <row r="41" spans="1:25" x14ac:dyDescent="0.25">
      <c r="A41" s="33"/>
      <c r="B41" s="33">
        <f t="shared" si="2"/>
        <v>0.28999999999999998</v>
      </c>
      <c r="C41" s="31">
        <v>0.28999999999999998</v>
      </c>
      <c r="D41" s="170">
        <v>1.1874</v>
      </c>
      <c r="E41" s="170">
        <v>1.1847000000000001</v>
      </c>
      <c r="F41" s="170">
        <v>1.1807000000000001</v>
      </c>
      <c r="G41" s="170">
        <v>1.177</v>
      </c>
      <c r="H41" s="170">
        <v>1.1733</v>
      </c>
      <c r="I41" s="170">
        <v>1.1697</v>
      </c>
      <c r="J41" s="28">
        <f t="shared" si="3"/>
        <v>1.1715</v>
      </c>
      <c r="K41" s="103">
        <f t="shared" si="4"/>
        <v>0.28999999999999998</v>
      </c>
      <c r="L41" s="108">
        <f t="shared" si="5"/>
        <v>0.71</v>
      </c>
      <c r="M41" s="115">
        <f t="shared" si="9"/>
        <v>0.33973499999999995</v>
      </c>
      <c r="N41" s="108">
        <f t="shared" si="7"/>
        <v>0.83176499999999998</v>
      </c>
      <c r="O41" s="179">
        <f>M41*1000/63</f>
        <v>5.3926190476190472</v>
      </c>
      <c r="P41" s="180">
        <f>N41/M41</f>
        <v>2.4482758620689657</v>
      </c>
      <c r="S41"/>
    </row>
    <row r="42" spans="1:25" x14ac:dyDescent="0.25">
      <c r="A42" s="33"/>
      <c r="B42" s="33">
        <f t="shared" si="2"/>
        <v>0.3</v>
      </c>
      <c r="C42" s="31">
        <v>0.3</v>
      </c>
      <c r="D42" s="170">
        <v>1.1944999999999999</v>
      </c>
      <c r="E42" s="170">
        <v>1.1917</v>
      </c>
      <c r="F42" s="170">
        <v>1.1876</v>
      </c>
      <c r="G42" s="170">
        <v>1.1838</v>
      </c>
      <c r="H42" s="170">
        <v>1.18</v>
      </c>
      <c r="I42" s="170">
        <v>1.1762999999999999</v>
      </c>
      <c r="J42" s="28">
        <f t="shared" si="3"/>
        <v>1.17815</v>
      </c>
      <c r="K42" s="103">
        <f t="shared" si="4"/>
        <v>0.3</v>
      </c>
      <c r="L42" s="108">
        <f t="shared" si="5"/>
        <v>0.7</v>
      </c>
      <c r="M42" s="115">
        <f t="shared" si="9"/>
        <v>0.35344500000000001</v>
      </c>
      <c r="N42" s="108">
        <f t="shared" si="7"/>
        <v>0.82470500000000002</v>
      </c>
      <c r="O42" s="5">
        <f t="shared" ref="O42:O80" si="10">M42*1000/63</f>
        <v>5.6102380952380955</v>
      </c>
      <c r="P42" s="177">
        <f t="shared" ref="P42:P80" si="11">N42/M42</f>
        <v>2.3333333333333335</v>
      </c>
      <c r="S42"/>
    </row>
    <row r="43" spans="1:25" x14ac:dyDescent="0.25">
      <c r="A43" s="33"/>
      <c r="B43" s="33">
        <f t="shared" si="2"/>
        <v>0.31</v>
      </c>
      <c r="C43" s="31">
        <v>0.31</v>
      </c>
      <c r="D43" s="170">
        <v>1.2016</v>
      </c>
      <c r="E43" s="170">
        <v>1.1988000000000001</v>
      </c>
      <c r="F43" s="170">
        <v>1.1944999999999999</v>
      </c>
      <c r="G43" s="170">
        <v>1.1906000000000001</v>
      </c>
      <c r="H43" s="170">
        <v>1.1867000000000001</v>
      </c>
      <c r="I43" s="170">
        <v>1.1829000000000001</v>
      </c>
      <c r="J43" s="28">
        <f t="shared" si="3"/>
        <v>1.1848000000000001</v>
      </c>
      <c r="K43" s="103">
        <f t="shared" si="4"/>
        <v>0.31</v>
      </c>
      <c r="L43" s="108">
        <f t="shared" si="5"/>
        <v>0.69</v>
      </c>
      <c r="M43" s="115">
        <f t="shared" si="9"/>
        <v>0.367288</v>
      </c>
      <c r="N43" s="108">
        <f t="shared" si="7"/>
        <v>0.81751200000000002</v>
      </c>
      <c r="O43" s="5">
        <f t="shared" si="10"/>
        <v>5.8299682539682545</v>
      </c>
      <c r="P43" s="177">
        <f t="shared" si="11"/>
        <v>2.2258064516129035</v>
      </c>
      <c r="S43"/>
    </row>
    <row r="44" spans="1:25" x14ac:dyDescent="0.25">
      <c r="A44" s="33"/>
      <c r="B44" s="33">
        <f t="shared" si="2"/>
        <v>0.32</v>
      </c>
      <c r="C44" s="31">
        <v>0.32</v>
      </c>
      <c r="D44" s="170">
        <v>1.2088000000000001</v>
      </c>
      <c r="E44" s="170">
        <v>1.2059</v>
      </c>
      <c r="F44" s="170">
        <v>1.2014</v>
      </c>
      <c r="G44" s="170">
        <v>1.1974</v>
      </c>
      <c r="H44" s="170">
        <v>1.1934</v>
      </c>
      <c r="I44" s="170">
        <v>1.1896</v>
      </c>
      <c r="J44" s="28">
        <f t="shared" si="3"/>
        <v>1.1915</v>
      </c>
      <c r="K44" s="103">
        <f t="shared" si="4"/>
        <v>0.32</v>
      </c>
      <c r="L44" s="108">
        <f t="shared" si="5"/>
        <v>0.67999999999999994</v>
      </c>
      <c r="M44" s="115">
        <f t="shared" si="9"/>
        <v>0.38128000000000001</v>
      </c>
      <c r="N44" s="108">
        <f t="shared" si="7"/>
        <v>0.81021999999999994</v>
      </c>
      <c r="O44" s="5">
        <f t="shared" si="10"/>
        <v>6.0520634920634926</v>
      </c>
      <c r="P44" s="177">
        <f t="shared" si="11"/>
        <v>2.125</v>
      </c>
      <c r="S44"/>
    </row>
    <row r="45" spans="1:25" x14ac:dyDescent="0.25">
      <c r="A45" s="33"/>
      <c r="B45" s="33">
        <f t="shared" si="2"/>
        <v>0.33</v>
      </c>
      <c r="C45" s="31">
        <v>0.33</v>
      </c>
      <c r="D45" s="170">
        <v>1.216</v>
      </c>
      <c r="E45" s="170">
        <v>1.2131000000000001</v>
      </c>
      <c r="F45" s="170">
        <v>1.2083999999999999</v>
      </c>
      <c r="G45" s="170">
        <v>1.2042999999999999</v>
      </c>
      <c r="H45" s="170">
        <v>1.2001999999999999</v>
      </c>
      <c r="I45" s="170">
        <v>1.1962999999999999</v>
      </c>
      <c r="J45" s="28">
        <f t="shared" si="3"/>
        <v>1.1982499999999998</v>
      </c>
      <c r="K45" s="103">
        <f t="shared" si="4"/>
        <v>0.33</v>
      </c>
      <c r="L45" s="108">
        <f t="shared" si="5"/>
        <v>0.66999999999999993</v>
      </c>
      <c r="M45" s="115">
        <f t="shared" si="9"/>
        <v>0.39542249999999995</v>
      </c>
      <c r="N45" s="108">
        <f t="shared" si="7"/>
        <v>0.80282749999999981</v>
      </c>
      <c r="O45" s="5">
        <f t="shared" si="10"/>
        <v>6.2765476190476184</v>
      </c>
      <c r="P45" s="177">
        <f t="shared" si="11"/>
        <v>2.0303030303030298</v>
      </c>
      <c r="S45"/>
    </row>
    <row r="46" spans="1:25" x14ac:dyDescent="0.25">
      <c r="A46" s="33"/>
      <c r="B46" s="33">
        <f t="shared" si="2"/>
        <v>0.34</v>
      </c>
      <c r="C46" s="31">
        <v>0.34</v>
      </c>
      <c r="D46" s="170">
        <v>1.2233000000000001</v>
      </c>
      <c r="E46" s="170">
        <v>1.2202999999999999</v>
      </c>
      <c r="F46" s="170">
        <v>1.2155</v>
      </c>
      <c r="G46" s="170">
        <v>1.2113</v>
      </c>
      <c r="H46" s="170">
        <v>1.2071000000000001</v>
      </c>
      <c r="I46" s="170">
        <v>1.2030000000000001</v>
      </c>
      <c r="J46" s="28">
        <f t="shared" si="3"/>
        <v>1.20505</v>
      </c>
      <c r="K46" s="103">
        <f t="shared" si="4"/>
        <v>0.34</v>
      </c>
      <c r="L46" s="108">
        <f t="shared" si="5"/>
        <v>0.65999999999999992</v>
      </c>
      <c r="M46" s="115">
        <f t="shared" si="9"/>
        <v>0.409717</v>
      </c>
      <c r="N46" s="108">
        <f t="shared" si="7"/>
        <v>0.79533299999999985</v>
      </c>
      <c r="O46" s="5">
        <f t="shared" si="10"/>
        <v>6.5034444444444439</v>
      </c>
      <c r="P46" s="177">
        <f t="shared" si="11"/>
        <v>1.9411764705882348</v>
      </c>
      <c r="S46"/>
    </row>
    <row r="47" spans="1:25" x14ac:dyDescent="0.25">
      <c r="A47" s="33"/>
      <c r="B47" s="33">
        <f t="shared" si="2"/>
        <v>0.35</v>
      </c>
      <c r="C47" s="31">
        <v>0.35</v>
      </c>
      <c r="D47" s="170">
        <v>1.2305999999999999</v>
      </c>
      <c r="E47" s="170">
        <v>1.2275</v>
      </c>
      <c r="F47" s="170">
        <v>1.2226999999999999</v>
      </c>
      <c r="G47" s="170">
        <v>1.2182999999999999</v>
      </c>
      <c r="H47" s="170">
        <v>1.214</v>
      </c>
      <c r="I47" s="170">
        <v>1.2098</v>
      </c>
      <c r="J47" s="28">
        <f t="shared" si="3"/>
        <v>1.2119</v>
      </c>
      <c r="K47" s="103">
        <f t="shared" si="4"/>
        <v>0.35</v>
      </c>
      <c r="L47" s="108">
        <f t="shared" si="5"/>
        <v>0.65</v>
      </c>
      <c r="M47" s="115">
        <f t="shared" si="9"/>
        <v>0.42416499999999996</v>
      </c>
      <c r="N47" s="108">
        <f t="shared" si="7"/>
        <v>0.78773499999999996</v>
      </c>
      <c r="O47" s="5">
        <f t="shared" si="10"/>
        <v>6.7327777777777769</v>
      </c>
      <c r="P47" s="177">
        <f t="shared" si="11"/>
        <v>1.8571428571428572</v>
      </c>
      <c r="S47"/>
    </row>
    <row r="48" spans="1:25" x14ac:dyDescent="0.25">
      <c r="A48" s="33"/>
      <c r="B48" s="33">
        <f t="shared" si="2"/>
        <v>0.36</v>
      </c>
      <c r="C48" s="31">
        <v>0.36</v>
      </c>
      <c r="D48" s="170">
        <v>1.2375</v>
      </c>
      <c r="E48" s="170">
        <v>1.2343999999999999</v>
      </c>
      <c r="F48" s="170">
        <v>1.2294</v>
      </c>
      <c r="G48" s="170">
        <v>1.2249000000000001</v>
      </c>
      <c r="H48" s="170">
        <v>1.2204999999999999</v>
      </c>
      <c r="I48" s="170">
        <v>1.2162999999999999</v>
      </c>
      <c r="J48" s="28">
        <f t="shared" si="3"/>
        <v>1.2183999999999999</v>
      </c>
      <c r="K48" s="103">
        <f t="shared" si="4"/>
        <v>0.36</v>
      </c>
      <c r="L48" s="108">
        <f t="shared" si="5"/>
        <v>0.64</v>
      </c>
      <c r="M48" s="115">
        <f t="shared" si="9"/>
        <v>0.43862399999999996</v>
      </c>
      <c r="N48" s="108">
        <f t="shared" si="7"/>
        <v>0.77977600000000002</v>
      </c>
      <c r="O48" s="5">
        <f t="shared" si="10"/>
        <v>6.9622857142857137</v>
      </c>
      <c r="P48" s="177">
        <f t="shared" si="11"/>
        <v>1.7777777777777779</v>
      </c>
      <c r="S48"/>
    </row>
    <row r="49" spans="1:19" x14ac:dyDescent="0.25">
      <c r="A49" s="33"/>
      <c r="B49" s="33">
        <f t="shared" si="2"/>
        <v>0.37</v>
      </c>
      <c r="C49" s="31">
        <v>0.37</v>
      </c>
      <c r="D49" s="170">
        <v>1.2444</v>
      </c>
      <c r="E49" s="170">
        <v>1.2412000000000001</v>
      </c>
      <c r="F49" s="170">
        <v>1.2361</v>
      </c>
      <c r="G49" s="170">
        <v>1.2315</v>
      </c>
      <c r="H49" s="170">
        <v>1.2270000000000001</v>
      </c>
      <c r="I49" s="170">
        <v>1.2226999999999999</v>
      </c>
      <c r="J49" s="28">
        <f t="shared" si="3"/>
        <v>1.22485</v>
      </c>
      <c r="K49" s="103">
        <f t="shared" si="4"/>
        <v>0.37</v>
      </c>
      <c r="L49" s="108">
        <f t="shared" si="5"/>
        <v>0.63</v>
      </c>
      <c r="M49" s="115">
        <f t="shared" si="9"/>
        <v>0.4531945</v>
      </c>
      <c r="N49" s="108">
        <f t="shared" si="7"/>
        <v>0.77165550000000005</v>
      </c>
      <c r="O49" s="5">
        <f t="shared" si="10"/>
        <v>7.1935634920634923</v>
      </c>
      <c r="P49" s="177">
        <f t="shared" si="11"/>
        <v>1.7027027027027029</v>
      </c>
      <c r="S49"/>
    </row>
    <row r="50" spans="1:19" x14ac:dyDescent="0.25">
      <c r="A50" s="33"/>
      <c r="B50" s="33">
        <f t="shared" si="2"/>
        <v>0.38</v>
      </c>
      <c r="C50" s="31">
        <v>0.38</v>
      </c>
      <c r="D50" s="170">
        <v>1.2513000000000001</v>
      </c>
      <c r="E50" s="170">
        <v>1.2479</v>
      </c>
      <c r="F50" s="170">
        <v>1.2427999999999999</v>
      </c>
      <c r="G50" s="170">
        <v>1.2381</v>
      </c>
      <c r="H50" s="170">
        <v>1.2335</v>
      </c>
      <c r="I50" s="170">
        <v>1.2291000000000001</v>
      </c>
      <c r="J50" s="28">
        <f t="shared" si="3"/>
        <v>1.2313000000000001</v>
      </c>
      <c r="K50" s="103">
        <f t="shared" si="4"/>
        <v>0.38</v>
      </c>
      <c r="L50" s="108">
        <f t="shared" si="5"/>
        <v>0.62</v>
      </c>
      <c r="M50" s="115">
        <f t="shared" si="9"/>
        <v>0.46789400000000003</v>
      </c>
      <c r="N50" s="108">
        <f t="shared" si="7"/>
        <v>0.76340600000000003</v>
      </c>
      <c r="O50" s="5">
        <f t="shared" si="10"/>
        <v>7.4268888888888887</v>
      </c>
      <c r="P50" s="177">
        <f t="shared" si="11"/>
        <v>1.631578947368421</v>
      </c>
      <c r="S50"/>
    </row>
    <row r="51" spans="1:19" x14ac:dyDescent="0.25">
      <c r="A51" s="33"/>
      <c r="B51" s="33">
        <f t="shared" si="2"/>
        <v>0.39</v>
      </c>
      <c r="C51" s="31">
        <v>0.39</v>
      </c>
      <c r="D51" s="170">
        <v>1.2581</v>
      </c>
      <c r="E51" s="170">
        <v>1.2545999999999999</v>
      </c>
      <c r="F51" s="170">
        <v>1.2494000000000001</v>
      </c>
      <c r="G51" s="170">
        <v>1.2445999999999999</v>
      </c>
      <c r="H51" s="170">
        <v>1.2399</v>
      </c>
      <c r="I51" s="170">
        <v>1.2354000000000001</v>
      </c>
      <c r="J51" s="28">
        <f t="shared" si="3"/>
        <v>1.2376499999999999</v>
      </c>
      <c r="K51" s="103">
        <f t="shared" si="4"/>
        <v>0.39</v>
      </c>
      <c r="L51" s="108">
        <f t="shared" si="5"/>
        <v>0.61</v>
      </c>
      <c r="M51" s="115">
        <f t="shared" si="9"/>
        <v>0.48268349999999999</v>
      </c>
      <c r="N51" s="108">
        <f t="shared" si="7"/>
        <v>0.75496649999999998</v>
      </c>
      <c r="O51" s="5">
        <f t="shared" si="10"/>
        <v>7.6616428571428568</v>
      </c>
      <c r="P51" s="177">
        <f t="shared" si="11"/>
        <v>1.5641025641025641</v>
      </c>
      <c r="S51"/>
    </row>
    <row r="52" spans="1:19" x14ac:dyDescent="0.25">
      <c r="A52" s="33"/>
      <c r="B52" s="33">
        <f t="shared" si="2"/>
        <v>0.4</v>
      </c>
      <c r="C52" s="31">
        <v>0.4</v>
      </c>
      <c r="D52" s="170">
        <v>1.2648999999999999</v>
      </c>
      <c r="E52" s="170">
        <v>1.2613000000000001</v>
      </c>
      <c r="F52" s="170">
        <v>1.256</v>
      </c>
      <c r="G52" s="170">
        <v>1.2511000000000001</v>
      </c>
      <c r="H52" s="170">
        <v>1.2463</v>
      </c>
      <c r="I52" s="170">
        <v>1.2417</v>
      </c>
      <c r="J52" s="28">
        <f t="shared" si="3"/>
        <v>1.244</v>
      </c>
      <c r="K52" s="103">
        <f t="shared" si="4"/>
        <v>0.4</v>
      </c>
      <c r="L52" s="108">
        <f t="shared" si="5"/>
        <v>0.6</v>
      </c>
      <c r="M52" s="115">
        <f t="shared" si="9"/>
        <v>0.49760000000000004</v>
      </c>
      <c r="N52" s="108">
        <f t="shared" si="7"/>
        <v>0.74639999999999995</v>
      </c>
      <c r="O52" s="5">
        <f t="shared" si="10"/>
        <v>7.8984126984126988</v>
      </c>
      <c r="P52" s="177">
        <f t="shared" si="11"/>
        <v>1.4999999999999998</v>
      </c>
      <c r="S52"/>
    </row>
    <row r="53" spans="1:19" x14ac:dyDescent="0.25">
      <c r="A53" s="33"/>
      <c r="B53" s="33">
        <f t="shared" si="2"/>
        <v>0.41</v>
      </c>
      <c r="C53" s="31">
        <v>0.41</v>
      </c>
      <c r="D53" s="170">
        <v>1.2717000000000001</v>
      </c>
      <c r="E53" s="170">
        <v>1.268</v>
      </c>
      <c r="F53" s="170">
        <v>1.2625999999999999</v>
      </c>
      <c r="G53" s="170">
        <v>1.2576000000000001</v>
      </c>
      <c r="H53" s="170">
        <v>1.2526999999999999</v>
      </c>
      <c r="I53" s="170">
        <v>1.248</v>
      </c>
      <c r="J53" s="28">
        <f t="shared" si="3"/>
        <v>1.2503500000000001</v>
      </c>
      <c r="K53" s="103">
        <f t="shared" si="4"/>
        <v>0.41</v>
      </c>
      <c r="L53" s="108">
        <f t="shared" si="5"/>
        <v>0.59000000000000008</v>
      </c>
      <c r="M53" s="115">
        <f t="shared" si="9"/>
        <v>0.51264350000000003</v>
      </c>
      <c r="N53" s="108">
        <f t="shared" si="7"/>
        <v>0.73770650000000015</v>
      </c>
      <c r="O53" s="5">
        <f t="shared" si="10"/>
        <v>8.1371984126984138</v>
      </c>
      <c r="P53" s="177">
        <f t="shared" si="11"/>
        <v>1.4390243902439026</v>
      </c>
      <c r="S53"/>
    </row>
    <row r="54" spans="1:19" x14ac:dyDescent="0.25">
      <c r="A54" s="33"/>
      <c r="B54" s="33">
        <f t="shared" si="2"/>
        <v>0.42</v>
      </c>
      <c r="C54" s="31">
        <v>0.42</v>
      </c>
      <c r="D54" s="170">
        <v>1.2786</v>
      </c>
      <c r="E54" s="170">
        <v>1.2746999999999999</v>
      </c>
      <c r="F54" s="170">
        <v>1.2692000000000001</v>
      </c>
      <c r="G54" s="170">
        <v>1.2641</v>
      </c>
      <c r="H54" s="170">
        <v>1.2591000000000001</v>
      </c>
      <c r="I54" s="170">
        <v>1.2543</v>
      </c>
      <c r="J54" s="28">
        <f t="shared" si="3"/>
        <v>1.2566999999999999</v>
      </c>
      <c r="K54" s="103">
        <f t="shared" si="4"/>
        <v>0.42</v>
      </c>
      <c r="L54" s="108">
        <f t="shared" si="5"/>
        <v>0.58000000000000007</v>
      </c>
      <c r="M54" s="115">
        <f t="shared" si="9"/>
        <v>0.52781400000000001</v>
      </c>
      <c r="N54" s="108">
        <f t="shared" si="7"/>
        <v>0.72888600000000003</v>
      </c>
      <c r="O54" s="5">
        <f t="shared" si="10"/>
        <v>8.3780000000000001</v>
      </c>
      <c r="P54" s="177">
        <f t="shared" si="11"/>
        <v>1.3809523809523809</v>
      </c>
      <c r="S54"/>
    </row>
    <row r="55" spans="1:19" x14ac:dyDescent="0.25">
      <c r="A55" s="33"/>
      <c r="B55" s="33">
        <f t="shared" si="2"/>
        <v>0.43</v>
      </c>
      <c r="C55" s="31">
        <v>0.43</v>
      </c>
      <c r="D55" s="170">
        <v>1.2854000000000001</v>
      </c>
      <c r="E55" s="170">
        <v>1.2814000000000001</v>
      </c>
      <c r="F55" s="170">
        <v>1.2758</v>
      </c>
      <c r="G55" s="170">
        <v>1.2706</v>
      </c>
      <c r="H55" s="170">
        <v>1.2655000000000001</v>
      </c>
      <c r="I55" s="170">
        <v>1.2605999999999999</v>
      </c>
      <c r="J55" s="28">
        <f t="shared" si="3"/>
        <v>1.26305</v>
      </c>
      <c r="K55" s="103">
        <f t="shared" si="4"/>
        <v>0.43</v>
      </c>
      <c r="L55" s="108">
        <f t="shared" si="5"/>
        <v>0.57000000000000006</v>
      </c>
      <c r="M55" s="115">
        <f t="shared" si="9"/>
        <v>0.54311149999999997</v>
      </c>
      <c r="N55" s="108">
        <f t="shared" si="7"/>
        <v>0.71993850000000004</v>
      </c>
      <c r="O55" s="5">
        <f t="shared" si="10"/>
        <v>8.6208174603174594</v>
      </c>
      <c r="P55" s="177">
        <f t="shared" si="11"/>
        <v>1.3255813953488373</v>
      </c>
      <c r="S55"/>
    </row>
    <row r="56" spans="1:19" x14ac:dyDescent="0.25">
      <c r="A56" s="33"/>
      <c r="B56" s="33">
        <f t="shared" si="2"/>
        <v>0.44</v>
      </c>
      <c r="C56" s="31">
        <v>0.44</v>
      </c>
      <c r="D56" s="170">
        <v>1.2922</v>
      </c>
      <c r="E56" s="170">
        <v>1.288</v>
      </c>
      <c r="F56" s="170">
        <v>1.2824</v>
      </c>
      <c r="G56" s="170">
        <v>1.2770999999999999</v>
      </c>
      <c r="H56" s="170">
        <v>1.2719</v>
      </c>
      <c r="I56" s="170">
        <v>1.2668999999999999</v>
      </c>
      <c r="J56" s="28">
        <f t="shared" si="3"/>
        <v>1.2694000000000001</v>
      </c>
      <c r="K56" s="103">
        <f t="shared" si="4"/>
        <v>0.44</v>
      </c>
      <c r="L56" s="108">
        <f t="shared" si="5"/>
        <v>0.56000000000000005</v>
      </c>
      <c r="M56" s="115">
        <f t="shared" si="9"/>
        <v>0.55853600000000003</v>
      </c>
      <c r="N56" s="108">
        <f t="shared" si="7"/>
        <v>0.71086400000000016</v>
      </c>
      <c r="O56" s="5">
        <f t="shared" si="10"/>
        <v>8.8656507936507953</v>
      </c>
      <c r="P56" s="177">
        <f t="shared" si="11"/>
        <v>1.2727272727272729</v>
      </c>
      <c r="S56"/>
    </row>
    <row r="57" spans="1:19" x14ac:dyDescent="0.25">
      <c r="A57" s="33"/>
      <c r="B57" s="33">
        <f t="shared" si="2"/>
        <v>0.45</v>
      </c>
      <c r="C57" s="31">
        <v>0.45</v>
      </c>
      <c r="D57" s="170">
        <v>1.2989999999999999</v>
      </c>
      <c r="E57" s="170">
        <v>1.2947</v>
      </c>
      <c r="F57" s="170">
        <v>1.2889999999999999</v>
      </c>
      <c r="G57" s="170">
        <v>1.2836000000000001</v>
      </c>
      <c r="H57" s="170">
        <v>1.2783</v>
      </c>
      <c r="I57" s="170">
        <v>1.2732000000000001</v>
      </c>
      <c r="J57" s="28">
        <f t="shared" si="3"/>
        <v>1.2757499999999999</v>
      </c>
      <c r="K57" s="103">
        <f t="shared" si="4"/>
        <v>0.45</v>
      </c>
      <c r="L57" s="108">
        <f t="shared" si="5"/>
        <v>0.55000000000000004</v>
      </c>
      <c r="M57" s="115">
        <f t="shared" si="9"/>
        <v>0.57408749999999997</v>
      </c>
      <c r="N57" s="108">
        <f t="shared" si="7"/>
        <v>0.70166250000000008</v>
      </c>
      <c r="O57" s="5">
        <f t="shared" si="10"/>
        <v>9.1124999999999989</v>
      </c>
      <c r="P57" s="177">
        <f t="shared" si="11"/>
        <v>1.2222222222222223</v>
      </c>
      <c r="S57"/>
    </row>
    <row r="58" spans="1:19" x14ac:dyDescent="0.25">
      <c r="A58" s="33"/>
      <c r="B58" s="33">
        <f t="shared" si="2"/>
        <v>0.46</v>
      </c>
      <c r="C58" s="31">
        <v>0.46</v>
      </c>
      <c r="D58" s="170">
        <v>1.3058000000000001</v>
      </c>
      <c r="E58" s="170">
        <v>1.3013999999999999</v>
      </c>
      <c r="F58" s="170">
        <v>1.2955000000000001</v>
      </c>
      <c r="G58" s="170">
        <v>1.2901</v>
      </c>
      <c r="H58" s="170">
        <v>1.2847</v>
      </c>
      <c r="I58" s="170">
        <v>1.2795000000000001</v>
      </c>
      <c r="J58" s="28">
        <f t="shared" si="3"/>
        <v>1.2821</v>
      </c>
      <c r="K58" s="103">
        <f t="shared" si="4"/>
        <v>0.46</v>
      </c>
      <c r="L58" s="108">
        <f t="shared" si="5"/>
        <v>0.54</v>
      </c>
      <c r="M58" s="115">
        <f t="shared" si="9"/>
        <v>0.58976600000000001</v>
      </c>
      <c r="N58" s="108">
        <f t="shared" si="7"/>
        <v>0.692334</v>
      </c>
      <c r="O58" s="5">
        <f t="shared" si="10"/>
        <v>9.3613650793650791</v>
      </c>
      <c r="P58" s="177">
        <f t="shared" si="11"/>
        <v>1.1739130434782608</v>
      </c>
      <c r="S58"/>
    </row>
    <row r="59" spans="1:19" x14ac:dyDescent="0.25">
      <c r="A59" s="33"/>
      <c r="B59" s="33">
        <f t="shared" si="2"/>
        <v>0.47</v>
      </c>
      <c r="C59" s="31">
        <v>0.47</v>
      </c>
      <c r="D59" s="170">
        <v>1.3126</v>
      </c>
      <c r="E59" s="170">
        <v>1.3080000000000001</v>
      </c>
      <c r="F59" s="170">
        <v>1.3021</v>
      </c>
      <c r="G59" s="170">
        <v>1.2966</v>
      </c>
      <c r="H59" s="170">
        <v>1.2910999999999999</v>
      </c>
      <c r="I59" s="170">
        <v>1.2858000000000001</v>
      </c>
      <c r="J59" s="28">
        <f t="shared" si="3"/>
        <v>1.2884500000000001</v>
      </c>
      <c r="K59" s="103">
        <f t="shared" si="4"/>
        <v>0.47</v>
      </c>
      <c r="L59" s="108">
        <f t="shared" si="5"/>
        <v>0.53</v>
      </c>
      <c r="M59" s="115">
        <f t="shared" si="9"/>
        <v>0.60557150000000004</v>
      </c>
      <c r="N59" s="108">
        <f t="shared" si="7"/>
        <v>0.68287850000000005</v>
      </c>
      <c r="O59" s="5">
        <f t="shared" si="10"/>
        <v>9.6122460317460323</v>
      </c>
      <c r="P59" s="177">
        <f t="shared" si="11"/>
        <v>1.1276595744680851</v>
      </c>
      <c r="S59"/>
    </row>
    <row r="60" spans="1:19" x14ac:dyDescent="0.25">
      <c r="A60" s="33"/>
      <c r="B60" s="33">
        <f t="shared" si="2"/>
        <v>0.48</v>
      </c>
      <c r="C60" s="31">
        <v>0.48</v>
      </c>
      <c r="D60" s="170">
        <v>1.3193999999999999</v>
      </c>
      <c r="E60" s="170">
        <v>1.3147</v>
      </c>
      <c r="F60" s="170">
        <v>1.3087</v>
      </c>
      <c r="G60" s="170">
        <v>1.3030999999999999</v>
      </c>
      <c r="H60" s="170">
        <v>1.2975000000000001</v>
      </c>
      <c r="I60" s="170">
        <v>1.2921</v>
      </c>
      <c r="J60" s="28">
        <f t="shared" si="3"/>
        <v>1.2948</v>
      </c>
      <c r="K60" s="103">
        <f t="shared" si="4"/>
        <v>0.48</v>
      </c>
      <c r="L60" s="108">
        <f t="shared" si="5"/>
        <v>0.52</v>
      </c>
      <c r="M60" s="115">
        <f t="shared" si="9"/>
        <v>0.62150399999999995</v>
      </c>
      <c r="N60" s="108">
        <f t="shared" si="7"/>
        <v>0.67329600000000001</v>
      </c>
      <c r="O60" s="5">
        <f t="shared" si="10"/>
        <v>9.865142857142855</v>
      </c>
      <c r="P60" s="177">
        <f t="shared" si="11"/>
        <v>1.0833333333333335</v>
      </c>
      <c r="S60"/>
    </row>
    <row r="61" spans="1:19" x14ac:dyDescent="0.25">
      <c r="A61" s="33"/>
      <c r="B61" s="33">
        <f t="shared" si="2"/>
        <v>0.49</v>
      </c>
      <c r="C61" s="31">
        <v>0.49</v>
      </c>
      <c r="D61" s="170">
        <v>1.3263</v>
      </c>
      <c r="E61" s="170">
        <v>1.3213999999999999</v>
      </c>
      <c r="F61" s="170">
        <v>1.3152999999999999</v>
      </c>
      <c r="G61" s="170">
        <v>1.3096000000000001</v>
      </c>
      <c r="H61" s="170">
        <v>1.304</v>
      </c>
      <c r="I61" s="170">
        <v>1.2984</v>
      </c>
      <c r="J61" s="28">
        <f t="shared" si="3"/>
        <v>1.3012000000000001</v>
      </c>
      <c r="K61" s="103">
        <f t="shared" si="4"/>
        <v>0.49</v>
      </c>
      <c r="L61" s="108">
        <f t="shared" si="5"/>
        <v>0.51</v>
      </c>
      <c r="M61" s="115">
        <f t="shared" si="9"/>
        <v>0.63758800000000004</v>
      </c>
      <c r="N61" s="108">
        <f t="shared" si="7"/>
        <v>0.66361200000000009</v>
      </c>
      <c r="O61" s="5">
        <f t="shared" si="10"/>
        <v>10.120444444444447</v>
      </c>
      <c r="P61" s="177">
        <f t="shared" si="11"/>
        <v>1.0408163265306123</v>
      </c>
      <c r="S61"/>
    </row>
    <row r="62" spans="1:19" x14ac:dyDescent="0.25">
      <c r="A62" s="33"/>
      <c r="B62" s="33">
        <f t="shared" si="2"/>
        <v>0.5</v>
      </c>
      <c r="C62" s="31">
        <v>0.5</v>
      </c>
      <c r="D62" s="170">
        <v>1.3327</v>
      </c>
      <c r="E62" s="170">
        <v>1.3277000000000001</v>
      </c>
      <c r="F62" s="170">
        <v>1.3214999999999999</v>
      </c>
      <c r="G62" s="170">
        <v>1.3157000000000001</v>
      </c>
      <c r="H62" s="170">
        <v>1.31</v>
      </c>
      <c r="I62" s="170">
        <v>1.3043</v>
      </c>
      <c r="J62" s="28">
        <f t="shared" si="3"/>
        <v>1.30715</v>
      </c>
      <c r="K62" s="103">
        <f t="shared" si="4"/>
        <v>0.5</v>
      </c>
      <c r="L62" s="108">
        <f t="shared" si="5"/>
        <v>0.5</v>
      </c>
      <c r="M62" s="115">
        <f t="shared" si="9"/>
        <v>0.65357500000000002</v>
      </c>
      <c r="N62" s="108">
        <f t="shared" si="7"/>
        <v>0.65357500000000002</v>
      </c>
      <c r="O62" s="5">
        <f t="shared" si="10"/>
        <v>10.37420634920635</v>
      </c>
      <c r="P62" s="177">
        <f t="shared" si="11"/>
        <v>1</v>
      </c>
      <c r="S62"/>
    </row>
    <row r="63" spans="1:19" x14ac:dyDescent="0.25">
      <c r="A63" s="33"/>
      <c r="B63" s="33">
        <f t="shared" si="2"/>
        <v>0.51</v>
      </c>
      <c r="C63" s="31">
        <v>0.51</v>
      </c>
      <c r="D63" s="170">
        <v>1.3391</v>
      </c>
      <c r="E63" s="170">
        <v>1.3339000000000001</v>
      </c>
      <c r="F63" s="170">
        <v>1.3277000000000001</v>
      </c>
      <c r="G63" s="170">
        <v>1.3218000000000001</v>
      </c>
      <c r="H63" s="170">
        <v>1.3160000000000001</v>
      </c>
      <c r="I63" s="170">
        <v>1.3102</v>
      </c>
      <c r="J63" s="28">
        <f t="shared" si="3"/>
        <v>1.3130999999999999</v>
      </c>
      <c r="K63" s="103">
        <f t="shared" si="4"/>
        <v>0.51</v>
      </c>
      <c r="L63" s="108">
        <f t="shared" si="5"/>
        <v>0.49</v>
      </c>
      <c r="M63" s="115">
        <f t="shared" si="9"/>
        <v>0.66968099999999997</v>
      </c>
      <c r="N63" s="108">
        <f t="shared" si="7"/>
        <v>0.64341899999999996</v>
      </c>
      <c r="O63" s="5">
        <f t="shared" si="10"/>
        <v>10.629857142857142</v>
      </c>
      <c r="P63" s="177">
        <f t="shared" si="11"/>
        <v>0.96078431372549022</v>
      </c>
      <c r="S63"/>
    </row>
    <row r="64" spans="1:19" x14ac:dyDescent="0.25">
      <c r="A64" s="33"/>
      <c r="B64" s="33">
        <f t="shared" si="2"/>
        <v>0.52</v>
      </c>
      <c r="C64" s="31">
        <v>0.52</v>
      </c>
      <c r="D64" s="170">
        <v>1.3453999999999999</v>
      </c>
      <c r="E64" s="170">
        <v>1.3401000000000001</v>
      </c>
      <c r="F64" s="170">
        <v>1.3338000000000001</v>
      </c>
      <c r="G64" s="170">
        <v>1.3278000000000001</v>
      </c>
      <c r="H64" s="170">
        <v>1.3219000000000001</v>
      </c>
      <c r="I64" s="170">
        <v>1.3160000000000001</v>
      </c>
      <c r="J64" s="28">
        <f t="shared" si="3"/>
        <v>1.3189500000000001</v>
      </c>
      <c r="K64" s="103">
        <f t="shared" si="4"/>
        <v>0.52</v>
      </c>
      <c r="L64" s="108">
        <f t="shared" si="5"/>
        <v>0.48</v>
      </c>
      <c r="M64" s="115">
        <f t="shared" si="9"/>
        <v>0.68585400000000007</v>
      </c>
      <c r="N64" s="108">
        <f t="shared" si="7"/>
        <v>0.63309599999999999</v>
      </c>
      <c r="O64" s="5">
        <f t="shared" si="10"/>
        <v>10.886571428571429</v>
      </c>
      <c r="P64" s="177">
        <f t="shared" si="11"/>
        <v>0.92307692307692302</v>
      </c>
      <c r="S64"/>
    </row>
    <row r="65" spans="1:19" x14ac:dyDescent="0.25">
      <c r="A65" s="33"/>
      <c r="B65" s="33">
        <f t="shared" si="2"/>
        <v>0.53</v>
      </c>
      <c r="C65" s="31">
        <v>0.53</v>
      </c>
      <c r="D65" s="170">
        <v>1.3516999999999999</v>
      </c>
      <c r="E65" s="170">
        <v>1.3462000000000001</v>
      </c>
      <c r="F65" s="170">
        <v>1.3399000000000001</v>
      </c>
      <c r="G65" s="170">
        <v>1.3338000000000001</v>
      </c>
      <c r="H65" s="170">
        <v>1.3278000000000001</v>
      </c>
      <c r="I65" s="170">
        <v>1.3218000000000001</v>
      </c>
      <c r="J65" s="28">
        <f t="shared" si="3"/>
        <v>1.3248000000000002</v>
      </c>
      <c r="K65" s="103">
        <f t="shared" si="4"/>
        <v>0.53</v>
      </c>
      <c r="L65" s="108">
        <f t="shared" si="5"/>
        <v>0.47</v>
      </c>
      <c r="M65" s="115">
        <f t="shared" si="9"/>
        <v>0.7021440000000001</v>
      </c>
      <c r="N65" s="108">
        <f t="shared" si="7"/>
        <v>0.6226560000000001</v>
      </c>
      <c r="O65" s="5">
        <f t="shared" si="10"/>
        <v>11.14514285714286</v>
      </c>
      <c r="P65" s="177">
        <f t="shared" si="11"/>
        <v>0.8867924528301887</v>
      </c>
      <c r="S65"/>
    </row>
    <row r="66" spans="1:19" x14ac:dyDescent="0.25">
      <c r="A66" s="33"/>
      <c r="B66" s="33">
        <f t="shared" si="2"/>
        <v>0.54</v>
      </c>
      <c r="C66" s="31">
        <v>0.54</v>
      </c>
      <c r="D66" s="170">
        <v>1.3579000000000001</v>
      </c>
      <c r="E66" s="170">
        <v>1.3523000000000001</v>
      </c>
      <c r="F66" s="170">
        <v>1.3459000000000001</v>
      </c>
      <c r="G66" s="170">
        <v>1.3396999999999999</v>
      </c>
      <c r="H66" s="170">
        <v>1.3335999999999999</v>
      </c>
      <c r="I66" s="170">
        <v>1.3274999999999999</v>
      </c>
      <c r="J66" s="28">
        <f t="shared" si="3"/>
        <v>1.3305499999999999</v>
      </c>
      <c r="K66" s="103">
        <f t="shared" si="4"/>
        <v>0.54</v>
      </c>
      <c r="L66" s="108">
        <f t="shared" si="5"/>
        <v>0.45999999999999996</v>
      </c>
      <c r="M66" s="115">
        <f t="shared" si="9"/>
        <v>0.71849699999999994</v>
      </c>
      <c r="N66" s="108">
        <f t="shared" si="7"/>
        <v>0.61205299999999996</v>
      </c>
      <c r="O66" s="5">
        <f t="shared" si="10"/>
        <v>11.404714285714284</v>
      </c>
      <c r="P66" s="177">
        <f t="shared" si="11"/>
        <v>0.85185185185185186</v>
      </c>
      <c r="S66"/>
    </row>
    <row r="67" spans="1:19" x14ac:dyDescent="0.25">
      <c r="A67" s="33"/>
      <c r="B67" s="33">
        <f t="shared" si="2"/>
        <v>0.55000000000000004</v>
      </c>
      <c r="C67" s="31">
        <v>0.55000000000000004</v>
      </c>
      <c r="D67" s="170">
        <v>1.3640000000000001</v>
      </c>
      <c r="E67" s="170">
        <v>1.3583000000000001</v>
      </c>
      <c r="F67" s="170">
        <v>1.3517999999999999</v>
      </c>
      <c r="G67" s="170">
        <v>1.3454999999999999</v>
      </c>
      <c r="H67" s="170">
        <v>1.3392999999999999</v>
      </c>
      <c r="I67" s="170">
        <v>1.3331</v>
      </c>
      <c r="J67" s="28">
        <f t="shared" si="3"/>
        <v>1.3361999999999998</v>
      </c>
      <c r="K67" s="103">
        <f t="shared" si="4"/>
        <v>0.55000000000000004</v>
      </c>
      <c r="L67" s="108">
        <f t="shared" si="5"/>
        <v>0.44999999999999996</v>
      </c>
      <c r="M67" s="115">
        <f t="shared" si="9"/>
        <v>0.73490999999999995</v>
      </c>
      <c r="N67" s="108">
        <f t="shared" si="7"/>
        <v>0.60128999999999988</v>
      </c>
      <c r="O67" s="5">
        <f t="shared" si="10"/>
        <v>11.665238095238095</v>
      </c>
      <c r="P67" s="177">
        <f t="shared" si="11"/>
        <v>0.81818181818181812</v>
      </c>
      <c r="S67"/>
    </row>
    <row r="68" spans="1:19" x14ac:dyDescent="0.25">
      <c r="A68" s="33"/>
      <c r="B68" s="33">
        <f t="shared" si="2"/>
        <v>0.56000000000000005</v>
      </c>
      <c r="C68" s="31">
        <v>0.56000000000000005</v>
      </c>
      <c r="D68" s="170">
        <v>1.37</v>
      </c>
      <c r="E68" s="170">
        <v>1.3642000000000001</v>
      </c>
      <c r="F68" s="170">
        <v>1.3575999999999999</v>
      </c>
      <c r="G68" s="170">
        <v>1.3512</v>
      </c>
      <c r="H68" s="170">
        <v>1.3449</v>
      </c>
      <c r="I68" s="170">
        <v>1.3386</v>
      </c>
      <c r="J68" s="28">
        <f t="shared" si="3"/>
        <v>1.34175</v>
      </c>
      <c r="K68" s="103">
        <f t="shared" si="4"/>
        <v>0.56000000000000005</v>
      </c>
      <c r="L68" s="108">
        <f t="shared" si="5"/>
        <v>0.43999999999999995</v>
      </c>
      <c r="M68" s="115">
        <f t="shared" si="9"/>
        <v>0.75138000000000005</v>
      </c>
      <c r="N68" s="108">
        <f t="shared" si="7"/>
        <v>0.59036999999999995</v>
      </c>
      <c r="O68" s="5">
        <f t="shared" si="10"/>
        <v>11.926666666666666</v>
      </c>
      <c r="P68" s="177">
        <f t="shared" si="11"/>
        <v>0.78571428571428559</v>
      </c>
      <c r="S68"/>
    </row>
    <row r="69" spans="1:19" x14ac:dyDescent="0.25">
      <c r="A69" s="33"/>
      <c r="B69" s="33">
        <f t="shared" si="2"/>
        <v>0.56999999999999995</v>
      </c>
      <c r="C69" s="31">
        <v>0.56999999999999995</v>
      </c>
      <c r="D69" s="170">
        <v>1.3758999999999999</v>
      </c>
      <c r="E69" s="170">
        <v>1.37</v>
      </c>
      <c r="F69" s="170">
        <v>1.3633999999999999</v>
      </c>
      <c r="G69" s="170">
        <v>1.3569</v>
      </c>
      <c r="H69" s="170">
        <v>1.3505</v>
      </c>
      <c r="I69" s="170">
        <v>1.3441000000000001</v>
      </c>
      <c r="J69" s="28">
        <f t="shared" si="3"/>
        <v>1.3473000000000002</v>
      </c>
      <c r="K69" s="103">
        <f t="shared" si="4"/>
        <v>0.56999999999999995</v>
      </c>
      <c r="L69" s="108">
        <f t="shared" si="5"/>
        <v>0.43000000000000005</v>
      </c>
      <c r="M69" s="115">
        <f t="shared" si="9"/>
        <v>0.767961</v>
      </c>
      <c r="N69" s="108">
        <f t="shared" si="7"/>
        <v>0.57933900000000016</v>
      </c>
      <c r="O69" s="5">
        <f t="shared" si="10"/>
        <v>12.189857142857143</v>
      </c>
      <c r="P69" s="177">
        <f t="shared" si="11"/>
        <v>0.75438596491228094</v>
      </c>
      <c r="S69"/>
    </row>
    <row r="70" spans="1:19" x14ac:dyDescent="0.25">
      <c r="A70" s="33"/>
      <c r="B70" s="33">
        <f t="shared" si="2"/>
        <v>0.57999999999999996</v>
      </c>
      <c r="C70" s="31">
        <v>0.57999999999999996</v>
      </c>
      <c r="D70" s="170">
        <v>1.3817999999999999</v>
      </c>
      <c r="E70" s="170">
        <v>1.3756999999999999</v>
      </c>
      <c r="F70" s="170">
        <v>1.3691</v>
      </c>
      <c r="G70" s="170">
        <v>1.3625</v>
      </c>
      <c r="H70" s="170">
        <v>1.3560000000000001</v>
      </c>
      <c r="I70" s="170">
        <v>1.3494999999999999</v>
      </c>
      <c r="J70" s="28">
        <f t="shared" si="3"/>
        <v>1.3527499999999999</v>
      </c>
      <c r="K70" s="103">
        <f t="shared" si="4"/>
        <v>0.57999999999999996</v>
      </c>
      <c r="L70" s="108">
        <f t="shared" si="5"/>
        <v>0.42000000000000004</v>
      </c>
      <c r="M70" s="115">
        <f t="shared" si="9"/>
        <v>0.78459499999999993</v>
      </c>
      <c r="N70" s="108">
        <f t="shared" si="7"/>
        <v>0.56815499999999997</v>
      </c>
      <c r="O70" s="5">
        <f t="shared" si="10"/>
        <v>12.453888888888887</v>
      </c>
      <c r="P70" s="177">
        <f t="shared" si="11"/>
        <v>0.72413793103448276</v>
      </c>
      <c r="S70"/>
    </row>
    <row r="71" spans="1:19" x14ac:dyDescent="0.25">
      <c r="A71" s="33"/>
      <c r="B71" s="33">
        <f t="shared" si="2"/>
        <v>0.59</v>
      </c>
      <c r="C71" s="31">
        <v>0.59</v>
      </c>
      <c r="D71" s="170">
        <v>1.3875</v>
      </c>
      <c r="E71" s="170">
        <v>1.3813</v>
      </c>
      <c r="F71" s="170">
        <v>1.3747</v>
      </c>
      <c r="G71" s="170">
        <v>1.3680000000000001</v>
      </c>
      <c r="H71" s="170">
        <v>1.3613999999999999</v>
      </c>
      <c r="I71" s="170">
        <v>1.3548</v>
      </c>
      <c r="J71" s="28">
        <f t="shared" si="3"/>
        <v>1.3580999999999999</v>
      </c>
      <c r="K71" s="103">
        <f t="shared" si="4"/>
        <v>0.59</v>
      </c>
      <c r="L71" s="108">
        <f t="shared" si="5"/>
        <v>0.41000000000000003</v>
      </c>
      <c r="M71" s="115">
        <f t="shared" si="9"/>
        <v>0.80127899999999985</v>
      </c>
      <c r="N71" s="108">
        <f t="shared" si="7"/>
        <v>0.55682100000000001</v>
      </c>
      <c r="O71" s="5">
        <f t="shared" si="10"/>
        <v>12.718714285714285</v>
      </c>
      <c r="P71" s="177">
        <f t="shared" si="11"/>
        <v>0.69491525423728828</v>
      </c>
      <c r="S71"/>
    </row>
    <row r="72" spans="1:19" x14ac:dyDescent="0.25">
      <c r="A72" s="33"/>
      <c r="B72" s="33">
        <f t="shared" si="2"/>
        <v>0.6</v>
      </c>
      <c r="C72" s="31">
        <v>0.6</v>
      </c>
      <c r="D72" s="170">
        <v>1.3931</v>
      </c>
      <c r="E72" s="170">
        <v>1.3868</v>
      </c>
      <c r="F72" s="170">
        <v>1.3801000000000001</v>
      </c>
      <c r="G72" s="170">
        <v>1.3734</v>
      </c>
      <c r="H72" s="170">
        <v>1.3667</v>
      </c>
      <c r="I72" s="170">
        <v>1.36</v>
      </c>
      <c r="J72" s="28">
        <f t="shared" si="3"/>
        <v>1.3633500000000001</v>
      </c>
      <c r="K72" s="103">
        <f t="shared" si="4"/>
        <v>0.6</v>
      </c>
      <c r="L72" s="108">
        <f t="shared" si="5"/>
        <v>0.4</v>
      </c>
      <c r="M72" s="115">
        <f t="shared" si="9"/>
        <v>0.81801000000000001</v>
      </c>
      <c r="N72" s="108">
        <f t="shared" si="7"/>
        <v>0.54534000000000005</v>
      </c>
      <c r="O72" s="5">
        <f t="shared" si="10"/>
        <v>12.984285714285715</v>
      </c>
      <c r="P72" s="177">
        <f t="shared" si="11"/>
        <v>0.66666666666666674</v>
      </c>
      <c r="S72"/>
    </row>
    <row r="73" spans="1:19" x14ac:dyDescent="0.25">
      <c r="A73" s="33"/>
      <c r="B73" s="33">
        <f t="shared" si="2"/>
        <v>0.61</v>
      </c>
      <c r="C73" s="31">
        <v>0.61</v>
      </c>
      <c r="D73" s="170">
        <v>1.3986000000000001</v>
      </c>
      <c r="E73" s="170">
        <v>1.3922000000000001</v>
      </c>
      <c r="F73" s="170">
        <v>1.3855</v>
      </c>
      <c r="G73" s="170">
        <v>1.3787</v>
      </c>
      <c r="H73" s="170">
        <v>1.3718999999999999</v>
      </c>
      <c r="I73" s="170">
        <v>1.3651</v>
      </c>
      <c r="J73" s="28">
        <f t="shared" si="3"/>
        <v>1.3685</v>
      </c>
      <c r="K73" s="103">
        <f t="shared" si="4"/>
        <v>0.61</v>
      </c>
      <c r="L73" s="108">
        <f t="shared" si="5"/>
        <v>0.39</v>
      </c>
      <c r="M73" s="115">
        <f t="shared" si="9"/>
        <v>0.834785</v>
      </c>
      <c r="N73" s="108">
        <f t="shared" si="7"/>
        <v>0.53371500000000005</v>
      </c>
      <c r="O73" s="5">
        <f t="shared" si="10"/>
        <v>13.250555555555556</v>
      </c>
      <c r="P73" s="177">
        <f t="shared" si="11"/>
        <v>0.63934426229508201</v>
      </c>
      <c r="S73"/>
    </row>
    <row r="74" spans="1:19" x14ac:dyDescent="0.25">
      <c r="A74" s="33"/>
      <c r="B74" s="33">
        <f t="shared" si="2"/>
        <v>0.62</v>
      </c>
      <c r="C74" s="31">
        <v>0.62</v>
      </c>
      <c r="D74" s="170">
        <v>1.4038999999999999</v>
      </c>
      <c r="E74" s="170">
        <v>1.3975</v>
      </c>
      <c r="F74" s="170">
        <v>1.3907</v>
      </c>
      <c r="G74" s="170">
        <v>1.3837999999999999</v>
      </c>
      <c r="H74" s="170">
        <v>1.3769</v>
      </c>
      <c r="I74" s="170">
        <v>1.37</v>
      </c>
      <c r="J74" s="28">
        <f t="shared" si="3"/>
        <v>1.3734500000000001</v>
      </c>
      <c r="K74" s="103">
        <f t="shared" si="4"/>
        <v>0.62</v>
      </c>
      <c r="L74" s="108">
        <f t="shared" si="5"/>
        <v>0.38</v>
      </c>
      <c r="M74" s="115">
        <f t="shared" si="9"/>
        <v>0.85153900000000005</v>
      </c>
      <c r="N74" s="108">
        <f t="shared" si="7"/>
        <v>0.52191100000000001</v>
      </c>
      <c r="O74" s="5">
        <f t="shared" si="10"/>
        <v>13.516492063492064</v>
      </c>
      <c r="P74" s="177">
        <f t="shared" si="11"/>
        <v>0.61290322580645162</v>
      </c>
      <c r="S74"/>
    </row>
    <row r="75" spans="1:19" x14ac:dyDescent="0.25">
      <c r="A75" s="33"/>
      <c r="B75" s="33">
        <f t="shared" si="2"/>
        <v>0.63</v>
      </c>
      <c r="C75" s="31">
        <v>0.63</v>
      </c>
      <c r="D75" s="170">
        <v>1.4091</v>
      </c>
      <c r="E75" s="170">
        <v>1.4027000000000001</v>
      </c>
      <c r="F75" s="170">
        <v>1.3957999999999999</v>
      </c>
      <c r="G75" s="170">
        <v>1.3888</v>
      </c>
      <c r="H75" s="170">
        <v>1.3817999999999999</v>
      </c>
      <c r="I75" s="170">
        <v>1.3748</v>
      </c>
      <c r="J75" s="28">
        <f t="shared" si="3"/>
        <v>1.3782999999999999</v>
      </c>
      <c r="K75" s="103">
        <f t="shared" si="4"/>
        <v>0.63</v>
      </c>
      <c r="L75" s="108">
        <f t="shared" si="5"/>
        <v>0.37</v>
      </c>
      <c r="M75" s="115">
        <f t="shared" si="9"/>
        <v>0.86832899999999991</v>
      </c>
      <c r="N75" s="108">
        <f t="shared" si="7"/>
        <v>0.50997099999999995</v>
      </c>
      <c r="O75" s="5">
        <f t="shared" si="10"/>
        <v>13.782999999999999</v>
      </c>
      <c r="P75" s="177">
        <f t="shared" si="11"/>
        <v>0.58730158730158732</v>
      </c>
      <c r="S75"/>
    </row>
    <row r="76" spans="1:19" x14ac:dyDescent="0.25">
      <c r="A76" s="33"/>
      <c r="B76" s="33">
        <f t="shared" si="2"/>
        <v>0.64</v>
      </c>
      <c r="C76" s="31">
        <v>0.64</v>
      </c>
      <c r="D76" s="170"/>
      <c r="E76" s="170">
        <v>1.4077999999999999</v>
      </c>
      <c r="F76" s="170">
        <v>1.4007000000000001</v>
      </c>
      <c r="G76" s="170">
        <v>1.3935999999999999</v>
      </c>
      <c r="H76" s="170">
        <v>1.3866000000000001</v>
      </c>
      <c r="I76" s="170">
        <v>1.3794999999999999</v>
      </c>
      <c r="J76" s="28">
        <f t="shared" si="3"/>
        <v>1.3830499999999999</v>
      </c>
      <c r="K76" s="103">
        <f t="shared" si="4"/>
        <v>0.64</v>
      </c>
      <c r="L76" s="108">
        <f t="shared" si="5"/>
        <v>0.36</v>
      </c>
      <c r="M76" s="115">
        <f t="shared" si="9"/>
        <v>0.88515199999999994</v>
      </c>
      <c r="N76" s="108">
        <f t="shared" si="7"/>
        <v>0.49789799999999995</v>
      </c>
      <c r="O76" s="5">
        <f t="shared" si="10"/>
        <v>14.050031746031745</v>
      </c>
      <c r="P76" s="177">
        <f t="shared" si="11"/>
        <v>0.5625</v>
      </c>
      <c r="S76"/>
    </row>
    <row r="77" spans="1:19" x14ac:dyDescent="0.25">
      <c r="A77" s="33"/>
      <c r="B77" s="33">
        <f t="shared" si="2"/>
        <v>0.65</v>
      </c>
      <c r="C77" s="31">
        <v>0.65</v>
      </c>
      <c r="D77" s="170"/>
      <c r="E77" s="170">
        <v>1.4128000000000001</v>
      </c>
      <c r="F77" s="170">
        <v>1.4055</v>
      </c>
      <c r="G77" s="170">
        <v>1.3984000000000001</v>
      </c>
      <c r="H77" s="170">
        <v>1.3913</v>
      </c>
      <c r="I77" s="170">
        <v>1.3841000000000001</v>
      </c>
      <c r="J77" s="28">
        <f t="shared" si="3"/>
        <v>1.3877000000000002</v>
      </c>
      <c r="K77" s="103">
        <f t="shared" si="4"/>
        <v>0.65</v>
      </c>
      <c r="L77" s="108">
        <f t="shared" si="5"/>
        <v>0.35</v>
      </c>
      <c r="M77" s="115">
        <f t="shared" si="9"/>
        <v>0.90200500000000017</v>
      </c>
      <c r="N77" s="108">
        <f t="shared" si="7"/>
        <v>0.48569500000000004</v>
      </c>
      <c r="O77" s="5">
        <f t="shared" si="10"/>
        <v>14.317539682539685</v>
      </c>
      <c r="P77" s="177">
        <f t="shared" si="11"/>
        <v>0.53846153846153844</v>
      </c>
      <c r="S77"/>
    </row>
    <row r="78" spans="1:19" x14ac:dyDescent="0.25">
      <c r="A78" s="33"/>
      <c r="B78" s="33">
        <f t="shared" ref="B78:B80" si="12">C78</f>
        <v>0.66</v>
      </c>
      <c r="C78" s="31">
        <v>0.66</v>
      </c>
      <c r="D78" s="170"/>
      <c r="E78" s="170">
        <v>1.4177</v>
      </c>
      <c r="F78" s="170">
        <v>1.4103000000000001</v>
      </c>
      <c r="G78" s="170">
        <v>1.4031</v>
      </c>
      <c r="H78" s="170">
        <v>1.3958999999999999</v>
      </c>
      <c r="I78" s="170">
        <v>1.3887</v>
      </c>
      <c r="J78" s="28">
        <f t="shared" ref="J78:J80" si="13">(H78+I78)/2</f>
        <v>1.3923000000000001</v>
      </c>
      <c r="K78" s="103">
        <f t="shared" ref="K78:K80" si="14">C78</f>
        <v>0.66</v>
      </c>
      <c r="L78" s="108">
        <f t="shared" ref="L78:L80" si="15">(1-K78)</f>
        <v>0.33999999999999997</v>
      </c>
      <c r="M78" s="115">
        <f t="shared" si="9"/>
        <v>0.91891800000000012</v>
      </c>
      <c r="N78" s="108">
        <f t="shared" ref="N78:N80" si="16">L78*J78</f>
        <v>0.47338199999999997</v>
      </c>
      <c r="O78" s="5">
        <f t="shared" si="10"/>
        <v>14.586000000000002</v>
      </c>
      <c r="P78" s="177">
        <f t="shared" si="11"/>
        <v>0.51515151515151503</v>
      </c>
      <c r="S78"/>
    </row>
    <row r="79" spans="1:19" x14ac:dyDescent="0.25">
      <c r="A79" s="33"/>
      <c r="B79" s="33">
        <f t="shared" si="12"/>
        <v>0.67</v>
      </c>
      <c r="C79" s="31">
        <v>0.67</v>
      </c>
      <c r="D79" s="170"/>
      <c r="E79" s="170">
        <v>1.4224000000000001</v>
      </c>
      <c r="F79" s="170">
        <v>1.415</v>
      </c>
      <c r="G79" s="170">
        <v>1.4077</v>
      </c>
      <c r="H79" s="170">
        <v>1.4004000000000001</v>
      </c>
      <c r="I79" s="170">
        <v>1.3932</v>
      </c>
      <c r="J79" s="28">
        <f t="shared" si="13"/>
        <v>1.3968</v>
      </c>
      <c r="K79" s="103">
        <f t="shared" si="14"/>
        <v>0.67</v>
      </c>
      <c r="L79" s="108">
        <f t="shared" si="15"/>
        <v>0.32999999999999996</v>
      </c>
      <c r="M79" s="115">
        <f t="shared" si="9"/>
        <v>0.93585600000000013</v>
      </c>
      <c r="N79" s="108">
        <f t="shared" si="16"/>
        <v>0.46094399999999996</v>
      </c>
      <c r="O79" s="5">
        <f t="shared" si="10"/>
        <v>14.854857142857144</v>
      </c>
      <c r="P79" s="177">
        <f t="shared" si="11"/>
        <v>0.49253731343283569</v>
      </c>
      <c r="S79"/>
    </row>
    <row r="80" spans="1:19" x14ac:dyDescent="0.25">
      <c r="A80" s="33"/>
      <c r="B80" s="33">
        <f t="shared" si="12"/>
        <v>0.68</v>
      </c>
      <c r="C80" s="119">
        <v>0.68</v>
      </c>
      <c r="D80" s="15"/>
      <c r="E80" s="15">
        <v>1.4271</v>
      </c>
      <c r="F80" s="15">
        <v>1.4196</v>
      </c>
      <c r="G80" s="15">
        <v>1.4121999999999999</v>
      </c>
      <c r="H80" s="15">
        <v>1.4048</v>
      </c>
      <c r="I80" s="15">
        <v>1.3976</v>
      </c>
      <c r="J80" s="25">
        <f t="shared" si="13"/>
        <v>1.4012</v>
      </c>
      <c r="K80" s="118">
        <f t="shared" si="14"/>
        <v>0.68</v>
      </c>
      <c r="L80" s="117">
        <f t="shared" si="15"/>
        <v>0.31999999999999995</v>
      </c>
      <c r="M80" s="116">
        <f t="shared" si="9"/>
        <v>0.95281600000000011</v>
      </c>
      <c r="N80" s="117">
        <f t="shared" si="16"/>
        <v>0.44838399999999995</v>
      </c>
      <c r="O80" s="7">
        <f t="shared" si="10"/>
        <v>15.124063492063494</v>
      </c>
      <c r="P80" s="178">
        <f t="shared" si="11"/>
        <v>0.47058823529411753</v>
      </c>
      <c r="S80"/>
    </row>
    <row r="81" spans="1:19" x14ac:dyDescent="0.25">
      <c r="A81" s="33"/>
      <c r="B81" s="173"/>
      <c r="C81" s="169"/>
      <c r="D81" s="170"/>
      <c r="E81" s="170"/>
      <c r="F81" s="170"/>
      <c r="G81" s="170"/>
      <c r="H81" s="170"/>
      <c r="I81" s="170"/>
      <c r="J81" s="171"/>
      <c r="K81" s="172"/>
      <c r="L81" s="174"/>
      <c r="M81" s="174"/>
      <c r="N81" s="174"/>
      <c r="O81" s="170"/>
      <c r="Q81" s="32"/>
      <c r="S81"/>
    </row>
    <row r="82" spans="1:19" x14ac:dyDescent="0.25">
      <c r="A82" s="33"/>
      <c r="B82" s="173"/>
      <c r="C82" s="169"/>
      <c r="D82" s="170"/>
      <c r="E82" s="170"/>
      <c r="F82" s="170"/>
      <c r="G82" s="170"/>
      <c r="H82" s="170"/>
      <c r="I82" s="170"/>
      <c r="J82" s="171"/>
      <c r="K82" s="172"/>
      <c r="L82" s="174"/>
      <c r="M82" s="174"/>
      <c r="N82" s="174"/>
      <c r="O82" s="175"/>
      <c r="Q82" s="32"/>
      <c r="S82"/>
    </row>
    <row r="83" spans="1:19" x14ac:dyDescent="0.25">
      <c r="A83" s="33"/>
      <c r="B83" s="173"/>
      <c r="C83" s="169"/>
      <c r="D83" s="170"/>
      <c r="E83" s="170"/>
      <c r="F83" s="170"/>
      <c r="G83" s="170"/>
      <c r="H83" s="170"/>
      <c r="I83" s="170"/>
      <c r="J83" s="171"/>
      <c r="K83" s="172"/>
      <c r="L83" s="174"/>
      <c r="M83" s="174"/>
      <c r="N83" s="174"/>
      <c r="O83" s="175"/>
      <c r="Q83" s="32"/>
      <c r="S83"/>
    </row>
    <row r="84" spans="1:19" x14ac:dyDescent="0.25">
      <c r="A84" s="33"/>
      <c r="B84" s="173"/>
      <c r="C84" s="169"/>
      <c r="D84" s="170"/>
      <c r="E84" s="170"/>
      <c r="F84" s="170"/>
      <c r="G84" s="170"/>
      <c r="H84" s="170"/>
      <c r="I84" s="170"/>
      <c r="J84" s="171"/>
      <c r="K84" s="172"/>
      <c r="L84" s="174"/>
      <c r="M84" s="174"/>
      <c r="N84" s="174"/>
      <c r="O84" s="175"/>
      <c r="Q84" s="32"/>
      <c r="S84"/>
    </row>
    <row r="85" spans="1:19" x14ac:dyDescent="0.25">
      <c r="A85" s="33"/>
      <c r="B85" s="173"/>
      <c r="C85" s="169"/>
      <c r="D85" s="170"/>
      <c r="E85" s="170"/>
      <c r="F85" s="170"/>
      <c r="G85" s="170"/>
      <c r="H85" s="170"/>
      <c r="I85" s="170"/>
      <c r="J85" s="171"/>
      <c r="K85" s="172"/>
      <c r="L85" s="174"/>
      <c r="M85" s="174"/>
      <c r="N85" s="174"/>
      <c r="O85" s="175"/>
      <c r="Q85" s="32"/>
      <c r="S85"/>
    </row>
    <row r="86" spans="1:19" x14ac:dyDescent="0.25">
      <c r="A86" s="33"/>
      <c r="B86" s="173"/>
      <c r="C86" s="169"/>
      <c r="D86" s="170"/>
      <c r="E86" s="170"/>
      <c r="F86" s="170"/>
      <c r="G86" s="170"/>
      <c r="H86" s="170"/>
      <c r="I86" s="170"/>
      <c r="J86" s="171"/>
      <c r="K86" s="172"/>
      <c r="L86" s="174"/>
      <c r="M86" s="174"/>
      <c r="N86" s="174"/>
      <c r="O86" s="175"/>
      <c r="Q86" s="32"/>
      <c r="S86"/>
    </row>
    <row r="87" spans="1:19" x14ac:dyDescent="0.25">
      <c r="A87" s="33"/>
      <c r="B87" s="173"/>
      <c r="C87" s="169"/>
      <c r="D87" s="170"/>
      <c r="E87" s="170"/>
      <c r="F87" s="170"/>
      <c r="G87" s="170"/>
      <c r="H87" s="170"/>
      <c r="I87" s="170"/>
      <c r="J87" s="171"/>
      <c r="K87" s="172"/>
      <c r="L87" s="174"/>
      <c r="M87" s="174"/>
      <c r="N87" s="174"/>
      <c r="O87" s="175"/>
      <c r="Q87" s="32"/>
      <c r="S87"/>
    </row>
    <row r="88" spans="1:19" x14ac:dyDescent="0.25">
      <c r="A88" s="33"/>
      <c r="B88" s="173"/>
      <c r="C88" s="169"/>
      <c r="D88" s="170"/>
      <c r="E88" s="170"/>
      <c r="F88" s="170"/>
      <c r="G88" s="170"/>
      <c r="H88" s="170"/>
      <c r="I88" s="170"/>
      <c r="J88" s="171"/>
      <c r="K88" s="172"/>
      <c r="L88" s="174"/>
      <c r="M88" s="174"/>
      <c r="N88" s="174"/>
      <c r="O88" s="175"/>
      <c r="Q88" s="32"/>
      <c r="S88"/>
    </row>
    <row r="89" spans="1:19" x14ac:dyDescent="0.25">
      <c r="A89" s="33"/>
      <c r="B89" s="173"/>
      <c r="C89" s="169"/>
      <c r="D89" s="170"/>
      <c r="E89" s="170"/>
      <c r="F89" s="170"/>
      <c r="G89" s="170"/>
      <c r="H89" s="170"/>
      <c r="I89" s="170"/>
      <c r="J89" s="171"/>
      <c r="K89" s="172"/>
      <c r="L89" s="174"/>
      <c r="M89" s="174"/>
      <c r="N89" s="174"/>
      <c r="O89" s="175"/>
      <c r="Q89" s="32"/>
      <c r="S89"/>
    </row>
    <row r="90" spans="1:19" x14ac:dyDescent="0.25">
      <c r="A90" s="33"/>
      <c r="B90" s="173"/>
      <c r="C90" s="169"/>
      <c r="D90" s="170"/>
      <c r="E90" s="170"/>
      <c r="F90" s="170"/>
      <c r="G90" s="170"/>
      <c r="H90" s="170"/>
      <c r="I90" s="170"/>
      <c r="J90" s="171"/>
      <c r="K90" s="172"/>
      <c r="L90" s="174"/>
      <c r="M90" s="174"/>
      <c r="N90" s="174"/>
      <c r="O90" s="175"/>
      <c r="Q90" s="32"/>
      <c r="S90"/>
    </row>
    <row r="91" spans="1:19" x14ac:dyDescent="0.25">
      <c r="A91" s="33"/>
      <c r="B91" s="173"/>
      <c r="C91" s="169"/>
      <c r="D91" s="170"/>
      <c r="E91" s="170"/>
      <c r="F91" s="170"/>
      <c r="G91" s="170"/>
      <c r="H91" s="170"/>
      <c r="I91" s="170"/>
      <c r="J91" s="171"/>
      <c r="K91" s="172"/>
      <c r="L91" s="174"/>
      <c r="M91" s="174"/>
      <c r="N91" s="174"/>
      <c r="O91" s="175"/>
      <c r="Q91" s="32"/>
      <c r="S91"/>
    </row>
    <row r="92" spans="1:19" x14ac:dyDescent="0.25">
      <c r="A92" s="33"/>
      <c r="B92" s="173"/>
      <c r="C92" s="169"/>
      <c r="D92" s="170"/>
      <c r="E92" s="170"/>
      <c r="F92" s="170"/>
      <c r="G92" s="170"/>
      <c r="H92" s="170"/>
      <c r="I92" s="170"/>
      <c r="J92" s="171"/>
      <c r="K92" s="172"/>
      <c r="L92" s="174"/>
      <c r="M92" s="174"/>
      <c r="N92" s="174"/>
      <c r="O92" s="175"/>
      <c r="Q92" s="32"/>
      <c r="S92"/>
    </row>
    <row r="93" spans="1:19" x14ac:dyDescent="0.25">
      <c r="A93" s="33"/>
      <c r="B93" s="173"/>
      <c r="C93" s="169"/>
      <c r="D93" s="170"/>
      <c r="E93" s="170"/>
      <c r="F93" s="170"/>
      <c r="G93" s="170"/>
      <c r="H93" s="170"/>
      <c r="I93" s="170"/>
      <c r="J93" s="171"/>
      <c r="K93" s="172"/>
      <c r="L93" s="174"/>
      <c r="M93" s="174"/>
      <c r="N93" s="174"/>
      <c r="O93" s="175"/>
      <c r="Q93" s="32"/>
      <c r="S93"/>
    </row>
    <row r="94" spans="1:19" x14ac:dyDescent="0.25">
      <c r="A94" s="33"/>
      <c r="B94" s="173"/>
      <c r="C94" s="169"/>
      <c r="D94" s="170"/>
      <c r="E94" s="170"/>
      <c r="F94" s="170"/>
      <c r="G94" s="170"/>
      <c r="H94" s="170"/>
      <c r="I94" s="170"/>
      <c r="J94" s="171"/>
      <c r="K94" s="172"/>
      <c r="L94" s="174"/>
      <c r="M94" s="174"/>
      <c r="N94" s="174"/>
      <c r="O94" s="175"/>
      <c r="Q94" s="32"/>
      <c r="S94"/>
    </row>
    <row r="95" spans="1:19" x14ac:dyDescent="0.25">
      <c r="A95" s="33"/>
      <c r="B95" s="173"/>
      <c r="C95" s="169"/>
      <c r="D95" s="170"/>
      <c r="E95" s="170"/>
      <c r="F95" s="170"/>
      <c r="G95" s="170"/>
      <c r="H95" s="170"/>
      <c r="I95" s="170"/>
      <c r="J95" s="171"/>
      <c r="K95" s="172"/>
      <c r="L95" s="174"/>
      <c r="M95" s="174"/>
      <c r="N95" s="174"/>
      <c r="O95" s="175"/>
      <c r="Q95" s="32"/>
      <c r="S95"/>
    </row>
    <row r="96" spans="1:19" x14ac:dyDescent="0.25">
      <c r="A96" s="33"/>
      <c r="B96" s="173"/>
      <c r="C96" s="169"/>
      <c r="D96" s="170"/>
      <c r="E96" s="170"/>
      <c r="F96" s="170"/>
      <c r="G96" s="170"/>
      <c r="H96" s="170"/>
      <c r="I96" s="170"/>
      <c r="J96" s="171"/>
      <c r="K96" s="172"/>
      <c r="L96" s="174"/>
      <c r="M96" s="174"/>
      <c r="N96" s="174"/>
      <c r="O96" s="175"/>
      <c r="Q96" s="32"/>
      <c r="S96"/>
    </row>
    <row r="97" spans="1:24" x14ac:dyDescent="0.25">
      <c r="A97" s="33"/>
      <c r="B97" s="173"/>
      <c r="C97" s="169"/>
      <c r="D97" s="170"/>
      <c r="E97" s="170"/>
      <c r="F97" s="170"/>
      <c r="G97" s="170"/>
      <c r="H97" s="170"/>
      <c r="I97" s="170"/>
      <c r="J97" s="171"/>
      <c r="K97" s="172"/>
      <c r="L97" s="174"/>
      <c r="M97" s="174"/>
      <c r="N97" s="174"/>
      <c r="O97" s="175"/>
      <c r="Q97" s="32"/>
      <c r="S97"/>
    </row>
    <row r="98" spans="1:24" x14ac:dyDescent="0.25">
      <c r="A98" s="33"/>
      <c r="B98" s="173"/>
      <c r="C98" s="169"/>
      <c r="D98" s="170"/>
      <c r="E98" s="170"/>
      <c r="F98" s="170"/>
      <c r="G98" s="170"/>
      <c r="H98" s="170"/>
      <c r="I98" s="170"/>
      <c r="J98" s="171"/>
      <c r="K98" s="172"/>
      <c r="L98" s="174"/>
      <c r="M98" s="174"/>
      <c r="N98" s="174"/>
      <c r="O98" s="175"/>
      <c r="Q98" s="32"/>
      <c r="S98"/>
    </row>
    <row r="99" spans="1:24" x14ac:dyDescent="0.25">
      <c r="A99" s="33"/>
      <c r="B99" s="173"/>
      <c r="C99" s="169"/>
      <c r="D99" s="170"/>
      <c r="E99" s="170"/>
      <c r="F99" s="170"/>
      <c r="G99" s="170"/>
      <c r="H99" s="170"/>
      <c r="I99" s="170"/>
      <c r="J99" s="171"/>
      <c r="K99" s="172"/>
      <c r="L99" s="174"/>
      <c r="M99" s="174"/>
      <c r="N99" s="174"/>
      <c r="O99" s="175"/>
      <c r="Q99" s="32"/>
      <c r="S99"/>
    </row>
    <row r="100" spans="1:24" x14ac:dyDescent="0.25">
      <c r="A100" s="33"/>
      <c r="B100" s="173"/>
      <c r="C100" s="169"/>
      <c r="D100" s="170"/>
      <c r="E100" s="170"/>
      <c r="F100" s="170"/>
      <c r="G100" s="170"/>
      <c r="H100" s="170"/>
      <c r="I100" s="170"/>
      <c r="J100" s="171"/>
      <c r="K100" s="172"/>
      <c r="L100" s="174"/>
      <c r="M100" s="174"/>
      <c r="N100" s="174"/>
      <c r="O100" s="175"/>
      <c r="Q100" s="32"/>
      <c r="S100"/>
    </row>
    <row r="101" spans="1:24" x14ac:dyDescent="0.25">
      <c r="A101" s="33"/>
      <c r="B101" s="173"/>
      <c r="C101" s="169"/>
      <c r="D101" s="170"/>
      <c r="E101" s="170"/>
      <c r="F101" s="170"/>
      <c r="G101" s="170"/>
      <c r="H101" s="170"/>
      <c r="I101" s="170"/>
      <c r="J101" s="171"/>
      <c r="K101" s="172"/>
      <c r="L101" s="174"/>
      <c r="M101" s="174"/>
      <c r="N101" s="174"/>
      <c r="O101" s="175"/>
      <c r="Q101" s="32"/>
      <c r="S101"/>
    </row>
    <row r="102" spans="1:24" x14ac:dyDescent="0.25">
      <c r="A102" s="33"/>
      <c r="B102" s="173"/>
      <c r="C102" s="169"/>
      <c r="D102" s="170"/>
      <c r="E102" s="170"/>
      <c r="F102" s="170"/>
      <c r="G102" s="170"/>
      <c r="H102" s="170"/>
      <c r="I102" s="170"/>
      <c r="J102" s="171"/>
      <c r="K102" s="172"/>
      <c r="L102" s="174"/>
      <c r="M102" s="174"/>
      <c r="N102" s="174"/>
      <c r="O102" s="175"/>
      <c r="Q102" s="32"/>
      <c r="U102" s="26"/>
      <c r="V102" s="26"/>
      <c r="W102" s="26"/>
      <c r="X102" s="26"/>
    </row>
    <row r="103" spans="1:24" x14ac:dyDescent="0.25">
      <c r="A103" s="33"/>
      <c r="B103" s="173"/>
      <c r="C103" s="169"/>
      <c r="D103" s="170"/>
      <c r="E103" s="170"/>
      <c r="F103" s="170"/>
      <c r="G103" s="170"/>
      <c r="H103" s="170"/>
      <c r="I103" s="170"/>
      <c r="J103" s="171"/>
      <c r="K103" s="172"/>
      <c r="L103" s="174"/>
      <c r="M103" s="174"/>
      <c r="N103" s="174"/>
      <c r="O103" s="175"/>
      <c r="Q103" s="32"/>
      <c r="U103" s="26"/>
      <c r="V103" s="26"/>
      <c r="W103" s="26"/>
      <c r="X103" s="26"/>
    </row>
    <row r="104" spans="1:24" x14ac:dyDescent="0.25">
      <c r="A104" s="33"/>
      <c r="B104" s="173"/>
      <c r="C104" s="169"/>
      <c r="D104" s="170"/>
      <c r="E104" s="170"/>
      <c r="F104" s="170"/>
      <c r="G104" s="170"/>
      <c r="H104" s="170"/>
      <c r="I104" s="170"/>
      <c r="J104" s="171"/>
      <c r="K104" s="172"/>
      <c r="L104" s="174"/>
      <c r="M104" s="174"/>
      <c r="N104" s="174"/>
      <c r="O104" s="175"/>
      <c r="Q104" s="32"/>
      <c r="U104" s="26"/>
      <c r="V104" s="26"/>
      <c r="W104" s="26"/>
      <c r="X104" s="26"/>
    </row>
    <row r="105" spans="1:24" x14ac:dyDescent="0.25">
      <c r="A105" s="33"/>
      <c r="B105" s="173"/>
      <c r="C105" s="169"/>
      <c r="D105" s="170"/>
      <c r="E105" s="170"/>
      <c r="F105" s="170"/>
      <c r="G105" s="170"/>
      <c r="H105" s="170"/>
      <c r="I105" s="170"/>
      <c r="J105" s="171"/>
      <c r="K105" s="172"/>
      <c r="L105" s="174"/>
      <c r="M105" s="174"/>
      <c r="N105" s="174"/>
      <c r="O105" s="175"/>
      <c r="Q105" s="32"/>
      <c r="U105" s="26"/>
      <c r="V105" s="26"/>
      <c r="W105" s="26"/>
      <c r="X105" s="26"/>
    </row>
    <row r="106" spans="1:24" x14ac:dyDescent="0.25">
      <c r="A106" s="33"/>
      <c r="B106" s="173"/>
      <c r="C106" s="169"/>
      <c r="D106" s="170"/>
      <c r="E106" s="170"/>
      <c r="F106" s="170"/>
      <c r="G106" s="170"/>
      <c r="H106" s="170"/>
      <c r="I106" s="170"/>
      <c r="J106" s="171"/>
      <c r="K106" s="172"/>
      <c r="L106" s="174"/>
      <c r="M106" s="174"/>
      <c r="N106" s="174"/>
      <c r="O106" s="175"/>
      <c r="Q106" s="32"/>
      <c r="U106" s="26"/>
      <c r="V106" s="26"/>
      <c r="W106" s="26"/>
      <c r="X106" s="26"/>
    </row>
    <row r="107" spans="1:24" x14ac:dyDescent="0.25">
      <c r="A107" s="33"/>
      <c r="B107" s="173"/>
      <c r="C107" s="169"/>
      <c r="D107" s="170"/>
      <c r="E107" s="170"/>
      <c r="F107" s="170"/>
      <c r="G107" s="170"/>
      <c r="H107" s="170"/>
      <c r="I107" s="170"/>
      <c r="J107" s="171"/>
      <c r="K107" s="172"/>
      <c r="L107" s="174"/>
      <c r="M107" s="174"/>
      <c r="N107" s="174"/>
      <c r="O107" s="175"/>
      <c r="Q107" s="32"/>
      <c r="U107" s="26"/>
      <c r="V107" s="26"/>
      <c r="W107" s="26"/>
      <c r="X107" s="26"/>
    </row>
    <row r="108" spans="1:24" x14ac:dyDescent="0.25">
      <c r="A108" s="33"/>
      <c r="B108" s="173"/>
      <c r="C108" s="169"/>
      <c r="D108" s="170"/>
      <c r="E108" s="170"/>
      <c r="F108" s="170"/>
      <c r="G108" s="170"/>
      <c r="H108" s="170"/>
      <c r="I108" s="170"/>
      <c r="J108" s="171"/>
      <c r="K108" s="172"/>
      <c r="L108" s="174"/>
      <c r="M108" s="174"/>
      <c r="N108" s="174"/>
      <c r="O108" s="175"/>
      <c r="Q108" s="32"/>
      <c r="U108" s="26"/>
      <c r="V108" s="26"/>
      <c r="W108" s="26"/>
      <c r="X108" s="26"/>
    </row>
    <row r="109" spans="1:24" x14ac:dyDescent="0.25">
      <c r="A109" s="33"/>
      <c r="B109" s="173"/>
      <c r="C109" s="169"/>
      <c r="D109" s="170"/>
      <c r="E109" s="170"/>
      <c r="F109" s="170"/>
      <c r="G109" s="170"/>
      <c r="H109" s="170"/>
      <c r="I109" s="170"/>
      <c r="J109" s="171"/>
      <c r="K109" s="172"/>
      <c r="L109" s="174"/>
      <c r="M109" s="174"/>
      <c r="N109" s="174"/>
      <c r="O109" s="175"/>
      <c r="Q109" s="32"/>
      <c r="U109" s="26"/>
      <c r="V109" s="26"/>
      <c r="W109" s="26"/>
      <c r="X109" s="26"/>
    </row>
    <row r="110" spans="1:24" x14ac:dyDescent="0.25">
      <c r="A110" s="33"/>
      <c r="B110" s="173"/>
      <c r="C110" s="169"/>
      <c r="D110" s="170"/>
      <c r="E110" s="170"/>
      <c r="F110" s="170"/>
      <c r="G110" s="170"/>
      <c r="H110" s="170"/>
      <c r="I110" s="170"/>
      <c r="J110" s="171"/>
      <c r="K110" s="172"/>
      <c r="L110" s="174"/>
      <c r="M110" s="174"/>
      <c r="N110" s="174"/>
      <c r="O110" s="175"/>
      <c r="Q110" s="32"/>
      <c r="U110" s="26"/>
      <c r="V110" s="26"/>
      <c r="W110" s="26"/>
      <c r="X110" s="26"/>
    </row>
    <row r="111" spans="1:24" x14ac:dyDescent="0.25">
      <c r="A111" s="33"/>
      <c r="B111" s="173"/>
      <c r="C111" s="169"/>
      <c r="D111" s="170"/>
      <c r="E111" s="170"/>
      <c r="F111" s="170"/>
      <c r="G111" s="170"/>
      <c r="H111" s="170"/>
      <c r="I111" s="170"/>
      <c r="J111" s="171"/>
      <c r="K111" s="172"/>
      <c r="L111" s="174"/>
      <c r="M111" s="174"/>
      <c r="N111" s="174"/>
      <c r="O111" s="175"/>
      <c r="Q111" s="32"/>
      <c r="U111" s="26"/>
      <c r="V111" s="26"/>
      <c r="W111" s="26"/>
      <c r="X111" s="26"/>
    </row>
    <row r="112" spans="1:24" x14ac:dyDescent="0.25">
      <c r="A112" s="33"/>
      <c r="B112" s="173"/>
      <c r="C112" s="169"/>
      <c r="D112" s="170"/>
      <c r="E112" s="170"/>
      <c r="F112" s="170"/>
      <c r="G112" s="170"/>
      <c r="H112" s="170"/>
      <c r="I112" s="170"/>
      <c r="J112" s="171"/>
      <c r="K112" s="172"/>
      <c r="L112" s="174"/>
      <c r="M112" s="174"/>
      <c r="N112" s="174"/>
      <c r="O112" s="175"/>
      <c r="Q112" s="32"/>
      <c r="U112" s="26"/>
      <c r="V112" s="26"/>
      <c r="W112" s="26"/>
      <c r="X112" s="26"/>
    </row>
    <row r="113" spans="2:21" x14ac:dyDescent="0.25">
      <c r="B113" s="174"/>
      <c r="C113" s="174"/>
      <c r="D113" s="174"/>
      <c r="E113" s="174"/>
      <c r="F113" s="174"/>
      <c r="G113" s="174"/>
      <c r="H113" s="174"/>
      <c r="I113" s="174"/>
      <c r="J113" s="174"/>
      <c r="K113" s="174"/>
      <c r="L113" s="170"/>
      <c r="M113" s="170"/>
      <c r="N113" s="170"/>
      <c r="O113" s="170"/>
      <c r="Q113" s="32"/>
      <c r="T113" s="26"/>
      <c r="U113" s="26"/>
    </row>
    <row r="114" spans="2:21" x14ac:dyDescent="0.25">
      <c r="B114" s="174"/>
      <c r="C114" s="174"/>
      <c r="D114" s="174"/>
      <c r="E114" s="174"/>
      <c r="F114" s="174"/>
      <c r="G114" s="174"/>
      <c r="H114" s="174"/>
      <c r="I114" s="174"/>
      <c r="J114" s="174"/>
      <c r="K114" s="174"/>
      <c r="L114" s="170"/>
      <c r="M114" s="170"/>
      <c r="N114" s="170"/>
      <c r="O114" s="170"/>
      <c r="T114" s="26"/>
      <c r="U114" s="26"/>
    </row>
    <row r="115" spans="2:21" x14ac:dyDescent="0.25">
      <c r="B115" s="174"/>
      <c r="C115" s="174"/>
      <c r="D115" s="174"/>
      <c r="E115" s="174"/>
      <c r="F115" s="174"/>
      <c r="G115" s="174"/>
      <c r="H115" s="174"/>
      <c r="I115" s="174"/>
      <c r="J115" s="174"/>
      <c r="K115" s="174"/>
      <c r="L115" s="170"/>
      <c r="M115" s="170"/>
      <c r="N115" s="170"/>
      <c r="O115" s="170"/>
    </row>
    <row r="116" spans="2:21" x14ac:dyDescent="0.25">
      <c r="B116" s="174"/>
      <c r="C116" s="174"/>
      <c r="D116" s="174"/>
      <c r="E116" s="174"/>
      <c r="F116" s="174"/>
      <c r="G116" s="174"/>
      <c r="H116" s="174"/>
      <c r="I116" s="174"/>
      <c r="J116" s="174"/>
      <c r="K116" s="174"/>
      <c r="L116" s="170"/>
      <c r="M116" s="170"/>
      <c r="N116" s="170"/>
      <c r="O116" s="170"/>
    </row>
    <row r="117" spans="2:21" x14ac:dyDescent="0.25">
      <c r="B117" s="174"/>
      <c r="C117" s="174"/>
      <c r="D117" s="174"/>
      <c r="E117" s="174"/>
      <c r="F117" s="174"/>
      <c r="G117" s="174"/>
      <c r="H117" s="174"/>
      <c r="I117" s="174"/>
      <c r="J117" s="174"/>
      <c r="K117" s="174"/>
      <c r="L117" s="170"/>
      <c r="M117" s="170"/>
      <c r="N117" s="170"/>
      <c r="O117" s="170"/>
    </row>
    <row r="118" spans="2:21" x14ac:dyDescent="0.25">
      <c r="B118" s="174"/>
      <c r="C118" s="174"/>
      <c r="D118" s="174"/>
      <c r="E118" s="174"/>
      <c r="F118" s="174"/>
      <c r="G118" s="174"/>
      <c r="H118" s="174"/>
      <c r="I118" s="174"/>
      <c r="J118" s="174"/>
      <c r="K118" s="174"/>
      <c r="L118" s="170"/>
      <c r="M118" s="170"/>
      <c r="N118" s="170"/>
      <c r="O118" s="170"/>
    </row>
    <row r="119" spans="2:21" x14ac:dyDescent="0.25">
      <c r="B119" s="174"/>
      <c r="C119" s="174"/>
      <c r="D119" s="174"/>
      <c r="E119" s="174"/>
      <c r="F119" s="174"/>
      <c r="G119" s="174"/>
      <c r="H119" s="174"/>
      <c r="I119" s="174"/>
      <c r="J119" s="174"/>
      <c r="K119" s="174"/>
      <c r="L119" s="170"/>
      <c r="M119" s="170"/>
      <c r="N119" s="170"/>
      <c r="O119" s="170"/>
    </row>
  </sheetData>
  <mergeCells count="5">
    <mergeCell ref="C11:C12"/>
    <mergeCell ref="D11:J11"/>
    <mergeCell ref="K11:L11"/>
    <mergeCell ref="M11:N11"/>
    <mergeCell ref="O11:P11"/>
  </mergeCells>
  <conditionalFormatting sqref="U13:V13 X13 U14:W15 U16:X112 Q81:Q112 O82:O112 P12:P81">
    <cfRule type="cellIs" dxfId="0" priority="1" operator="lessThan">
      <formula>0</formula>
    </cfRule>
  </conditionalFormatting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988BA-B036-44E4-A188-C8623E444E69}">
  <dimension ref="A1:L58"/>
  <sheetViews>
    <sheetView workbookViewId="0">
      <selection activeCell="D47" sqref="D47"/>
    </sheetView>
  </sheetViews>
  <sheetFormatPr defaultRowHeight="15" x14ac:dyDescent="0.25"/>
  <cols>
    <col min="2" max="2" width="8.140625" bestFit="1" customWidth="1"/>
    <col min="3" max="3" width="12.42578125" bestFit="1" customWidth="1"/>
    <col min="4" max="5" width="14.28515625" bestFit="1" customWidth="1"/>
    <col min="6" max="6" width="14.85546875" customWidth="1"/>
    <col min="7" max="7" width="14.140625" customWidth="1"/>
    <col min="8" max="8" width="13.85546875" customWidth="1"/>
    <col min="9" max="9" width="15.28515625" customWidth="1"/>
    <col min="10" max="10" width="10.7109375" customWidth="1"/>
    <col min="11" max="11" width="11.7109375" customWidth="1"/>
    <col min="12" max="12" width="12" bestFit="1" customWidth="1"/>
  </cols>
  <sheetData>
    <row r="1" spans="1:9" ht="18.75" x14ac:dyDescent="0.35">
      <c r="A1" s="2" t="s">
        <v>13</v>
      </c>
    </row>
    <row r="2" spans="1:9" ht="15.75" x14ac:dyDescent="0.25">
      <c r="A2" s="2"/>
    </row>
    <row r="3" spans="1:9" ht="15.75" x14ac:dyDescent="0.25">
      <c r="A3" s="2"/>
    </row>
    <row r="5" spans="1:9" x14ac:dyDescent="0.25">
      <c r="A5" s="1" t="s">
        <v>14</v>
      </c>
    </row>
    <row r="6" spans="1:9" ht="16.5" x14ac:dyDescent="0.25">
      <c r="B6" t="s">
        <v>28</v>
      </c>
      <c r="C6" s="3">
        <v>0.5</v>
      </c>
      <c r="D6" t="s">
        <v>26</v>
      </c>
      <c r="E6" s="10" t="s">
        <v>21</v>
      </c>
      <c r="F6" s="11" t="s">
        <v>25</v>
      </c>
      <c r="H6" s="10" t="s">
        <v>16</v>
      </c>
      <c r="I6" s="11" t="s">
        <v>25</v>
      </c>
    </row>
    <row r="7" spans="1:9" x14ac:dyDescent="0.25">
      <c r="B7" t="s">
        <v>14</v>
      </c>
      <c r="C7" s="3">
        <v>450</v>
      </c>
      <c r="D7" t="s">
        <v>27</v>
      </c>
      <c r="E7" s="5">
        <v>0</v>
      </c>
      <c r="F7" s="6">
        <v>0.997</v>
      </c>
      <c r="H7" s="5">
        <v>1</v>
      </c>
      <c r="I7" s="6">
        <v>1.002</v>
      </c>
    </row>
    <row r="8" spans="1:9" ht="16.5" x14ac:dyDescent="0.25">
      <c r="B8" t="s">
        <v>29</v>
      </c>
      <c r="C8">
        <f>C7/C6/1000</f>
        <v>0.9</v>
      </c>
      <c r="D8" t="s">
        <v>31</v>
      </c>
      <c r="E8" s="5">
        <v>0.03</v>
      </c>
      <c r="F8" s="6">
        <v>0.999</v>
      </c>
      <c r="H8" s="5">
        <v>5</v>
      </c>
      <c r="I8" s="6">
        <v>1.0175000000000001</v>
      </c>
    </row>
    <row r="9" spans="1:9" x14ac:dyDescent="0.25">
      <c r="B9" t="s">
        <v>30</v>
      </c>
      <c r="C9" s="21">
        <f>INTERCEPT(L18:L26,G18:G26)+SLOPE(L18:L26,G18:G26)*C8</f>
        <v>1.5713499087470075</v>
      </c>
      <c r="D9" t="s">
        <v>26</v>
      </c>
      <c r="E9" s="5">
        <v>0.06</v>
      </c>
      <c r="F9" s="6">
        <v>1.0009999999999999</v>
      </c>
      <c r="H9" s="5">
        <v>10</v>
      </c>
      <c r="I9" s="6">
        <v>1.0375000000000001</v>
      </c>
    </row>
    <row r="10" spans="1:9" x14ac:dyDescent="0.25">
      <c r="E10" s="5">
        <v>0.125</v>
      </c>
      <c r="F10" s="6">
        <v>1.0049999999999999</v>
      </c>
      <c r="H10" s="5">
        <v>20</v>
      </c>
      <c r="I10" s="6">
        <v>1.0797000000000001</v>
      </c>
    </row>
    <row r="11" spans="1:9" x14ac:dyDescent="0.25">
      <c r="E11" s="5">
        <v>0.25</v>
      </c>
      <c r="F11" s="6">
        <v>1.014</v>
      </c>
      <c r="H11" s="5">
        <v>30</v>
      </c>
      <c r="I11" s="6">
        <v>1.1259999999999999</v>
      </c>
    </row>
    <row r="12" spans="1:9" x14ac:dyDescent="0.25">
      <c r="E12" s="5">
        <v>0.5</v>
      </c>
      <c r="F12" s="6">
        <v>1.0309999999999999</v>
      </c>
      <c r="H12" s="5">
        <v>40</v>
      </c>
      <c r="I12" s="6">
        <v>1.1724000000000001</v>
      </c>
    </row>
    <row r="13" spans="1:9" x14ac:dyDescent="0.25">
      <c r="E13" s="5">
        <v>1</v>
      </c>
      <c r="F13" s="6">
        <v>1.0660000000000001</v>
      </c>
      <c r="H13" s="5">
        <v>50</v>
      </c>
      <c r="I13" s="6">
        <v>1.2235</v>
      </c>
    </row>
    <row r="14" spans="1:9" x14ac:dyDescent="0.25">
      <c r="E14" s="7">
        <v>2</v>
      </c>
      <c r="F14" s="8">
        <v>1.131</v>
      </c>
      <c r="H14" s="7">
        <v>60</v>
      </c>
      <c r="I14" s="8">
        <v>1.2793000000000001</v>
      </c>
    </row>
    <row r="15" spans="1:9" x14ac:dyDescent="0.25">
      <c r="E15" t="s">
        <v>8</v>
      </c>
      <c r="F15" s="14" t="s">
        <v>15</v>
      </c>
      <c r="H15" t="s">
        <v>8</v>
      </c>
      <c r="I15" s="14" t="s">
        <v>17</v>
      </c>
    </row>
    <row r="17" spans="1:12" ht="16.5" x14ac:dyDescent="0.25">
      <c r="E17" s="10" t="s">
        <v>16</v>
      </c>
      <c r="F17" s="16" t="s">
        <v>19</v>
      </c>
      <c r="G17" s="16" t="s">
        <v>20</v>
      </c>
      <c r="H17" s="11" t="s">
        <v>18</v>
      </c>
      <c r="J17" s="10" t="s">
        <v>22</v>
      </c>
      <c r="K17" s="16" t="s">
        <v>23</v>
      </c>
      <c r="L17" s="11" t="s">
        <v>24</v>
      </c>
    </row>
    <row r="18" spans="1:12" x14ac:dyDescent="0.25">
      <c r="B18" s="21"/>
      <c r="E18" s="5">
        <v>0</v>
      </c>
      <c r="F18">
        <f>E18/100</f>
        <v>0</v>
      </c>
      <c r="G18" s="17">
        <f>F18/(1-F18)</f>
        <v>0</v>
      </c>
      <c r="H18" s="6">
        <v>0</v>
      </c>
      <c r="J18" s="19">
        <v>1</v>
      </c>
      <c r="K18" s="20">
        <f>G18*J18</f>
        <v>0</v>
      </c>
      <c r="L18" s="6">
        <f>J18</f>
        <v>1</v>
      </c>
    </row>
    <row r="19" spans="1:12" x14ac:dyDescent="0.25">
      <c r="E19" s="5">
        <f>H7</f>
        <v>1</v>
      </c>
      <c r="F19">
        <f t="shared" ref="F19:F26" si="0">E19/100</f>
        <v>0.01</v>
      </c>
      <c r="G19" s="17">
        <f t="shared" ref="G19:G26" si="1">F19/(1-F19)</f>
        <v>1.0101010101010102E-2</v>
      </c>
      <c r="H19" s="6">
        <f>I7</f>
        <v>1.002</v>
      </c>
      <c r="J19" s="5">
        <f>J18</f>
        <v>1</v>
      </c>
      <c r="K19" s="17">
        <f>G19*J19</f>
        <v>1.0101010101010102E-2</v>
      </c>
      <c r="L19" s="6">
        <f>(J19+K19)/H19</f>
        <v>1.0080848404201699</v>
      </c>
    </row>
    <row r="20" spans="1:12" x14ac:dyDescent="0.25">
      <c r="E20" s="5">
        <f t="shared" ref="E20:E25" si="2">H8</f>
        <v>5</v>
      </c>
      <c r="F20">
        <f t="shared" si="0"/>
        <v>0.05</v>
      </c>
      <c r="G20" s="17">
        <f t="shared" si="1"/>
        <v>5.2631578947368425E-2</v>
      </c>
      <c r="H20" s="6">
        <f t="shared" ref="H20:H26" si="3">I8</f>
        <v>1.0175000000000001</v>
      </c>
      <c r="J20" s="5">
        <f t="shared" ref="J20:J26" si="4">J19</f>
        <v>1</v>
      </c>
      <c r="K20" s="17">
        <f t="shared" ref="K20:K26" si="5">G20*J20</f>
        <v>5.2631578947368425E-2</v>
      </c>
      <c r="L20" s="6">
        <f t="shared" ref="L20:L25" si="6">(J20+K20)/H20</f>
        <v>1.034527350316824</v>
      </c>
    </row>
    <row r="21" spans="1:12" x14ac:dyDescent="0.25">
      <c r="E21" s="5">
        <f t="shared" si="2"/>
        <v>10</v>
      </c>
      <c r="F21">
        <f t="shared" si="0"/>
        <v>0.1</v>
      </c>
      <c r="G21" s="17">
        <f t="shared" si="1"/>
        <v>0.11111111111111112</v>
      </c>
      <c r="H21" s="6">
        <f t="shared" si="3"/>
        <v>1.0375000000000001</v>
      </c>
      <c r="J21" s="5">
        <f t="shared" si="4"/>
        <v>1</v>
      </c>
      <c r="K21" s="17">
        <f t="shared" si="5"/>
        <v>0.11111111111111112</v>
      </c>
      <c r="L21" s="6">
        <f t="shared" si="6"/>
        <v>1.07095046854083</v>
      </c>
    </row>
    <row r="22" spans="1:12" x14ac:dyDescent="0.25">
      <c r="E22" s="5">
        <f t="shared" si="2"/>
        <v>20</v>
      </c>
      <c r="F22">
        <f t="shared" si="0"/>
        <v>0.2</v>
      </c>
      <c r="G22" s="17">
        <f t="shared" si="1"/>
        <v>0.25</v>
      </c>
      <c r="H22" s="6">
        <f t="shared" si="3"/>
        <v>1.0797000000000001</v>
      </c>
      <c r="J22" s="5">
        <f t="shared" si="4"/>
        <v>1</v>
      </c>
      <c r="K22" s="17">
        <f t="shared" si="5"/>
        <v>0.25</v>
      </c>
      <c r="L22" s="6">
        <f t="shared" si="6"/>
        <v>1.1577289987959618</v>
      </c>
    </row>
    <row r="23" spans="1:12" x14ac:dyDescent="0.25">
      <c r="E23" s="5">
        <f t="shared" si="2"/>
        <v>30</v>
      </c>
      <c r="F23">
        <f t="shared" si="0"/>
        <v>0.3</v>
      </c>
      <c r="G23" s="17">
        <f t="shared" si="1"/>
        <v>0.4285714285714286</v>
      </c>
      <c r="H23" s="6">
        <f t="shared" si="3"/>
        <v>1.1259999999999999</v>
      </c>
      <c r="J23" s="5">
        <f t="shared" si="4"/>
        <v>1</v>
      </c>
      <c r="K23" s="17">
        <f t="shared" si="5"/>
        <v>0.4285714285714286</v>
      </c>
      <c r="L23" s="6">
        <f t="shared" si="6"/>
        <v>1.2687135244861711</v>
      </c>
    </row>
    <row r="24" spans="1:12" x14ac:dyDescent="0.25">
      <c r="E24" s="5">
        <f t="shared" si="2"/>
        <v>40</v>
      </c>
      <c r="F24">
        <f t="shared" si="0"/>
        <v>0.4</v>
      </c>
      <c r="G24" s="17">
        <f t="shared" si="1"/>
        <v>0.66666666666666674</v>
      </c>
      <c r="H24" s="6">
        <f t="shared" si="3"/>
        <v>1.1724000000000001</v>
      </c>
      <c r="J24" s="5">
        <f t="shared" si="4"/>
        <v>1</v>
      </c>
      <c r="K24" s="17">
        <f t="shared" si="5"/>
        <v>0.66666666666666674</v>
      </c>
      <c r="L24" s="6">
        <f t="shared" si="6"/>
        <v>1.4215853519845332</v>
      </c>
    </row>
    <row r="25" spans="1:12" x14ac:dyDescent="0.25">
      <c r="E25" s="5">
        <f t="shared" si="2"/>
        <v>50</v>
      </c>
      <c r="F25">
        <f t="shared" si="0"/>
        <v>0.5</v>
      </c>
      <c r="G25" s="17">
        <f t="shared" si="1"/>
        <v>1</v>
      </c>
      <c r="H25" s="6">
        <f t="shared" si="3"/>
        <v>1.2235</v>
      </c>
      <c r="J25" s="5">
        <f t="shared" si="4"/>
        <v>1</v>
      </c>
      <c r="K25" s="17">
        <f t="shared" si="5"/>
        <v>1</v>
      </c>
      <c r="L25" s="6">
        <f t="shared" si="6"/>
        <v>1.6346546791990191</v>
      </c>
    </row>
    <row r="26" spans="1:12" x14ac:dyDescent="0.25">
      <c r="E26" s="7">
        <f>H14</f>
        <v>60</v>
      </c>
      <c r="F26" s="15">
        <f t="shared" si="0"/>
        <v>0.6</v>
      </c>
      <c r="G26" s="18">
        <f t="shared" si="1"/>
        <v>1.4999999999999998</v>
      </c>
      <c r="H26" s="8">
        <f t="shared" si="3"/>
        <v>1.2793000000000001</v>
      </c>
      <c r="J26" s="7">
        <f t="shared" si="4"/>
        <v>1</v>
      </c>
      <c r="K26" s="18">
        <f t="shared" si="5"/>
        <v>1.4999999999999998</v>
      </c>
      <c r="L26" s="8">
        <f>(J26+K26)/H26</f>
        <v>1.9541936996795122</v>
      </c>
    </row>
    <row r="29" spans="1:12" x14ac:dyDescent="0.25">
      <c r="A29" s="1" t="s">
        <v>32</v>
      </c>
    </row>
    <row r="30" spans="1:12" ht="16.5" x14ac:dyDescent="0.25">
      <c r="E30" s="167" t="s">
        <v>34</v>
      </c>
      <c r="F30" s="165" t="s">
        <v>25</v>
      </c>
      <c r="G30" s="165"/>
      <c r="H30" s="165"/>
      <c r="I30" s="165"/>
      <c r="J30" s="165"/>
      <c r="K30" s="166"/>
    </row>
    <row r="31" spans="1:12" x14ac:dyDescent="0.25">
      <c r="B31" t="s">
        <v>28</v>
      </c>
      <c r="C31" s="3">
        <v>0.5</v>
      </c>
      <c r="D31" t="s">
        <v>26</v>
      </c>
      <c r="E31" s="168"/>
      <c r="F31" s="15" t="s">
        <v>35</v>
      </c>
      <c r="G31" s="15" t="s">
        <v>36</v>
      </c>
      <c r="H31" s="15" t="s">
        <v>33</v>
      </c>
      <c r="I31" s="15" t="s">
        <v>37</v>
      </c>
      <c r="J31" s="15" t="s">
        <v>38</v>
      </c>
      <c r="K31" s="8" t="s">
        <v>39</v>
      </c>
    </row>
    <row r="32" spans="1:12" ht="18" x14ac:dyDescent="0.35">
      <c r="B32" t="s">
        <v>42</v>
      </c>
      <c r="C32" s="3">
        <v>95.11</v>
      </c>
      <c r="D32" t="s">
        <v>27</v>
      </c>
      <c r="E32" s="5">
        <v>1</v>
      </c>
      <c r="F32">
        <v>1.0043</v>
      </c>
      <c r="G32">
        <v>1.0039</v>
      </c>
      <c r="H32">
        <v>1.0011000000000001</v>
      </c>
      <c r="I32">
        <v>0.99609999999999999</v>
      </c>
      <c r="J32">
        <v>0.98699999999999999</v>
      </c>
      <c r="K32" s="6">
        <v>0.97550000000000003</v>
      </c>
    </row>
    <row r="33" spans="2:11" ht="16.5" x14ac:dyDescent="0.25">
      <c r="B33" t="s">
        <v>29</v>
      </c>
      <c r="C33">
        <f>C32/C31/1000</f>
        <v>0.19022</v>
      </c>
      <c r="D33" t="s">
        <v>31</v>
      </c>
      <c r="E33" s="5">
        <v>2</v>
      </c>
      <c r="F33">
        <v>1.0087999999999999</v>
      </c>
      <c r="G33">
        <v>1.0082</v>
      </c>
      <c r="H33">
        <v>1.0051000000000001</v>
      </c>
      <c r="I33">
        <v>1</v>
      </c>
      <c r="J33">
        <v>0.99080000000000001</v>
      </c>
      <c r="K33" s="6">
        <v>0.97929999999999995</v>
      </c>
    </row>
    <row r="34" spans="2:11" x14ac:dyDescent="0.25">
      <c r="B34" t="s">
        <v>30</v>
      </c>
      <c r="C34" s="21">
        <f>INTERCEPT(K47:K58,F47:F58)+SLOPE(K47:K58,F47:F58)*C33</f>
        <v>1.1205576734002531</v>
      </c>
      <c r="D34" t="s">
        <v>26</v>
      </c>
      <c r="E34" s="5">
        <v>4</v>
      </c>
      <c r="F34">
        <v>1.0178</v>
      </c>
      <c r="G34">
        <v>1.0167999999999999</v>
      </c>
      <c r="H34">
        <v>1.0132000000000001</v>
      </c>
      <c r="I34">
        <v>1.0079</v>
      </c>
      <c r="J34">
        <v>0.99850000000000005</v>
      </c>
      <c r="K34" s="6">
        <v>0.9869</v>
      </c>
    </row>
    <row r="35" spans="2:11" x14ac:dyDescent="0.25">
      <c r="E35" s="5">
        <v>8</v>
      </c>
      <c r="F35">
        <v>1.0358000000000001</v>
      </c>
      <c r="G35">
        <v>1.034</v>
      </c>
      <c r="H35">
        <v>1.0297000000000001</v>
      </c>
      <c r="I35">
        <v>1.0238</v>
      </c>
      <c r="J35">
        <v>1.0142</v>
      </c>
      <c r="K35" s="6">
        <v>1.0024</v>
      </c>
    </row>
    <row r="36" spans="2:11" x14ac:dyDescent="0.25">
      <c r="E36" s="5">
        <v>12</v>
      </c>
      <c r="F36">
        <v>1.0539000000000001</v>
      </c>
      <c r="G36">
        <v>1.0515000000000001</v>
      </c>
      <c r="H36">
        <v>1.0464</v>
      </c>
      <c r="I36">
        <v>1.04</v>
      </c>
      <c r="J36">
        <v>1.0301</v>
      </c>
      <c r="K36" s="6">
        <v>1.0181</v>
      </c>
    </row>
    <row r="37" spans="2:11" x14ac:dyDescent="0.25">
      <c r="E37" s="5">
        <v>16</v>
      </c>
      <c r="F37">
        <v>1.0721000000000001</v>
      </c>
      <c r="G37">
        <v>1.0690999999999999</v>
      </c>
      <c r="H37">
        <v>1.0632999999999999</v>
      </c>
      <c r="I37">
        <v>1.0565</v>
      </c>
      <c r="J37">
        <v>1.0462</v>
      </c>
      <c r="K37" s="6">
        <v>1.0342</v>
      </c>
    </row>
    <row r="38" spans="2:11" x14ac:dyDescent="0.25">
      <c r="E38" s="5">
        <v>20</v>
      </c>
      <c r="F38">
        <v>1.0905</v>
      </c>
      <c r="G38">
        <v>1.087</v>
      </c>
      <c r="H38">
        <v>1.0806</v>
      </c>
      <c r="I38">
        <v>1.0733999999999999</v>
      </c>
      <c r="J38">
        <v>1.0627</v>
      </c>
      <c r="K38" s="6">
        <v>1.0506</v>
      </c>
    </row>
    <row r="39" spans="2:11" x14ac:dyDescent="0.25">
      <c r="E39" s="5">
        <v>24</v>
      </c>
      <c r="F39">
        <v>1.109</v>
      </c>
      <c r="G39">
        <v>1.1051</v>
      </c>
      <c r="H39">
        <v>1.0982000000000001</v>
      </c>
      <c r="I39">
        <v>1.0907</v>
      </c>
      <c r="J39">
        <v>1.0795999999999999</v>
      </c>
      <c r="K39" s="6">
        <v>1.0672999999999999</v>
      </c>
    </row>
    <row r="40" spans="2:11" x14ac:dyDescent="0.25">
      <c r="E40" s="5">
        <v>28</v>
      </c>
      <c r="F40">
        <v>1.1276999999999999</v>
      </c>
      <c r="G40">
        <v>1.1234</v>
      </c>
      <c r="H40">
        <v>1.1161000000000001</v>
      </c>
      <c r="I40">
        <v>1.1082000000000001</v>
      </c>
      <c r="J40">
        <v>1.0968</v>
      </c>
      <c r="K40" s="6">
        <v>1.0844</v>
      </c>
    </row>
    <row r="41" spans="2:11" x14ac:dyDescent="0.25">
      <c r="E41" s="5">
        <v>30</v>
      </c>
      <c r="F41">
        <v>1.1371</v>
      </c>
      <c r="G41">
        <v>1.1327</v>
      </c>
      <c r="H41">
        <v>1.1252</v>
      </c>
      <c r="I41">
        <v>1.1171</v>
      </c>
      <c r="J41">
        <v>1.1054999999999999</v>
      </c>
      <c r="K41" s="6">
        <v>1.0931</v>
      </c>
    </row>
    <row r="42" spans="2:11" x14ac:dyDescent="0.25">
      <c r="E42" s="5">
        <v>40</v>
      </c>
      <c r="F42">
        <v>1.1861999999999999</v>
      </c>
      <c r="G42">
        <v>1.181</v>
      </c>
      <c r="H42">
        <v>1.1727000000000001</v>
      </c>
      <c r="I42">
        <v>1.1639999999999999</v>
      </c>
      <c r="J42">
        <v>1.1515</v>
      </c>
      <c r="K42" s="6">
        <v>1.1385000000000001</v>
      </c>
    </row>
    <row r="43" spans="2:11" x14ac:dyDescent="0.25">
      <c r="E43" s="7">
        <v>50</v>
      </c>
      <c r="F43" s="15">
        <v>1.238</v>
      </c>
      <c r="G43" s="15">
        <v>1.232</v>
      </c>
      <c r="H43" s="15">
        <v>1.2229000000000001</v>
      </c>
      <c r="I43" s="15">
        <v>1.2136</v>
      </c>
      <c r="J43" s="15">
        <v>1.2005999999999999</v>
      </c>
      <c r="K43" s="8">
        <v>1.1868000000000001</v>
      </c>
    </row>
    <row r="44" spans="2:11" x14ac:dyDescent="0.25">
      <c r="E44" t="s">
        <v>8</v>
      </c>
      <c r="F44" s="14" t="s">
        <v>40</v>
      </c>
    </row>
    <row r="46" spans="2:11" ht="18" x14ac:dyDescent="0.35">
      <c r="E46" s="10" t="s">
        <v>19</v>
      </c>
      <c r="F46" s="16" t="s">
        <v>20</v>
      </c>
      <c r="G46" s="11" t="s">
        <v>18</v>
      </c>
      <c r="I46" s="10" t="s">
        <v>22</v>
      </c>
      <c r="J46" s="16" t="s">
        <v>41</v>
      </c>
      <c r="K46" s="11" t="s">
        <v>24</v>
      </c>
    </row>
    <row r="47" spans="2:11" x14ac:dyDescent="0.25">
      <c r="E47" s="5">
        <f>E32/100</f>
        <v>0.01</v>
      </c>
      <c r="F47">
        <f>E47/(1-E47)</f>
        <v>1.0101010101010102E-2</v>
      </c>
      <c r="G47" s="6">
        <f>H32</f>
        <v>1.0011000000000001</v>
      </c>
      <c r="I47" s="22">
        <v>1</v>
      </c>
      <c r="J47" s="20">
        <f>F47*I47</f>
        <v>1.0101010101010102E-2</v>
      </c>
      <c r="K47" s="4">
        <f>(I47+J47)/G47</f>
        <v>1.0089911198691539</v>
      </c>
    </row>
    <row r="48" spans="2:11" x14ac:dyDescent="0.25">
      <c r="E48" s="5">
        <f t="shared" ref="E48:E58" si="7">E33/100</f>
        <v>0.02</v>
      </c>
      <c r="F48">
        <f t="shared" ref="F48:F57" si="8">E48/(1-E48)</f>
        <v>2.0408163265306124E-2</v>
      </c>
      <c r="G48" s="6">
        <f t="shared" ref="G48:G57" si="9">H33</f>
        <v>1.0051000000000001</v>
      </c>
      <c r="I48" s="5">
        <f>I47</f>
        <v>1</v>
      </c>
      <c r="J48" s="17">
        <f>F48*I48</f>
        <v>2.0408163265306124E-2</v>
      </c>
      <c r="K48" s="6">
        <f t="shared" ref="K48:K54" si="10">(I48+J48)/G48</f>
        <v>1.0152304877776401</v>
      </c>
    </row>
    <row r="49" spans="5:11" x14ac:dyDescent="0.25">
      <c r="E49" s="5">
        <f t="shared" si="7"/>
        <v>0.04</v>
      </c>
      <c r="F49">
        <f t="shared" si="8"/>
        <v>4.1666666666666671E-2</v>
      </c>
      <c r="G49" s="6">
        <f t="shared" si="9"/>
        <v>1.0132000000000001</v>
      </c>
      <c r="I49" s="5">
        <f t="shared" ref="I49:I55" si="11">I48</f>
        <v>1</v>
      </c>
      <c r="J49" s="17">
        <f t="shared" ref="J49:J55" si="12">F49*I49</f>
        <v>4.1666666666666671E-2</v>
      </c>
      <c r="K49" s="6">
        <f t="shared" si="10"/>
        <v>1.028095802079221</v>
      </c>
    </row>
    <row r="50" spans="5:11" x14ac:dyDescent="0.25">
      <c r="E50" s="5">
        <f t="shared" si="7"/>
        <v>0.08</v>
      </c>
      <c r="F50">
        <f t="shared" si="8"/>
        <v>8.6956521739130432E-2</v>
      </c>
      <c r="G50" s="6">
        <f t="shared" si="9"/>
        <v>1.0297000000000001</v>
      </c>
      <c r="I50" s="5">
        <f t="shared" si="11"/>
        <v>1</v>
      </c>
      <c r="J50" s="17">
        <f t="shared" si="12"/>
        <v>8.6956521739130432E-2</v>
      </c>
      <c r="K50" s="6">
        <f t="shared" si="10"/>
        <v>1.0556050517035354</v>
      </c>
    </row>
    <row r="51" spans="5:11" x14ac:dyDescent="0.25">
      <c r="E51" s="5">
        <f t="shared" si="7"/>
        <v>0.12</v>
      </c>
      <c r="F51">
        <f t="shared" si="8"/>
        <v>0.13636363636363635</v>
      </c>
      <c r="G51" s="6">
        <f t="shared" si="9"/>
        <v>1.0464</v>
      </c>
      <c r="I51" s="5">
        <f t="shared" si="11"/>
        <v>1</v>
      </c>
      <c r="J51" s="17">
        <f t="shared" si="12"/>
        <v>0.13636363636363635</v>
      </c>
      <c r="K51" s="6">
        <f t="shared" si="10"/>
        <v>1.0859744231303863</v>
      </c>
    </row>
    <row r="52" spans="5:11" x14ac:dyDescent="0.25">
      <c r="E52" s="5">
        <f t="shared" si="7"/>
        <v>0.16</v>
      </c>
      <c r="F52">
        <f t="shared" si="8"/>
        <v>0.19047619047619049</v>
      </c>
      <c r="G52" s="6">
        <f t="shared" si="9"/>
        <v>1.0632999999999999</v>
      </c>
      <c r="I52" s="5">
        <f t="shared" si="11"/>
        <v>1</v>
      </c>
      <c r="J52" s="17">
        <f t="shared" si="12"/>
        <v>0.19047619047619049</v>
      </c>
      <c r="K52" s="6">
        <f t="shared" si="10"/>
        <v>1.1196051824284685</v>
      </c>
    </row>
    <row r="53" spans="5:11" x14ac:dyDescent="0.25">
      <c r="E53" s="5">
        <f t="shared" si="7"/>
        <v>0.2</v>
      </c>
      <c r="F53">
        <f t="shared" si="8"/>
        <v>0.25</v>
      </c>
      <c r="G53" s="6">
        <f t="shared" si="9"/>
        <v>1.0806</v>
      </c>
      <c r="I53" s="5">
        <f t="shared" si="11"/>
        <v>1</v>
      </c>
      <c r="J53" s="17">
        <f t="shared" si="12"/>
        <v>0.25</v>
      </c>
      <c r="K53" s="6">
        <f t="shared" si="10"/>
        <v>1.1567647603183417</v>
      </c>
    </row>
    <row r="54" spans="5:11" x14ac:dyDescent="0.25">
      <c r="E54" s="5">
        <f t="shared" si="7"/>
        <v>0.24</v>
      </c>
      <c r="F54">
        <f t="shared" si="8"/>
        <v>0.31578947368421051</v>
      </c>
      <c r="G54" s="6">
        <f t="shared" si="9"/>
        <v>1.0982000000000001</v>
      </c>
      <c r="I54" s="5">
        <f t="shared" si="11"/>
        <v>1</v>
      </c>
      <c r="J54" s="17">
        <f t="shared" si="12"/>
        <v>0.31578947368421051</v>
      </c>
      <c r="K54" s="6">
        <f t="shared" si="10"/>
        <v>1.1981328297980427</v>
      </c>
    </row>
    <row r="55" spans="5:11" x14ac:dyDescent="0.25">
      <c r="E55" s="5">
        <f t="shared" si="7"/>
        <v>0.28000000000000003</v>
      </c>
      <c r="F55">
        <f t="shared" si="8"/>
        <v>0.38888888888888895</v>
      </c>
      <c r="G55" s="6">
        <f t="shared" si="9"/>
        <v>1.1161000000000001</v>
      </c>
      <c r="I55" s="5">
        <f t="shared" si="11"/>
        <v>1</v>
      </c>
      <c r="J55" s="17">
        <f t="shared" si="12"/>
        <v>0.38888888888888895</v>
      </c>
      <c r="K55" s="6">
        <f>(I55+J55)/G55</f>
        <v>1.2444125874822047</v>
      </c>
    </row>
    <row r="56" spans="5:11" x14ac:dyDescent="0.25">
      <c r="E56" s="5">
        <f t="shared" si="7"/>
        <v>0.3</v>
      </c>
      <c r="F56">
        <f t="shared" si="8"/>
        <v>0.4285714285714286</v>
      </c>
      <c r="G56" s="6">
        <f t="shared" si="9"/>
        <v>1.1252</v>
      </c>
      <c r="I56" s="5">
        <f t="shared" ref="I56:I58" si="13">I55</f>
        <v>1</v>
      </c>
      <c r="J56" s="17">
        <f t="shared" ref="J56:J58" si="14">F56*I56</f>
        <v>0.4285714285714286</v>
      </c>
      <c r="K56" s="6">
        <f t="shared" ref="K56:K57" si="15">(I56+J56)/G56</f>
        <v>1.2696155604083084</v>
      </c>
    </row>
    <row r="57" spans="5:11" x14ac:dyDescent="0.25">
      <c r="E57" s="5">
        <f t="shared" si="7"/>
        <v>0.4</v>
      </c>
      <c r="F57">
        <f t="shared" si="8"/>
        <v>0.66666666666666674</v>
      </c>
      <c r="G57" s="6">
        <f t="shared" si="9"/>
        <v>1.1727000000000001</v>
      </c>
      <c r="I57" s="5">
        <f t="shared" si="13"/>
        <v>1</v>
      </c>
      <c r="J57" s="17">
        <f t="shared" si="14"/>
        <v>0.66666666666666674</v>
      </c>
      <c r="K57" s="6">
        <f t="shared" si="15"/>
        <v>1.4212216821579831</v>
      </c>
    </row>
    <row r="58" spans="5:11" x14ac:dyDescent="0.25">
      <c r="E58" s="7">
        <f t="shared" si="7"/>
        <v>0.5</v>
      </c>
      <c r="F58" s="15">
        <f>E58/(1-E58)</f>
        <v>1</v>
      </c>
      <c r="G58" s="8">
        <f>H43</f>
        <v>1.2229000000000001</v>
      </c>
      <c r="I58" s="7">
        <f t="shared" si="13"/>
        <v>1</v>
      </c>
      <c r="J58" s="18">
        <f t="shared" si="14"/>
        <v>1</v>
      </c>
      <c r="K58" s="8">
        <f>(I58+J58)/G58</f>
        <v>1.6354567012838335</v>
      </c>
    </row>
  </sheetData>
  <mergeCells count="2">
    <mergeCell ref="F30:K30"/>
    <mergeCell ref="E30:E31"/>
  </mergeCells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31565-BCF8-4297-B6C3-2A8C6C0AC3BE}">
  <dimension ref="A1:I8"/>
  <sheetViews>
    <sheetView workbookViewId="0">
      <selection activeCell="B3" sqref="B3"/>
    </sheetView>
  </sheetViews>
  <sheetFormatPr defaultRowHeight="15" x14ac:dyDescent="0.25"/>
  <cols>
    <col min="1" max="1" width="15.42578125" bestFit="1" customWidth="1"/>
    <col min="3" max="3" width="13.140625" customWidth="1"/>
    <col min="9" max="9" width="13.85546875" customWidth="1"/>
  </cols>
  <sheetData>
    <row r="1" spans="1:9" ht="18.75" x14ac:dyDescent="0.35">
      <c r="A1" s="2" t="s">
        <v>0</v>
      </c>
    </row>
    <row r="3" spans="1:9" ht="16.5" x14ac:dyDescent="0.25">
      <c r="A3" t="s">
        <v>3</v>
      </c>
      <c r="B3" s="3">
        <v>89</v>
      </c>
      <c r="C3" t="s">
        <v>4</v>
      </c>
      <c r="H3" s="12" t="s">
        <v>3</v>
      </c>
      <c r="I3" s="13" t="s">
        <v>9</v>
      </c>
    </row>
    <row r="4" spans="1:9" ht="16.5" x14ac:dyDescent="0.25">
      <c r="A4" t="s">
        <v>1</v>
      </c>
      <c r="B4">
        <v>97.994</v>
      </c>
      <c r="C4" t="s">
        <v>2</v>
      </c>
      <c r="H4" s="5">
        <v>60</v>
      </c>
      <c r="I4" s="6">
        <v>1.4222999999999999</v>
      </c>
    </row>
    <row r="5" spans="1:9" ht="16.5" x14ac:dyDescent="0.25">
      <c r="A5" t="s">
        <v>5</v>
      </c>
      <c r="B5">
        <f>0.000046*B3^2+0.003818*B3+1.0276</f>
        <v>1.7317680000000002</v>
      </c>
      <c r="C5" t="s">
        <v>10</v>
      </c>
      <c r="H5" s="5">
        <v>70</v>
      </c>
      <c r="I5" s="6">
        <v>1.5202</v>
      </c>
    </row>
    <row r="6" spans="1:9" ht="18" x14ac:dyDescent="0.35">
      <c r="A6" t="s">
        <v>6</v>
      </c>
      <c r="B6">
        <f>B5*1000*(B3/100)</f>
        <v>1541.2735200000002</v>
      </c>
      <c r="C6" t="s">
        <v>11</v>
      </c>
      <c r="H6" s="5">
        <v>80</v>
      </c>
      <c r="I6" s="6">
        <v>1.6274999999999999</v>
      </c>
    </row>
    <row r="7" spans="1:9" ht="18" x14ac:dyDescent="0.35">
      <c r="A7" t="s">
        <v>6</v>
      </c>
      <c r="B7">
        <f>B6/B4</f>
        <v>15.728243770026738</v>
      </c>
      <c r="C7" t="s">
        <v>12</v>
      </c>
      <c r="H7" s="7">
        <v>90</v>
      </c>
      <c r="I7" s="8">
        <v>1.7438</v>
      </c>
    </row>
    <row r="8" spans="1:9" x14ac:dyDescent="0.25">
      <c r="H8" t="s">
        <v>8</v>
      </c>
      <c r="I8" s="9" t="s">
        <v>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Calculator</vt:lpstr>
      <vt:lpstr>AcidRatio</vt:lpstr>
      <vt:lpstr>FeedRatio</vt:lpstr>
      <vt:lpstr>H3PO4Ratio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Marte Mølsæter Maråk</dc:creator>
  <cp:lastModifiedBy>Marte Mølsæter Maråk</cp:lastModifiedBy>
  <dcterms:created xsi:type="dcterms:W3CDTF">2025-04-24T10:38:42Z</dcterms:created>
  <dcterms:modified xsi:type="dcterms:W3CDTF">2025-05-08T07:04:53Z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0484126-3486-41a9-802e-7f1e2277276c_Enabled">
    <vt:lpwstr>true</vt:lpwstr>
  </property>
  <property fmtid="{D5CDD505-2E9C-101B-9397-08002B2CF9AE}" pid="3" name="MSIP_Label_d0484126-3486-41a9-802e-7f1e2277276c_SetDate">
    <vt:lpwstr>2025-04-24T10:44:39Z</vt:lpwstr>
  </property>
  <property fmtid="{D5CDD505-2E9C-101B-9397-08002B2CF9AE}" pid="4" name="MSIP_Label_d0484126-3486-41a9-802e-7f1e2277276c_Method">
    <vt:lpwstr>Standard</vt:lpwstr>
  </property>
  <property fmtid="{D5CDD505-2E9C-101B-9397-08002B2CF9AE}" pid="5" name="MSIP_Label_d0484126-3486-41a9-802e-7f1e2277276c_Name">
    <vt:lpwstr>d0484126-3486-41a9-802e-7f1e2277276c</vt:lpwstr>
  </property>
  <property fmtid="{D5CDD505-2E9C-101B-9397-08002B2CF9AE}" pid="6" name="MSIP_Label_d0484126-3486-41a9-802e-7f1e2277276c_SiteId">
    <vt:lpwstr>eec01f8e-737f-43e3-9ed5-f8a59913bd82</vt:lpwstr>
  </property>
  <property fmtid="{D5CDD505-2E9C-101B-9397-08002B2CF9AE}" pid="7" name="MSIP_Label_d0484126-3486-41a9-802e-7f1e2277276c_ActionId">
    <vt:lpwstr>07fd79e1-ce9f-47a2-adab-267a58324775</vt:lpwstr>
  </property>
  <property fmtid="{D5CDD505-2E9C-101B-9397-08002B2CF9AE}" pid="8" name="MSIP_Label_d0484126-3486-41a9-802e-7f1e2277276c_ContentBits">
    <vt:lpwstr>0</vt:lpwstr>
  </property>
  <property fmtid="{D5CDD505-2E9C-101B-9397-08002B2CF9AE}" pid="9" name="MSIP_Label_d0484126-3486-41a9-802e-7f1e2277276c_Tag">
    <vt:lpwstr>10, 3, 0, 1</vt:lpwstr>
  </property>
</Properties>
</file>