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eduumb-my.sharepoint.com/personal/marte_molsater_marak_nmbu_no/Documents/Documents/AnaPro/Paper II - Optimization/4 Analysis/Medium Calculator/"/>
    </mc:Choice>
  </mc:AlternateContent>
  <xr:revisionPtr revIDLastSave="548" documentId="13_ncr:1_{F1832CE0-36C1-4047-A19F-A0604A36E014}" xr6:coauthVersionLast="47" xr6:coauthVersionMax="47" xr10:uidLastSave="{BCC09C6E-27EB-41F5-B007-2295788E32A1}"/>
  <bookViews>
    <workbookView xWindow="-120" yWindow="-120" windowWidth="24240" windowHeight="13290" xr2:uid="{C66E4C01-F4D0-4609-A3C2-96E593CEA4A9}"/>
  </bookViews>
  <sheets>
    <sheet name="Calculator" sheetId="5" r:id="rId1"/>
    <sheet name="Direction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5" l="1"/>
  <c r="F48" i="5" l="1"/>
  <c r="E48" i="5"/>
  <c r="E47" i="5"/>
  <c r="F52" i="5"/>
  <c r="F51" i="5"/>
  <c r="F50" i="5"/>
  <c r="E60" i="5"/>
  <c r="E59" i="5"/>
  <c r="E58" i="5"/>
  <c r="E57" i="5"/>
  <c r="E56" i="5"/>
  <c r="E55" i="5"/>
  <c r="E53" i="5"/>
  <c r="E52" i="5"/>
  <c r="E51" i="5"/>
  <c r="E50" i="5"/>
  <c r="E49" i="5"/>
  <c r="C24" i="5"/>
  <c r="K41" i="5"/>
  <c r="F54" i="5" s="1"/>
  <c r="K40" i="5"/>
  <c r="F55" i="5" s="1"/>
  <c r="K39" i="5"/>
  <c r="F60" i="5" s="1"/>
  <c r="K38" i="5"/>
  <c r="F59" i="5" s="1"/>
  <c r="K37" i="5"/>
  <c r="F58" i="5" s="1"/>
  <c r="K36" i="5"/>
  <c r="F56" i="5" s="1"/>
  <c r="K35" i="5"/>
  <c r="K34" i="5"/>
  <c r="E34" i="5"/>
  <c r="K33" i="5"/>
  <c r="E33" i="5"/>
  <c r="E32" i="5"/>
  <c r="J29" i="5"/>
  <c r="E31" i="5"/>
  <c r="K28" i="5"/>
  <c r="E30" i="5"/>
  <c r="K27" i="5"/>
  <c r="E29" i="5"/>
  <c r="K26" i="5"/>
  <c r="E28" i="5"/>
  <c r="K25" i="5"/>
  <c r="E27" i="5"/>
  <c r="K24" i="5"/>
  <c r="N23" i="5"/>
  <c r="K23" i="5"/>
  <c r="E23" i="5"/>
  <c r="K22" i="5"/>
  <c r="E22" i="5"/>
  <c r="K21" i="5"/>
  <c r="E21" i="5"/>
  <c r="N20" i="5"/>
  <c r="O26" i="5" s="1"/>
  <c r="P26" i="5" s="1"/>
  <c r="I4" i="5" s="1"/>
  <c r="K20" i="5"/>
  <c r="E20" i="5"/>
  <c r="I19" i="5"/>
  <c r="K19" i="5" s="1"/>
  <c r="N30" i="5" s="1"/>
  <c r="E19" i="5"/>
  <c r="C8" i="5"/>
  <c r="C6" i="5"/>
  <c r="F49" i="5" l="1"/>
  <c r="F53" i="5"/>
  <c r="F47" i="5"/>
  <c r="I5" i="5"/>
  <c r="I6" i="5"/>
  <c r="N21" i="5"/>
  <c r="O27" i="5" s="1"/>
  <c r="P27" i="5" s="1"/>
  <c r="I7" i="5" s="1"/>
  <c r="I8" i="5" s="1"/>
  <c r="I9" i="5" l="1"/>
  <c r="I10" i="5" s="1"/>
  <c r="I11" i="5" s="1"/>
  <c r="N4" i="5" s="1"/>
  <c r="R6" i="5" l="1"/>
  <c r="R7" i="5" s="1"/>
  <c r="R8" i="5" s="1"/>
  <c r="R9" i="5"/>
  <c r="R12" i="5" l="1"/>
  <c r="R13" i="5" s="1"/>
  <c r="R10" i="5"/>
  <c r="R14" i="5"/>
  <c r="G53" i="5"/>
  <c r="G58" i="5"/>
  <c r="G50" i="5"/>
  <c r="G55" i="5"/>
  <c r="G56" i="5"/>
  <c r="G59" i="5"/>
  <c r="G54" i="5"/>
  <c r="G51" i="5"/>
  <c r="G60" i="5"/>
  <c r="G57" i="5"/>
  <c r="G47" i="5"/>
  <c r="G52" i="5"/>
  <c r="G49" i="5"/>
  <c r="G48" i="5"/>
  <c r="R15" i="5" l="1"/>
  <c r="H52" i="5"/>
  <c r="H49" i="5"/>
  <c r="H60" i="5"/>
  <c r="I60" i="5" s="1"/>
  <c r="H59" i="5"/>
  <c r="I59" i="5" s="1"/>
  <c r="H58" i="5"/>
  <c r="I58" i="5" s="1"/>
  <c r="H57" i="5"/>
  <c r="J57" i="5" s="1"/>
  <c r="H56" i="5"/>
  <c r="I56" i="5" s="1"/>
  <c r="H55" i="5"/>
  <c r="I55" i="5" s="1"/>
  <c r="H54" i="5"/>
  <c r="I54" i="5" s="1"/>
  <c r="H53" i="5"/>
  <c r="J53" i="5" s="1"/>
  <c r="H48" i="5"/>
  <c r="I48" i="5" s="1"/>
  <c r="H50" i="5"/>
  <c r="J50" i="5" s="1"/>
  <c r="H51" i="5"/>
  <c r="I51" i="5" s="1"/>
  <c r="H47" i="5"/>
  <c r="J47" i="5" s="1"/>
  <c r="J48" i="5"/>
  <c r="J55" i="5"/>
  <c r="I49" i="5"/>
  <c r="J49" i="5"/>
  <c r="I52" i="5"/>
  <c r="J52" i="5"/>
  <c r="J60" i="5" l="1"/>
  <c r="J56" i="5"/>
  <c r="L55" i="5"/>
  <c r="K55" i="5"/>
  <c r="L51" i="5"/>
  <c r="K51" i="5"/>
  <c r="K54" i="5"/>
  <c r="L54" i="5"/>
  <c r="L58" i="5"/>
  <c r="K58" i="5"/>
  <c r="L59" i="5"/>
  <c r="K59" i="5"/>
  <c r="K52" i="5"/>
  <c r="L52" i="5"/>
  <c r="K49" i="5"/>
  <c r="L49" i="5"/>
  <c r="J58" i="5"/>
  <c r="K56" i="5"/>
  <c r="L56" i="5"/>
  <c r="K48" i="5"/>
  <c r="L48" i="5"/>
  <c r="J59" i="5"/>
  <c r="I57" i="5"/>
  <c r="I50" i="5"/>
  <c r="K60" i="5"/>
  <c r="L60" i="5"/>
  <c r="J51" i="5"/>
  <c r="I53" i="5"/>
  <c r="I47" i="5"/>
  <c r="J54" i="5"/>
  <c r="L47" i="5" l="1"/>
  <c r="K47" i="5"/>
  <c r="K53" i="5"/>
  <c r="L53" i="5"/>
  <c r="K50" i="5"/>
  <c r="L50" i="5"/>
  <c r="L57" i="5"/>
  <c r="K5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tc={3E0CD729-1521-4EC0-AE86-BC6A96AD6F6F}</author>
    <author>tc={1831F2F1-DD66-4F57-BB89-C021C8219B5B}</author>
    <author>tc={C6640E7F-337E-4A71-8A11-9BFAFFA19F0C}</author>
    <author>tc={012D76F7-D60D-4657-8764-0F85692A839B}</author>
    <author>tc={27783780-2A37-4181-B488-30FD39D6456E}</author>
    <author>Marte Mølsæter Maråk</author>
    <author>tc={A83F4F11-35EA-4005-9CFE-D014E907C937}</author>
    <author>tc={85169965-4C52-4D3D-BFAE-F6AC95869F74}</author>
    <author>tc={BB8A974F-EF3E-4733-B902-E662CBA77818}</author>
    <author>tc={A5B8D033-CFA8-4A37-BCB9-10D23A493E93}</author>
    <author>tc={0386B372-1E97-466F-9AA4-BDEC14D1C931}</author>
    <author>tc={12F387ED-029B-4595-A18D-76FF6791BC2A}</author>
    <author>tc={BE8098B1-7E3A-4322-80DF-C192E56267C3}</author>
    <author>tc={E808719C-625C-4D27-A377-9D2C4D78EA76}</author>
  </authors>
  <commentList>
    <comment ref="H4" authorId="0" shapeId="0" xr:uid="{3E0CD729-1521-4EC0-AE86-BC6A96AD6F6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mol glucose C in reservoir and yield</t>
      </text>
    </comment>
    <comment ref="Q9" authorId="1" shapeId="0" xr:uid="{1831F2F1-DD66-4F57-BB89-C021C8219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total  H2O volume, which is less than the volumes of acid + glucose-solutions injected (see fractions of H2O in each, cell N25 and n28)
, </t>
      </text>
    </comment>
    <comment ref="H10" authorId="2" shapeId="0" xr:uid="{C6640E7F-337E-4A71-8A11-9BFAFFA19F0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needed NO3 and subtracting NO3 coming from NH4NO3</t>
      </text>
    </comment>
    <comment ref="N22" authorId="3" shapeId="0" xr:uid="{012D76F7-D60D-4657-8764-0F85692A83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increase in volume after dissolving must be measured and put in here for the correct calculation of the concentration in the reservoirs, which is used to calculate the k-value for the feed.</t>
      </text>
    </comment>
    <comment ref="B26" authorId="4" shapeId="0" xr:uid="{27783780-2A37-4181-B488-30FD39D645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mL L-1 TE-1 </t>
      </text>
    </comment>
    <comment ref="B27" authorId="5" shapeId="0" xr:uid="{C6F9012E-37F7-4AD2-985E-D6797CD5522B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C₁₀H₁₄N₂Na₂O₈</t>
        </r>
      </text>
    </comment>
    <comment ref="M29" authorId="6" shapeId="0" xr:uid="{A83F4F11-35EA-4005-9CFE-D014E907C93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based on regression (see sheet: ”HNO3 and gluc mix in water”</t>
      </text>
    </comment>
    <comment ref="H32" authorId="7" shapeId="0" xr:uid="{85169965-4C52-4D3D-BFAE-F6AC95869F74}">
      <text>
        <t>[Threaded comment]
Your version of Excel allows you to read this threaded comment; however, any edits to it will get removed if the file is opened in a newer version of Excel. Learn more: https://go.microsoft.com/fwlink/?linkid=870924
Comment:
    0.1 L L-1 TE-3</t>
      </text>
    </comment>
    <comment ref="G45" authorId="8" shapeId="0" xr:uid="{BB8A974F-EF3E-4733-B902-E662CBA77818}">
      <text>
        <t>[Threaded comment]
Your version of Excel allows you to read this threaded comment; however, any edits to it will get removed if the file is opened in a newer version of Excel. Learn more: https://go.microsoft.com/fwlink/?linkid=870924
Comment:
    Steady-state assumes basal medium is replaced with the acid and feed injected. 
Reply:
    nB: the amounts in these colums are g per L H2O, not per L culture volume</t>
      </text>
    </comment>
    <comment ref="J45" authorId="9" shapeId="0" xr:uid="{A5B8D033-CFA8-4A37-BCB9-10D23A493E93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Fraction of the cellular needs that is covered by the provided amount of each element at steady-state. Must be above 100% to avoid limitations.</t>
      </text>
    </comment>
    <comment ref="K45" authorId="10" shapeId="0" xr:uid="{0386B372-1E97-466F-9AA4-BDEC14D1C9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Remaining concentration of each element in the liquid after cellular needs are met. Assumes critical uptake of each element.
Reply:
    NB: this is the amounts per l H2O, not per L culture volume</t>
      </text>
    </comment>
    <comment ref="D46" authorId="11" shapeId="0" xr:uid="{12F387ED-029B-4595-A18D-76FF6791BC2A}">
      <text>
        <t>[Threaded comment]
Your version of Excel allows you to read this threaded comment; however, any edits to it will get removed if the file is opened in a newer version of Excel. Learn more: https://go.microsoft.com/fwlink/?linkid=870924
Comment:
    µg/g in cell</t>
      </text>
    </comment>
    <comment ref="H46" authorId="12" shapeId="0" xr:uid="{BE8098B1-7E3A-4322-80DF-C192E56267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estimated amounts of each element in the cells, assuming the steady state biomass (R8), and the target element composition of cells (D43:56)</t>
      </text>
    </comment>
    <comment ref="I46" authorId="13" shapeId="0" xr:uid="{E808719C-625C-4D27-A377-9D2C4D78EA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Amount provided minus amounts taken up by the cells
</t>
      </text>
    </comment>
  </commentList>
</comments>
</file>

<file path=xl/sharedStrings.xml><?xml version="1.0" encoding="utf-8"?>
<sst xmlns="http://schemas.openxmlformats.org/spreadsheetml/2006/main" count="167" uniqueCount="142">
  <si>
    <t>Yield calculations and bioreactor configuration</t>
  </si>
  <si>
    <t>Growth parameters</t>
  </si>
  <si>
    <t>Balanced provision</t>
  </si>
  <si>
    <r>
      <t>Y</t>
    </r>
    <r>
      <rPr>
        <vertAlign val="subscript"/>
        <sz val="11"/>
        <color theme="1"/>
        <rFont val="Aptos Narrow"/>
        <family val="2"/>
        <scheme val="minor"/>
      </rPr>
      <t>glucC</t>
    </r>
  </si>
  <si>
    <r>
      <t>mol cell-C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 C consumed</t>
    </r>
  </si>
  <si>
    <t>cell-C produced</t>
  </si>
  <si>
    <t>mol cell-C</t>
  </si>
  <si>
    <r>
      <t>K</t>
    </r>
    <r>
      <rPr>
        <vertAlign val="subscript"/>
        <sz val="11"/>
        <color theme="1"/>
        <rFont val="Aptos Narrow"/>
        <family val="2"/>
        <scheme val="minor"/>
      </rPr>
      <t>feed</t>
    </r>
    <r>
      <rPr>
        <sz val="11"/>
        <color theme="1"/>
        <rFont val="Aptos Narrow"/>
        <family val="2"/>
        <scheme val="minor"/>
      </rPr>
      <t xml:space="preserve"> glucose</t>
    </r>
  </si>
  <si>
    <r>
      <t>L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acid</t>
    </r>
  </si>
  <si>
    <r>
      <t>calculated Y</t>
    </r>
    <r>
      <rPr>
        <vertAlign val="subscript"/>
        <sz val="11"/>
        <color theme="1"/>
        <rFont val="Aptos Narrow"/>
        <family val="2"/>
        <scheme val="minor"/>
      </rPr>
      <t>NO3</t>
    </r>
  </si>
  <si>
    <t>gC/gN</t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</si>
  <si>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from acid</t>
    </r>
  </si>
  <si>
    <r>
      <t>mol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</t>
    </r>
  </si>
  <si>
    <r>
      <t>mol cell-N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cell-C</t>
    </r>
  </si>
  <si>
    <t>Needed acid volume</t>
  </si>
  <si>
    <r>
      <t>L acid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glucose</t>
    </r>
  </si>
  <si>
    <t>C content in cell</t>
  </si>
  <si>
    <t>The mineral basal medium</t>
  </si>
  <si>
    <t>The reservoirs</t>
  </si>
  <si>
    <t>Acid reservoir</t>
  </si>
  <si>
    <t>Compound</t>
  </si>
  <si>
    <t>NaCl</t>
  </si>
  <si>
    <r>
      <t>HNO</t>
    </r>
    <r>
      <rPr>
        <vertAlign val="subscript"/>
        <sz val="11"/>
        <color theme="1"/>
        <rFont val="Aptos Narrow"/>
        <family val="2"/>
        <scheme val="minor"/>
      </rPr>
      <t>3</t>
    </r>
  </si>
  <si>
    <t>Glucose</t>
  </si>
  <si>
    <r>
      <t>MgSO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</si>
  <si>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</si>
  <si>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CaCl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*2H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</si>
  <si>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MgCl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</si>
  <si>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KH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</si>
  <si>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K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HPO</t>
    </r>
    <r>
      <rPr>
        <vertAlign val="subscript"/>
        <sz val="11"/>
        <color theme="1"/>
        <rFont val="Aptos Narrow"/>
        <family val="2"/>
        <scheme val="minor"/>
      </rPr>
      <t>4</t>
    </r>
  </si>
  <si>
    <t>vol water</t>
  </si>
  <si>
    <t>L</t>
  </si>
  <si>
    <r>
      <t>CaSO</t>
    </r>
    <r>
      <rPr>
        <vertAlign val="subscript"/>
        <sz val="11"/>
        <color theme="1"/>
        <rFont val="Aptos Narrow"/>
        <family val="2"/>
        <scheme val="minor"/>
      </rPr>
      <t>4</t>
    </r>
  </si>
  <si>
    <t>g</t>
  </si>
  <si>
    <t>EDTA titriplex II</t>
  </si>
  <si>
    <r>
      <t>Na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</si>
  <si>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ZnSO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</si>
  <si>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Final volume</t>
  </si>
  <si>
    <r>
      <t>FeSO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</si>
  <si>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</si>
  <si>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MnSO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</si>
  <si>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*5H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</si>
  <si>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</si>
  <si>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Co(NO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*6H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</si>
  <si>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</si>
  <si>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Na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MoO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*2H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</si>
  <si>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NiCl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*6H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</si>
  <si>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Element balance</t>
  </si>
  <si>
    <t>Target element composition of cells</t>
  </si>
  <si>
    <t>% of cell demand met</t>
  </si>
  <si>
    <t>Element</t>
  </si>
  <si>
    <t>ppm</t>
  </si>
  <si>
    <t>Basal medium</t>
  </si>
  <si>
    <t>Acid</t>
  </si>
  <si>
    <t>Na</t>
  </si>
  <si>
    <t>K</t>
  </si>
  <si>
    <t>S</t>
  </si>
  <si>
    <t>P</t>
  </si>
  <si>
    <t>Ca</t>
  </si>
  <si>
    <t>Mg</t>
  </si>
  <si>
    <t>Zn</t>
  </si>
  <si>
    <t>Ni</t>
  </si>
  <si>
    <t>Mo</t>
  </si>
  <si>
    <t>Mn</t>
  </si>
  <si>
    <t>Fe</t>
  </si>
  <si>
    <t>Cu</t>
  </si>
  <si>
    <t>Co</t>
  </si>
  <si>
    <t>B</t>
  </si>
  <si>
    <t>Directions to use the medium calculator</t>
  </si>
  <si>
    <t>Step 1</t>
  </si>
  <si>
    <r>
      <t>Set the growth parameter for growth on glucose (C4), the C/N ratio (C7) of the cell and the C-content (C10). State the fraction of 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assimilated in C5 (zero when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vertAlign val="superscript"/>
        <sz val="11"/>
        <color theme="1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 xml:space="preserve"> is provided)</t>
    </r>
  </si>
  <si>
    <t>Step 2</t>
  </si>
  <si>
    <t xml:space="preserve">Cell N24 shows the volume increase when mixing 100 mL water, 90 g glucose (assumed max amount of gluocse in 100 mL water) </t>
  </si>
  <si>
    <r>
      <t>and a balanced provision of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based on the C/N ratio in (C7). The volume increase must be determined for each new C/N ratio. </t>
    </r>
  </si>
  <si>
    <t>Step 3</t>
  </si>
  <si>
    <r>
      <t>Based on the concentration of glucose and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in the glucose reservoir, the k-value for the reservoir is calculated based on the amount of nitrate (N4).</t>
    </r>
  </si>
  <si>
    <r>
      <t>needed for that amount of glucose after substracting the nitrate coming from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</si>
  <si>
    <t>Step 5</t>
  </si>
  <si>
    <t>The mineral and trace element requirements during steady-state are calculated based on the expected biomass yield (R8) and the cell content (D43-57).</t>
  </si>
  <si>
    <t>Adjust the mineral and trace element composition in the acid (J18-37) so that the accumulated concentration is close to 0 for all compounds (L43-57), except for</t>
  </si>
  <si>
    <t xml:space="preserve">P and K, where 50 mM should remain to ensure the buffer capacity is maintained. </t>
  </si>
  <si>
    <t>Vol fraction water</t>
  </si>
  <si>
    <t xml:space="preserve">Vol fraction water: </t>
  </si>
  <si>
    <t>volume of biomass DW</t>
  </si>
  <si>
    <t>total volume</t>
  </si>
  <si>
    <t>Gluc-C input</t>
  </si>
  <si>
    <t>mol glucose C</t>
  </si>
  <si>
    <t>Steady state biomass</t>
  </si>
  <si>
    <t>calculated for a culture volume with 1 l acid input</t>
  </si>
  <si>
    <t>Biomass C</t>
  </si>
  <si>
    <t>g  cell dw</t>
  </si>
  <si>
    <t>Biomass dryweigh</t>
  </si>
  <si>
    <t>Biomass cell volume</t>
  </si>
  <si>
    <t xml:space="preserve">Volume of medium </t>
  </si>
  <si>
    <r>
      <rPr>
        <b/>
        <sz val="11"/>
        <color theme="1"/>
        <rFont val="Aptos Narrow"/>
        <family val="2"/>
      </rPr>
      <t xml:space="preserve">∆ </t>
    </r>
    <r>
      <rPr>
        <b/>
        <sz val="11"/>
        <color theme="1"/>
        <rFont val="Aptos Narrow"/>
        <family val="2"/>
        <scheme val="minor"/>
      </rPr>
      <t>g L</t>
    </r>
    <r>
      <rPr>
        <b/>
        <vertAlign val="superscript"/>
        <sz val="11"/>
        <color theme="1"/>
        <rFont val="Aptos Narrow"/>
        <family val="2"/>
        <scheme val="minor"/>
      </rPr>
      <t>-1</t>
    </r>
  </si>
  <si>
    <t>L volume og cell organic  matter</t>
  </si>
  <si>
    <t>L  (cell volume)</t>
  </si>
  <si>
    <t>L liquid volume outside cells</t>
  </si>
  <si>
    <r>
      <t>mol cell-C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respired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</si>
  <si>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respired</t>
    </r>
  </si>
  <si>
    <t>N assimilated</t>
  </si>
  <si>
    <t>Feed rate calculations for 1 L glucose solution</t>
  </si>
  <si>
    <t>C/N ratio in cells (w/W)</t>
  </si>
  <si>
    <t>N/C ratio (mol/mol)</t>
  </si>
  <si>
    <t>% of dryweight</t>
  </si>
  <si>
    <t xml:space="preserve">mol cell-C </t>
  </si>
  <si>
    <r>
      <t>mol 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</t>
    </r>
  </si>
  <si>
    <t>(value = 1 if  ammonium is provided with glucose)</t>
  </si>
  <si>
    <t>Feed reservoir</t>
  </si>
  <si>
    <t>Volume estimations</t>
  </si>
  <si>
    <t>Actual reservoir</t>
  </si>
  <si>
    <t xml:space="preserve">Volumetrics: </t>
  </si>
  <si>
    <t>Extracellular conc (mM)</t>
  </si>
  <si>
    <r>
      <t>Acc. conc (mmol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 xml:space="preserve">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</si>
  <si>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Steady state amounts per L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</t>
    </r>
  </si>
  <si>
    <r>
      <t>AW (g mol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</si>
  <si>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r>
      <t>Concentration in solutions (g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</si>
  <si>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r>
      <t>Provided (g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</si>
  <si>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r>
      <t>in cells (g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</si>
  <si>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t>MW (g/mol)</t>
  </si>
  <si>
    <r>
      <t>conc (g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</si>
  <si>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t>conc (M)</t>
  </si>
  <si>
    <r>
      <t>MW (g mol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</si>
  <si>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 solution</t>
    </r>
  </si>
  <si>
    <r>
      <t>Vol fraction water in the HNO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 xml:space="preserve">: 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</si>
  <si>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acid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</si>
  <si>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</si>
  <si>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L volume of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+ volume of organic material in cells</t>
    </r>
  </si>
  <si>
    <r>
      <t>g DW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</si>
  <si>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volume</t>
    </r>
  </si>
  <si>
    <r>
      <t>Biomass  DW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</si>
  <si>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provided with feed (NH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</si>
  <si>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-N provided with glucose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</si>
  <si>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assimilated</t>
    </r>
  </si>
  <si>
    <r>
      <t>mol NH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</si>
  <si>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mol NO</t>
    </r>
    <r>
      <rPr>
        <vertAlign val="subscript"/>
        <sz val="11"/>
        <color theme="1"/>
        <rFont val="Aptos Narrow"/>
        <family val="2"/>
        <scheme val="minor"/>
      </rPr>
      <t xml:space="preserve">3 </t>
    </r>
  </si>
  <si>
    <r>
      <t>mol N 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or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vertAlign val="superscript"/>
        <sz val="11"/>
        <color theme="1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>)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</si>
  <si>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provision?</t>
    </r>
  </si>
  <si>
    <t>Acid trace element solution</t>
  </si>
  <si>
    <r>
      <t>Acid trace element solution (L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</si>
  <si>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Basal TE solution (L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</si>
  <si>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t>Basal trace elements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</si>
</sst>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1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6" fontId="0" fillId="0" borderId="6" xfId="0" applyNumberFormat="1" applyBorder="1"/>
    <xf numFmtId="11" fontId="0" fillId="0" borderId="6" xfId="0" applyNumberFormat="1" applyBorder="1"/>
    <xf numFmtId="0" fontId="0" fillId="0" borderId="1" xfId="0" applyBorder="1"/>
    <xf numFmtId="11" fontId="0" fillId="0" borderId="8" xfId="0" applyNumberFormat="1" applyBorder="1"/>
    <xf numFmtId="166" fontId="0" fillId="0" borderId="8" xfId="0" applyNumberFormat="1" applyBorder="1"/>
    <xf numFmtId="0" fontId="0" fillId="0" borderId="2" xfId="0" applyBorder="1"/>
    <xf numFmtId="2" fontId="0" fillId="0" borderId="0" xfId="0" applyNumberFormat="1"/>
    <xf numFmtId="0" fontId="4" fillId="0" borderId="3" xfId="0" applyFont="1" applyBorder="1"/>
    <xf numFmtId="0" fontId="0" fillId="0" borderId="0" xfId="0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3" fillId="0" borderId="0" xfId="0" applyFont="1"/>
    <xf numFmtId="0" fontId="14" fillId="0" borderId="0" xfId="0" applyFont="1"/>
    <xf numFmtId="9" fontId="4" fillId="0" borderId="1" xfId="0" applyNumberFormat="1" applyFont="1" applyBorder="1"/>
    <xf numFmtId="9" fontId="0" fillId="0" borderId="0" xfId="0" applyNumberFormat="1"/>
    <xf numFmtId="0" fontId="8" fillId="0" borderId="0" xfId="0" applyFont="1"/>
    <xf numFmtId="165" fontId="1" fillId="2" borderId="10" xfId="1" applyNumberFormat="1" applyBorder="1"/>
    <xf numFmtId="0" fontId="2" fillId="0" borderId="1" xfId="0" applyFont="1" applyBorder="1" applyAlignment="1">
      <alignment horizontal="center"/>
    </xf>
    <xf numFmtId="0" fontId="0" fillId="2" borderId="9" xfId="1" applyFont="1" applyBorder="1"/>
    <xf numFmtId="0" fontId="0" fillId="2" borderId="11" xfId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/>
    <xf numFmtId="1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14" fillId="0" borderId="12" xfId="0" applyFont="1" applyBorder="1"/>
    <xf numFmtId="0" fontId="2" fillId="0" borderId="2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8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9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2" fillId="0" borderId="19" xfId="0" applyFont="1" applyBorder="1"/>
    <xf numFmtId="0" fontId="2" fillId="0" borderId="12" xfId="0" applyFont="1" applyBorder="1"/>
    <xf numFmtId="2" fontId="0" fillId="0" borderId="12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0" fontId="16" fillId="0" borderId="0" xfId="0" applyFont="1" applyAlignment="1">
      <alignment horizontal="center"/>
    </xf>
    <xf numFmtId="164" fontId="0" fillId="0" borderId="17" xfId="0" applyNumberFormat="1" applyBorder="1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19" xfId="0" applyFont="1" applyBorder="1"/>
    <xf numFmtId="164" fontId="7" fillId="0" borderId="0" xfId="0" applyNumberFormat="1" applyFont="1"/>
    <xf numFmtId="0" fontId="7" fillId="0" borderId="12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65" fontId="0" fillId="0" borderId="0" xfId="0" applyNumberFormat="1"/>
    <xf numFmtId="2" fontId="10" fillId="0" borderId="0" xfId="0" applyNumberFormat="1" applyFont="1"/>
    <xf numFmtId="1" fontId="4" fillId="0" borderId="0" xfId="0" applyNumberFormat="1" applyFont="1"/>
    <xf numFmtId="0" fontId="4" fillId="0" borderId="0" xfId="0" applyFont="1"/>
    <xf numFmtId="165" fontId="0" fillId="0" borderId="0" xfId="0" applyNumberFormat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9" xfId="0" applyBorder="1"/>
    <xf numFmtId="2" fontId="0" fillId="0" borderId="1" xfId="0" applyNumberFormat="1" applyBorder="1"/>
    <xf numFmtId="2" fontId="16" fillId="0" borderId="1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10" fillId="0" borderId="0" xfId="0" applyFon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Accumulated</a:t>
            </a:r>
            <a:r>
              <a:rPr lang="en-GB" baseline="0"/>
              <a:t> concentration at steady-state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Calculator!$B$47:$B$60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Calculator!$K$47:$K$60</c:f>
              <c:numCache>
                <c:formatCode>0.00</c:formatCode>
                <c:ptCount val="14"/>
                <c:pt idx="0">
                  <c:v>11.382088260421758</c:v>
                </c:pt>
                <c:pt idx="1">
                  <c:v>74.12145819811407</c:v>
                </c:pt>
                <c:pt idx="2">
                  <c:v>6.6645160474466145</c:v>
                </c:pt>
                <c:pt idx="3">
                  <c:v>76.158988304980284</c:v>
                </c:pt>
                <c:pt idx="4">
                  <c:v>1.0918239764108133</c:v>
                </c:pt>
                <c:pt idx="5">
                  <c:v>2.3318968348686222</c:v>
                </c:pt>
                <c:pt idx="6">
                  <c:v>0.20721500389186714</c:v>
                </c:pt>
                <c:pt idx="7" formatCode="0.0000">
                  <c:v>2.3086808789996702E-4</c:v>
                </c:pt>
                <c:pt idx="8">
                  <c:v>7.0215157239612112E-3</c:v>
                </c:pt>
                <c:pt idx="9">
                  <c:v>9.8385890874675655E-2</c:v>
                </c:pt>
                <c:pt idx="10">
                  <c:v>0.14895463046987742</c:v>
                </c:pt>
                <c:pt idx="11">
                  <c:v>1.5845482638110382E-2</c:v>
                </c:pt>
                <c:pt idx="12">
                  <c:v>4.5116145588511578E-3</c:v>
                </c:pt>
                <c:pt idx="13">
                  <c:v>4.2645969246372884E-3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3-4C0A-A640-BD984EA0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target at steady-state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Calculator!$B$47:$B$60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Calculator!$J$47:$J$60</c:f>
              <c:numCache>
                <c:formatCode>0%</c:formatCode>
                <c:ptCount val="14"/>
                <c:pt idx="0">
                  <c:v>1.6988564006710378</c:v>
                </c:pt>
                <c:pt idx="1">
                  <c:v>4.4080012885073074</c:v>
                </c:pt>
                <c:pt idx="2">
                  <c:v>1.2358613154701312</c:v>
                </c:pt>
                <c:pt idx="3">
                  <c:v>2.6615994317111689</c:v>
                </c:pt>
                <c:pt idx="4">
                  <c:v>1.2254018724606959</c:v>
                </c:pt>
                <c:pt idx="5">
                  <c:v>1.2308863008078568</c:v>
                </c:pt>
                <c:pt idx="6">
                  <c:v>1.6195732361239907</c:v>
                </c:pt>
                <c:pt idx="7">
                  <c:v>1.1573459013727849</c:v>
                </c:pt>
                <c:pt idx="8">
                  <c:v>1.4889712089924694</c:v>
                </c:pt>
                <c:pt idx="9">
                  <c:v>1.8259149062318381</c:v>
                </c:pt>
                <c:pt idx="10">
                  <c:v>1.4391186920366374</c:v>
                </c:pt>
                <c:pt idx="11">
                  <c:v>1.4872335711462079</c:v>
                </c:pt>
                <c:pt idx="12">
                  <c:v>1.515181393905368</c:v>
                </c:pt>
                <c:pt idx="13">
                  <c:v>1.1136773931533752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15D-A203-58640015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60</xdr:row>
      <xdr:rowOff>90487</xdr:rowOff>
    </xdr:from>
    <xdr:to>
      <xdr:col>11</xdr:col>
      <xdr:colOff>266700</xdr:colOff>
      <xdr:row>74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AF41D-EF6F-4398-BEBD-D02AB2260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60</xdr:row>
      <xdr:rowOff>95250</xdr:rowOff>
    </xdr:from>
    <xdr:to>
      <xdr:col>7</xdr:col>
      <xdr:colOff>114300</xdr:colOff>
      <xdr:row>74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76F27-7B04-450E-B8DB-0BF492DD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rs Bakken" id="{BD8AF021-A065-4580-961F-4BCAB29A85C0}" userId="S::lars.bakken@nmbu.no::a345ee4d-4bb1-48f5-aa05-50785dba8c71" providerId="AD"/>
  <person displayName="Marte Mølsæter Maråk" id="{8198B646-B342-41DF-8119-2BC30A1406C4}" userId="S::marte.molsater.marak@nmbu.no::eae6b50e-7523-4c8f-a6d2-0596bdb3ae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4-10-10T05:37:33.86" personId="{8198B646-B342-41DF-8119-2BC30A1406C4}" id="{3E0CD729-1521-4EC0-AE86-BC6A96AD6F6F}">
    <text>Based on mol glucose C in reservoir and yield</text>
  </threadedComment>
  <threadedComment ref="Q9" dT="2024-11-04T21:10:38.36" personId="{BD8AF021-A065-4580-961F-4BCAB29A85C0}" id="{1831F2F1-DD66-4F57-BB89-C021C8219B5B}">
    <text xml:space="preserve">This is the total  H2O volume, which is less than the volumes of acid + glucose-solutions injected (see fractions of H2O in each, cell N25 and n28)
, </text>
  </threadedComment>
  <threadedComment ref="H10" dT="2023-06-20T13:36:03.84" personId="{8198B646-B342-41DF-8119-2BC30A1406C4}" id="{C6640E7F-337E-4A71-8A11-9BFAFFA19F0C}">
    <text>Based on needed NO3 and subtracting NO3 coming from NH4NO3</text>
  </threadedComment>
  <threadedComment ref="N22" dT="2024-10-10T05:37:10.12" personId="{8198B646-B342-41DF-8119-2BC30A1406C4}" id="{012D76F7-D60D-4657-8764-0F85692A839B}">
    <text>The increase in volume after dissolving must be measured and put in here for the correct calculation of the concentration in the reservoirs, which is used to calculate the k-value for the feed.</text>
  </threadedComment>
  <threadedComment ref="B26" dT="2024-10-10T05:47:00.11" personId="{8198B646-B342-41DF-8119-2BC30A1406C4}" id="{27783780-2A37-4181-B488-30FD39D6456E}">
    <text xml:space="preserve">1 mL L-1 TE-1 </text>
  </threadedComment>
  <threadedComment ref="M29" dT="2024-11-04T11:23:38.01" personId="{BD8AF021-A065-4580-961F-4BCAB29A85C0}" id="{A83F4F11-35EA-4005-9CFE-D014E907C937}">
    <text>Calculated based on regression (see sheet: ”HNO3 and gluc mix in water”</text>
  </threadedComment>
  <threadedComment ref="H32" dT="2024-10-10T05:47:30.48" personId="{8198B646-B342-41DF-8119-2BC30A1406C4}" id="{85169965-4C52-4D3D-BFAE-F6AC95869F74}">
    <text>0.1 L L-1 TE-3</text>
  </threadedComment>
  <threadedComment ref="G45" dT="2024-10-10T05:33:38.62" personId="{8198B646-B342-41DF-8119-2BC30A1406C4}" id="{BB8A974F-EF3E-4733-B902-E662CBA77818}">
    <text xml:space="preserve">Steady-state assumes basal medium is replaced with the acid and feed injected. </text>
  </threadedComment>
  <threadedComment ref="G45" dT="2024-11-04T21:49:47.91" personId="{BD8AF021-A065-4580-961F-4BCAB29A85C0}" id="{71964431-3DD1-4998-83A4-B6923476C4D9}" parentId="{BB8A974F-EF3E-4733-B902-E662CBA77818}">
    <text>nB: the amounts in these colums are g per L H2O, not per L culture volume</text>
  </threadedComment>
  <threadedComment ref="J45" dT="2024-10-10T05:43:01.70" personId="{8198B646-B342-41DF-8119-2BC30A1406C4}" id="{A5B8D033-CFA8-4A37-BCB9-10D23A493E93}">
    <text>Fraction of the cellular needs that is covered by the provided amount of each element at steady-state. Must be above 100% to avoid limitations.</text>
  </threadedComment>
  <threadedComment ref="K45" dT="2024-10-10T05:44:27.23" personId="{8198B646-B342-41DF-8119-2BC30A1406C4}" id="{0386B372-1E97-466F-9AA4-BDEC14D1C931}">
    <text>Remaining concentration of each element in the liquid after cellular needs are met. Assumes critical uptake of each element.</text>
  </threadedComment>
  <threadedComment ref="K45" dT="2024-11-04T21:45:51.88" personId="{BD8AF021-A065-4580-961F-4BCAB29A85C0}" id="{A95B207E-77B5-4961-A6B9-9D670B49EE05}" parentId="{0386B372-1E97-466F-9AA4-BDEC14D1C931}">
    <text>NB: this is the amounts per l H2O, not per L culture volume</text>
  </threadedComment>
  <threadedComment ref="D46" dT="2023-06-20T13:40:59.69" personId="{8198B646-B342-41DF-8119-2BC30A1406C4}" id="{12F387ED-029B-4595-A18D-76FF6791BC2A}">
    <text>µg/g in cell</text>
  </threadedComment>
  <threadedComment ref="H46" dT="2024-10-09T07:51:27.72" personId="{BD8AF021-A065-4580-961F-4BCAB29A85C0}" id="{BE8098B1-7E3A-4322-80DF-C192E56267C3}">
    <text>This is the estimated amounts of each element in the cells, assuming the steady state biomass (R8), and the target element composition of cells (D43:56)</text>
  </threadedComment>
  <threadedComment ref="I46" dT="2024-11-04T21:26:47.29" personId="{BD8AF021-A065-4580-961F-4BCAB29A85C0}" id="{E808719C-625C-4D27-A377-9D2C4D78EA76}">
    <text xml:space="preserve">Amount provided minus amounts taken up by the cells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A89B-1EEA-412E-8F50-E0CAC941E643}">
  <dimension ref="A1:V62"/>
  <sheetViews>
    <sheetView tabSelected="1" topLeftCell="H1" zoomScale="89" zoomScaleNormal="89" workbookViewId="0">
      <selection activeCell="M8" sqref="M8"/>
    </sheetView>
  </sheetViews>
  <sheetFormatPr defaultRowHeight="15" x14ac:dyDescent="0.25"/>
  <cols>
    <col min="2" max="2" width="19.85546875" customWidth="1"/>
    <col min="3" max="3" width="11.42578125" bestFit="1" customWidth="1"/>
    <col min="4" max="4" width="10.7109375" bestFit="1" customWidth="1"/>
    <col min="5" max="5" width="13.28515625" customWidth="1"/>
    <col min="6" max="6" width="21.85546875" customWidth="1"/>
    <col min="7" max="7" width="15.5703125" customWidth="1"/>
    <col min="8" max="8" width="32.140625" customWidth="1"/>
    <col min="9" max="9" width="14.28515625" customWidth="1"/>
    <col min="10" max="10" width="14.85546875" customWidth="1"/>
    <col min="11" max="11" width="15.85546875" customWidth="1"/>
    <col min="12" max="12" width="13.7109375" customWidth="1"/>
    <col min="13" max="13" width="13.140625" customWidth="1"/>
    <col min="14" max="14" width="12" customWidth="1"/>
    <col min="15" max="15" width="11.28515625" customWidth="1"/>
    <col min="16" max="16" width="11.5703125" customWidth="1"/>
    <col min="17" max="17" width="20.28515625" customWidth="1"/>
    <col min="18" max="18" width="11.42578125" customWidth="1"/>
    <col min="19" max="19" width="16.5703125" customWidth="1"/>
    <col min="22" max="22" width="13.5703125" customWidth="1"/>
  </cols>
  <sheetData>
    <row r="1" spans="1:22" ht="18.75" x14ac:dyDescent="0.3">
      <c r="A1" s="37" t="s">
        <v>0</v>
      </c>
    </row>
    <row r="2" spans="1:22" ht="15.75" thickBot="1" x14ac:dyDescent="0.3"/>
    <row r="3" spans="1:22" ht="15.75" thickBot="1" x14ac:dyDescent="0.3">
      <c r="B3" s="3" t="s">
        <v>1</v>
      </c>
      <c r="H3" s="120" t="s">
        <v>101</v>
      </c>
      <c r="I3" s="121"/>
      <c r="J3" s="121"/>
      <c r="K3" s="122"/>
      <c r="M3" s="123" t="s">
        <v>2</v>
      </c>
      <c r="N3" s="123"/>
      <c r="O3" s="123"/>
    </row>
    <row r="4" spans="1:22" ht="18" x14ac:dyDescent="0.35">
      <c r="B4" s="18" t="s">
        <v>3</v>
      </c>
      <c r="C4" s="20">
        <v>0.37</v>
      </c>
      <c r="D4" s="4" t="s">
        <v>4</v>
      </c>
      <c r="E4" s="4"/>
      <c r="F4" s="5"/>
      <c r="H4" s="51" t="s">
        <v>5</v>
      </c>
      <c r="I4" s="76">
        <f>C4*(P26*6)</f>
        <v>6.6809568253698197</v>
      </c>
      <c r="J4" s="124" t="s">
        <v>105</v>
      </c>
      <c r="K4" s="125"/>
      <c r="M4" s="33" t="s">
        <v>7</v>
      </c>
      <c r="N4" s="31">
        <f>1/I11</f>
        <v>0.65198288298389206</v>
      </c>
      <c r="O4" s="34" t="s">
        <v>8</v>
      </c>
      <c r="Q4" s="126" t="s">
        <v>87</v>
      </c>
      <c r="R4" s="127"/>
      <c r="S4" s="127"/>
      <c r="T4" s="47"/>
      <c r="U4" s="47"/>
      <c r="V4" s="48"/>
    </row>
    <row r="5" spans="1:22" ht="18" x14ac:dyDescent="0.35">
      <c r="B5" s="6" t="s">
        <v>137</v>
      </c>
      <c r="C5" s="86">
        <v>1</v>
      </c>
      <c r="D5" s="113" t="s">
        <v>107</v>
      </c>
      <c r="E5" s="113"/>
      <c r="F5" s="114"/>
      <c r="H5" s="49" t="s">
        <v>99</v>
      </c>
      <c r="I5" s="1">
        <f>I4/C6</f>
        <v>9.1005465945578088</v>
      </c>
      <c r="J5" s="128" t="s">
        <v>106</v>
      </c>
      <c r="K5" s="129"/>
      <c r="Q5" s="49" t="s">
        <v>88</v>
      </c>
      <c r="R5" s="84"/>
      <c r="V5" s="50"/>
    </row>
    <row r="6" spans="1:22" ht="18" x14ac:dyDescent="0.35">
      <c r="B6" s="6" t="s">
        <v>9</v>
      </c>
      <c r="C6" s="84">
        <f>C4/((1-C4)*(4/5))</f>
        <v>0.73412698412698407</v>
      </c>
      <c r="D6" t="s">
        <v>98</v>
      </c>
      <c r="F6" s="7"/>
      <c r="H6" s="79" t="s">
        <v>100</v>
      </c>
      <c r="I6" s="80">
        <f>I4*C8</f>
        <v>1.4316336054363898</v>
      </c>
      <c r="J6" s="77" t="s">
        <v>136</v>
      </c>
      <c r="K6" s="81"/>
      <c r="Q6" s="49" t="s">
        <v>85</v>
      </c>
      <c r="R6" s="1">
        <f>N4*P26*6</f>
        <v>11.772620248906829</v>
      </c>
      <c r="S6" t="s">
        <v>86</v>
      </c>
      <c r="V6" s="50"/>
    </row>
    <row r="7" spans="1:22" ht="18" x14ac:dyDescent="0.35">
      <c r="B7" s="6" t="s">
        <v>102</v>
      </c>
      <c r="C7" s="87">
        <v>4</v>
      </c>
      <c r="D7" s="113" t="s">
        <v>10</v>
      </c>
      <c r="E7" s="113"/>
      <c r="F7" s="114"/>
      <c r="H7" s="49" t="s">
        <v>132</v>
      </c>
      <c r="I7" s="1">
        <f>P27</f>
        <v>1.4316336054363898</v>
      </c>
      <c r="J7" t="s">
        <v>134</v>
      </c>
      <c r="K7" s="50"/>
      <c r="Q7" s="49" t="s">
        <v>89</v>
      </c>
      <c r="R7" s="84">
        <f>R6*C4</f>
        <v>4.3558694920955272</v>
      </c>
      <c r="S7" t="s">
        <v>6</v>
      </c>
      <c r="V7" s="50"/>
    </row>
    <row r="8" spans="1:22" ht="18" x14ac:dyDescent="0.35">
      <c r="B8" s="6" t="s">
        <v>103</v>
      </c>
      <c r="C8" s="1">
        <f>(1/14)/(C7/12)</f>
        <v>0.21428571428571427</v>
      </c>
      <c r="D8" s="113" t="s">
        <v>13</v>
      </c>
      <c r="E8" s="113"/>
      <c r="F8" s="114"/>
      <c r="H8" s="49" t="s">
        <v>131</v>
      </c>
      <c r="I8" s="1">
        <f>I7</f>
        <v>1.4316336054363898</v>
      </c>
      <c r="J8" t="s">
        <v>106</v>
      </c>
      <c r="K8" s="50"/>
      <c r="Q8" s="49" t="s">
        <v>91</v>
      </c>
      <c r="R8" s="85">
        <f>(R7*12/C9)</f>
        <v>106.67435490846189</v>
      </c>
      <c r="S8" t="s">
        <v>90</v>
      </c>
      <c r="V8" s="50"/>
    </row>
    <row r="9" spans="1:22" ht="18" x14ac:dyDescent="0.35">
      <c r="B9" s="8" t="s">
        <v>16</v>
      </c>
      <c r="C9" s="28">
        <v>0.49</v>
      </c>
      <c r="D9" s="15" t="s">
        <v>104</v>
      </c>
      <c r="E9" s="15"/>
      <c r="F9" s="9"/>
      <c r="H9" s="49" t="s">
        <v>133</v>
      </c>
      <c r="I9" s="1">
        <f>I6-I7</f>
        <v>0</v>
      </c>
      <c r="J9" t="s">
        <v>135</v>
      </c>
      <c r="K9" s="50"/>
      <c r="Q9" s="49" t="s">
        <v>129</v>
      </c>
      <c r="R9">
        <f>N30+N4*N23</f>
        <v>1.2387607728818626</v>
      </c>
      <c r="S9" t="s">
        <v>126</v>
      </c>
      <c r="V9" s="50"/>
    </row>
    <row r="10" spans="1:22" ht="18.75" thickBot="1" x14ac:dyDescent="0.4">
      <c r="H10" s="49" t="s">
        <v>11</v>
      </c>
      <c r="I10" s="1">
        <f>I5-I8-I9</f>
        <v>7.6689129891214192</v>
      </c>
      <c r="J10" s="77" t="s">
        <v>12</v>
      </c>
      <c r="K10" s="78"/>
      <c r="Q10" s="42" t="s">
        <v>130</v>
      </c>
      <c r="R10" s="44">
        <f>R8/R9</f>
        <v>86.11376566299711</v>
      </c>
      <c r="S10" s="44" t="s">
        <v>128</v>
      </c>
      <c r="T10" s="44"/>
      <c r="U10" s="44"/>
      <c r="V10" s="45"/>
    </row>
    <row r="11" spans="1:22" ht="17.25" thickBot="1" x14ac:dyDescent="0.3">
      <c r="B11" s="1"/>
      <c r="H11" s="42" t="s">
        <v>14</v>
      </c>
      <c r="I11" s="73">
        <f>I10/K19</f>
        <v>1.5337825978242838</v>
      </c>
      <c r="J11" s="82" t="s">
        <v>15</v>
      </c>
      <c r="K11" s="83"/>
      <c r="Q11" s="70" t="s">
        <v>111</v>
      </c>
      <c r="V11" s="50"/>
    </row>
    <row r="12" spans="1:22" x14ac:dyDescent="0.25">
      <c r="Q12" s="49" t="s">
        <v>83</v>
      </c>
      <c r="R12">
        <f>R8*0.001/1.57</f>
        <v>6.7945448986281465E-2</v>
      </c>
      <c r="S12" t="s">
        <v>95</v>
      </c>
      <c r="V12" s="50"/>
    </row>
    <row r="13" spans="1:22" s="27" customFormat="1" ht="18" x14ac:dyDescent="0.35">
      <c r="Q13" s="49" t="s">
        <v>84</v>
      </c>
      <c r="R13">
        <f>R9+R12</f>
        <v>1.306706221868144</v>
      </c>
      <c r="S13" t="s">
        <v>127</v>
      </c>
      <c r="V13" s="53"/>
    </row>
    <row r="14" spans="1:22" x14ac:dyDescent="0.25">
      <c r="A14" s="3"/>
      <c r="B14" s="3"/>
      <c r="H14" s="3"/>
      <c r="Q14" s="49" t="s">
        <v>92</v>
      </c>
      <c r="R14">
        <f>R8*0.001/0.2</f>
        <v>0.53337177454230944</v>
      </c>
      <c r="S14" t="s">
        <v>96</v>
      </c>
      <c r="V14" s="50"/>
    </row>
    <row r="15" spans="1:22" ht="15.75" thickBot="1" x14ac:dyDescent="0.3">
      <c r="Q15" s="42" t="s">
        <v>93</v>
      </c>
      <c r="R15" s="44">
        <f>R13-R14</f>
        <v>0.77333444732583456</v>
      </c>
      <c r="S15" s="44" t="s">
        <v>97</v>
      </c>
      <c r="T15" s="44"/>
      <c r="U15" s="44"/>
      <c r="V15" s="45"/>
    </row>
    <row r="16" spans="1:22" ht="18.75" x14ac:dyDescent="0.3">
      <c r="A16" s="37" t="s">
        <v>17</v>
      </c>
      <c r="B16" s="26"/>
      <c r="C16" s="27"/>
      <c r="D16" s="27"/>
      <c r="E16" s="27"/>
      <c r="F16" s="27"/>
      <c r="G16" s="27"/>
      <c r="H16" s="37" t="s">
        <v>18</v>
      </c>
    </row>
    <row r="17" spans="2:18" ht="15.75" thickBot="1" x14ac:dyDescent="0.3">
      <c r="H17" s="115" t="s">
        <v>19</v>
      </c>
      <c r="I17" s="115"/>
      <c r="J17" s="115"/>
      <c r="K17" s="115"/>
      <c r="M17" s="116" t="s">
        <v>108</v>
      </c>
      <c r="N17" s="116"/>
      <c r="O17" s="116"/>
      <c r="P17" s="116"/>
    </row>
    <row r="18" spans="2:18" ht="16.5" x14ac:dyDescent="0.25">
      <c r="B18" s="10" t="s">
        <v>20</v>
      </c>
      <c r="C18" s="11" t="s">
        <v>122</v>
      </c>
      <c r="D18" s="11" t="s">
        <v>120</v>
      </c>
      <c r="E18" s="12" t="s">
        <v>121</v>
      </c>
      <c r="G18" s="3"/>
      <c r="H18" s="10" t="s">
        <v>20</v>
      </c>
      <c r="I18" s="11" t="s">
        <v>119</v>
      </c>
      <c r="J18" s="11" t="s">
        <v>120</v>
      </c>
      <c r="K18" s="12" t="s">
        <v>121</v>
      </c>
      <c r="M18" s="46" t="s">
        <v>109</v>
      </c>
      <c r="N18" s="47"/>
      <c r="O18" s="47"/>
      <c r="P18" s="48"/>
    </row>
    <row r="19" spans="2:18" ht="18" x14ac:dyDescent="0.35">
      <c r="B19" s="6" t="s">
        <v>21</v>
      </c>
      <c r="C19">
        <v>58.4</v>
      </c>
      <c r="D19">
        <v>0</v>
      </c>
      <c r="E19" s="13">
        <f>D19/C19</f>
        <v>0</v>
      </c>
      <c r="H19" s="6" t="s">
        <v>22</v>
      </c>
      <c r="I19" s="21">
        <f>1+14+3*16</f>
        <v>63</v>
      </c>
      <c r="J19" s="75">
        <v>315</v>
      </c>
      <c r="K19" s="41">
        <f>J19/I19</f>
        <v>5</v>
      </c>
      <c r="M19" s="49" t="s">
        <v>30</v>
      </c>
      <c r="N19" s="75">
        <v>0.1</v>
      </c>
      <c r="O19" t="s">
        <v>31</v>
      </c>
      <c r="P19" s="50"/>
      <c r="R19" s="2"/>
    </row>
    <row r="20" spans="2:18" ht="18" x14ac:dyDescent="0.35">
      <c r="B20" s="6" t="s">
        <v>24</v>
      </c>
      <c r="C20">
        <v>246.36</v>
      </c>
      <c r="D20">
        <v>0.5</v>
      </c>
      <c r="E20" s="13">
        <f t="shared" ref="E20:E23" si="0">D20/C20</f>
        <v>2.0295502516642309E-3</v>
      </c>
      <c r="H20" s="6" t="s">
        <v>24</v>
      </c>
      <c r="I20" s="21">
        <v>246.36</v>
      </c>
      <c r="J20" s="75">
        <v>2.5</v>
      </c>
      <c r="K20" s="38">
        <f>J20/I20</f>
        <v>1.0147751258321156E-2</v>
      </c>
      <c r="M20" s="49" t="s">
        <v>23</v>
      </c>
      <c r="N20" s="75">
        <f>(90/0.1)*N19</f>
        <v>90</v>
      </c>
      <c r="O20" t="s">
        <v>33</v>
      </c>
      <c r="P20" s="50"/>
      <c r="R20" s="2"/>
    </row>
    <row r="21" spans="2:18" ht="18" x14ac:dyDescent="0.35">
      <c r="B21" s="6" t="s">
        <v>26</v>
      </c>
      <c r="C21">
        <v>147</v>
      </c>
      <c r="D21">
        <v>0.1</v>
      </c>
      <c r="E21" s="13">
        <f t="shared" si="0"/>
        <v>6.8027210884353748E-4</v>
      </c>
      <c r="H21" s="6" t="s">
        <v>27</v>
      </c>
      <c r="I21" s="21">
        <v>95.2</v>
      </c>
      <c r="J21" s="75">
        <v>0.5</v>
      </c>
      <c r="K21" s="38">
        <f t="shared" ref="K21:K27" si="1">J21/I21</f>
        <v>5.252100840336134E-3</v>
      </c>
      <c r="M21" s="49" t="s">
        <v>25</v>
      </c>
      <c r="N21" s="61">
        <f>IF(C5=1,(N20/$N$26)*6*C4*C8*$N$27,0)</f>
        <v>19.022313280870865</v>
      </c>
      <c r="O21" t="s">
        <v>33</v>
      </c>
      <c r="P21" s="50"/>
    </row>
    <row r="22" spans="2:18" ht="18" x14ac:dyDescent="0.35">
      <c r="B22" s="6" t="s">
        <v>28</v>
      </c>
      <c r="C22">
        <v>136</v>
      </c>
      <c r="D22">
        <v>0.99</v>
      </c>
      <c r="E22" s="13">
        <f t="shared" si="0"/>
        <v>7.2794117647058823E-3</v>
      </c>
      <c r="H22" s="6" t="s">
        <v>26</v>
      </c>
      <c r="I22" s="21">
        <v>147</v>
      </c>
      <c r="J22" s="75">
        <v>0</v>
      </c>
      <c r="K22" s="38">
        <f t="shared" si="1"/>
        <v>0</v>
      </c>
      <c r="M22" s="49" t="s">
        <v>37</v>
      </c>
      <c r="N22" s="75">
        <v>0.16600000000000001</v>
      </c>
      <c r="O22" t="s">
        <v>31</v>
      </c>
      <c r="P22" s="50"/>
    </row>
    <row r="23" spans="2:18" ht="18.75" thickBot="1" x14ac:dyDescent="0.4">
      <c r="B23" s="8" t="s">
        <v>29</v>
      </c>
      <c r="C23" s="15">
        <v>174</v>
      </c>
      <c r="D23" s="15">
        <v>7.45</v>
      </c>
      <c r="E23" s="17">
        <f t="shared" si="0"/>
        <v>4.2816091954022986E-2</v>
      </c>
      <c r="H23" s="6" t="s">
        <v>21</v>
      </c>
      <c r="I23" s="21">
        <v>58.4</v>
      </c>
      <c r="J23" s="75">
        <v>0</v>
      </c>
      <c r="K23" s="38">
        <f t="shared" si="1"/>
        <v>0</v>
      </c>
      <c r="M23" s="42" t="s">
        <v>81</v>
      </c>
      <c r="N23" s="43">
        <f>N19/N22</f>
        <v>0.60240963855421692</v>
      </c>
      <c r="O23" s="44" t="s">
        <v>123</v>
      </c>
      <c r="P23" s="45"/>
      <c r="R23" s="2"/>
    </row>
    <row r="24" spans="2:18" ht="18.75" thickBot="1" x14ac:dyDescent="0.4">
      <c r="B24" s="90" t="s">
        <v>140</v>
      </c>
      <c r="C24" s="111">
        <f>1/1000</f>
        <v>1E-3</v>
      </c>
      <c r="D24" s="111"/>
      <c r="E24" s="112"/>
      <c r="H24" s="6" t="s">
        <v>32</v>
      </c>
      <c r="I24" s="21">
        <v>136</v>
      </c>
      <c r="J24" s="75">
        <v>1</v>
      </c>
      <c r="K24" s="38">
        <f t="shared" si="1"/>
        <v>7.3529411764705881E-3</v>
      </c>
      <c r="M24" s="117" t="s">
        <v>110</v>
      </c>
      <c r="N24" s="118"/>
      <c r="O24" s="118"/>
      <c r="P24" s="119"/>
    </row>
    <row r="25" spans="2:18" ht="18" x14ac:dyDescent="0.35">
      <c r="H25" s="6" t="s">
        <v>35</v>
      </c>
      <c r="I25" s="21">
        <v>142</v>
      </c>
      <c r="J25" s="75">
        <v>1.8</v>
      </c>
      <c r="K25" s="38">
        <f>J25/I25</f>
        <v>1.2676056338028169E-2</v>
      </c>
      <c r="M25" s="70" t="s">
        <v>20</v>
      </c>
      <c r="N25" s="3" t="s">
        <v>119</v>
      </c>
      <c r="O25" s="3" t="s">
        <v>120</v>
      </c>
      <c r="P25" s="71" t="s">
        <v>121</v>
      </c>
    </row>
    <row r="26" spans="2:18" ht="18" x14ac:dyDescent="0.35">
      <c r="B26" s="98" t="s">
        <v>141</v>
      </c>
      <c r="C26" s="99"/>
      <c r="D26" s="99"/>
      <c r="E26" s="100"/>
      <c r="H26" s="6" t="s">
        <v>28</v>
      </c>
      <c r="I26" s="21">
        <v>136</v>
      </c>
      <c r="J26" s="75">
        <v>2.4</v>
      </c>
      <c r="K26" s="38">
        <f t="shared" si="1"/>
        <v>1.7647058823529412E-2</v>
      </c>
      <c r="M26" s="49" t="s">
        <v>23</v>
      </c>
      <c r="N26">
        <v>180.15600000000001</v>
      </c>
      <c r="O26" s="1">
        <f>(N20)/N22</f>
        <v>542.16867469879514</v>
      </c>
      <c r="P26" s="72">
        <f>O26/N26</f>
        <v>3.0094400114278468</v>
      </c>
    </row>
    <row r="27" spans="2:18" ht="18.75" thickBot="1" x14ac:dyDescent="0.4">
      <c r="B27" s="6" t="s">
        <v>34</v>
      </c>
      <c r="C27">
        <v>338.22</v>
      </c>
      <c r="D27" s="19">
        <v>1.53</v>
      </c>
      <c r="E27" s="14">
        <f>D27/C27</f>
        <v>4.5236828100053217E-3</v>
      </c>
      <c r="H27" s="6" t="s">
        <v>39</v>
      </c>
      <c r="I27" s="21">
        <v>174.27</v>
      </c>
      <c r="J27" s="75">
        <v>2</v>
      </c>
      <c r="K27" s="38">
        <f t="shared" si="1"/>
        <v>1.1476444597463706E-2</v>
      </c>
      <c r="M27" s="42" t="s">
        <v>25</v>
      </c>
      <c r="N27" s="44">
        <v>80.043000000000006</v>
      </c>
      <c r="O27" s="73">
        <f>N21/N22</f>
        <v>114.59224867994496</v>
      </c>
      <c r="P27" s="74">
        <f>O27/N27</f>
        <v>1.4316336054363898</v>
      </c>
    </row>
    <row r="28" spans="2:18" ht="18.75" thickBot="1" x14ac:dyDescent="0.4">
      <c r="B28" s="6" t="s">
        <v>36</v>
      </c>
      <c r="C28">
        <v>223.55</v>
      </c>
      <c r="D28" s="19">
        <v>10.96</v>
      </c>
      <c r="E28" s="14">
        <f>D28/C28</f>
        <v>4.9027063296801614E-2</v>
      </c>
      <c r="H28" s="6" t="s">
        <v>29</v>
      </c>
      <c r="I28" s="21">
        <v>174</v>
      </c>
      <c r="J28" s="75">
        <v>6.8</v>
      </c>
      <c r="K28" s="38">
        <f>J28/I28</f>
        <v>3.9080459770114942E-2</v>
      </c>
    </row>
    <row r="29" spans="2:18" ht="18" x14ac:dyDescent="0.35">
      <c r="B29" s="6" t="s">
        <v>38</v>
      </c>
      <c r="C29">
        <v>214.01</v>
      </c>
      <c r="D29" s="19">
        <v>1</v>
      </c>
      <c r="E29" s="14">
        <f t="shared" ref="E29:E34" si="2">D29/C29</f>
        <v>4.6726788467828604E-3</v>
      </c>
      <c r="H29" s="8" t="s">
        <v>42</v>
      </c>
      <c r="I29" s="39">
        <v>97.994</v>
      </c>
      <c r="J29" s="92">
        <f>K29*I29</f>
        <v>9.2500000000000053</v>
      </c>
      <c r="K29" s="40">
        <v>9.4393534298018306E-2</v>
      </c>
      <c r="M29" s="95" t="s">
        <v>124</v>
      </c>
      <c r="N29" s="96"/>
      <c r="O29" s="96"/>
      <c r="P29" s="97"/>
    </row>
    <row r="30" spans="2:18" ht="18.75" thickBot="1" x14ac:dyDescent="0.4">
      <c r="B30" s="6" t="s">
        <v>40</v>
      </c>
      <c r="C30">
        <v>105.01</v>
      </c>
      <c r="D30" s="19">
        <v>1.54</v>
      </c>
      <c r="E30" s="14">
        <f t="shared" si="2"/>
        <v>1.4665269974288162E-2</v>
      </c>
      <c r="H30" s="90" t="s">
        <v>139</v>
      </c>
      <c r="I30" s="111">
        <v>0.1</v>
      </c>
      <c r="J30" s="111"/>
      <c r="K30" s="112"/>
      <c r="M30" s="42" t="s">
        <v>82</v>
      </c>
      <c r="N30" s="52">
        <f>1-0.0308*K19</f>
        <v>0.84599999999999997</v>
      </c>
      <c r="O30" s="44" t="s">
        <v>125</v>
      </c>
      <c r="P30" s="45"/>
    </row>
    <row r="31" spans="2:18" ht="18" x14ac:dyDescent="0.35">
      <c r="B31" s="6" t="s">
        <v>41</v>
      </c>
      <c r="C31">
        <v>185.68</v>
      </c>
      <c r="D31" s="19">
        <v>0.4</v>
      </c>
      <c r="E31" s="14">
        <f t="shared" si="2"/>
        <v>2.1542438604049978E-3</v>
      </c>
    </row>
    <row r="32" spans="2:18" ht="18" x14ac:dyDescent="0.35">
      <c r="B32" s="6" t="s">
        <v>43</v>
      </c>
      <c r="C32">
        <v>195.04</v>
      </c>
      <c r="D32" s="19">
        <v>0.28999999999999998</v>
      </c>
      <c r="E32" s="14">
        <f t="shared" si="2"/>
        <v>1.4868744872846595E-3</v>
      </c>
      <c r="H32" s="98" t="s">
        <v>138</v>
      </c>
      <c r="I32" s="99"/>
      <c r="J32" s="99"/>
      <c r="K32" s="100"/>
    </row>
    <row r="33" spans="1:12" ht="18" x14ac:dyDescent="0.35">
      <c r="B33" s="6" t="s">
        <v>44</v>
      </c>
      <c r="C33">
        <v>61.83</v>
      </c>
      <c r="D33" s="19">
        <v>0.11</v>
      </c>
      <c r="E33" s="14">
        <f t="shared" si="2"/>
        <v>1.7790716480672814E-3</v>
      </c>
      <c r="H33" s="18" t="s">
        <v>34</v>
      </c>
      <c r="I33" s="4">
        <v>338.22</v>
      </c>
      <c r="J33" s="93">
        <v>15</v>
      </c>
      <c r="K33" s="69">
        <f t="shared" ref="K33:K41" si="3">J33/I33</f>
        <v>4.4349831470640408E-2</v>
      </c>
    </row>
    <row r="34" spans="1:12" ht="18" x14ac:dyDescent="0.35">
      <c r="B34" s="8" t="s">
        <v>45</v>
      </c>
      <c r="C34" s="15">
        <v>175.94</v>
      </c>
      <c r="D34" s="91">
        <v>0.24</v>
      </c>
      <c r="E34" s="16">
        <f t="shared" si="2"/>
        <v>1.3641013982039331E-3</v>
      </c>
      <c r="H34" s="6" t="s">
        <v>36</v>
      </c>
      <c r="I34">
        <v>223.55</v>
      </c>
      <c r="J34" s="94">
        <v>1.5</v>
      </c>
      <c r="K34" s="38">
        <f t="shared" si="3"/>
        <v>6.709908297919928E-3</v>
      </c>
    </row>
    <row r="35" spans="1:12" ht="18" x14ac:dyDescent="0.35">
      <c r="H35" s="6" t="s">
        <v>38</v>
      </c>
      <c r="I35">
        <v>214.01</v>
      </c>
      <c r="J35" s="94">
        <v>1.29416666666667</v>
      </c>
      <c r="K35" s="38">
        <f t="shared" si="3"/>
        <v>6.0472252075448344E-3</v>
      </c>
    </row>
    <row r="36" spans="1:12" ht="18" x14ac:dyDescent="0.35">
      <c r="H36" s="6" t="s">
        <v>40</v>
      </c>
      <c r="I36">
        <v>105.01</v>
      </c>
      <c r="J36" s="94">
        <v>0.28294117647058797</v>
      </c>
      <c r="K36" s="38">
        <f t="shared" si="3"/>
        <v>2.6944212595999234E-3</v>
      </c>
    </row>
    <row r="37" spans="1:12" ht="18" x14ac:dyDescent="0.35">
      <c r="H37" s="6" t="s">
        <v>41</v>
      </c>
      <c r="I37">
        <v>185.68</v>
      </c>
      <c r="J37" s="94">
        <v>0.11125</v>
      </c>
      <c r="K37" s="38">
        <f t="shared" si="3"/>
        <v>5.9914907367513998E-4</v>
      </c>
    </row>
    <row r="38" spans="1:12" ht="18" x14ac:dyDescent="0.35">
      <c r="H38" s="6" t="s">
        <v>43</v>
      </c>
      <c r="I38">
        <v>195.04</v>
      </c>
      <c r="J38" s="94">
        <v>3.2058823529411799E-2</v>
      </c>
      <c r="K38" s="38">
        <f t="shared" si="3"/>
        <v>1.6437050620083984E-4</v>
      </c>
    </row>
    <row r="39" spans="1:12" ht="18" x14ac:dyDescent="0.35">
      <c r="H39" s="6" t="s">
        <v>44</v>
      </c>
      <c r="I39">
        <v>61.83</v>
      </c>
      <c r="J39" s="94">
        <v>3.2000000000000001E-2</v>
      </c>
      <c r="K39" s="38">
        <f t="shared" si="3"/>
        <v>5.1754811580139088E-4</v>
      </c>
    </row>
    <row r="40" spans="1:12" ht="18" x14ac:dyDescent="0.35">
      <c r="H40" s="6" t="s">
        <v>45</v>
      </c>
      <c r="I40">
        <v>175.94</v>
      </c>
      <c r="J40" s="94">
        <v>4.6600000000000003E-2</v>
      </c>
      <c r="K40" s="38">
        <f t="shared" si="3"/>
        <v>2.6486302148459703E-4</v>
      </c>
    </row>
    <row r="41" spans="1:12" ht="18" x14ac:dyDescent="0.35">
      <c r="H41" s="8" t="s">
        <v>46</v>
      </c>
      <c r="I41" s="15">
        <v>237.69</v>
      </c>
      <c r="J41" s="92">
        <v>5.0000000000000001E-3</v>
      </c>
      <c r="K41" s="40">
        <f t="shared" si="3"/>
        <v>2.1035802936598091E-5</v>
      </c>
    </row>
    <row r="42" spans="1:12" x14ac:dyDescent="0.25">
      <c r="J42" s="2"/>
      <c r="K42" s="2"/>
    </row>
    <row r="43" spans="1:12" ht="18.75" x14ac:dyDescent="0.3">
      <c r="A43" s="37" t="s">
        <v>47</v>
      </c>
    </row>
    <row r="44" spans="1:12" ht="15.75" thickBot="1" x14ac:dyDescent="0.3"/>
    <row r="45" spans="1:12" ht="15.75" customHeight="1" x14ac:dyDescent="0.35">
      <c r="B45" s="101" t="s">
        <v>48</v>
      </c>
      <c r="C45" s="102"/>
      <c r="D45" s="103"/>
      <c r="E45" s="101" t="s">
        <v>116</v>
      </c>
      <c r="F45" s="102"/>
      <c r="G45" s="95" t="s">
        <v>114</v>
      </c>
      <c r="H45" s="96"/>
      <c r="I45" s="104"/>
      <c r="J45" s="105" t="s">
        <v>49</v>
      </c>
      <c r="K45" s="107" t="s">
        <v>113</v>
      </c>
      <c r="L45" s="109" t="s">
        <v>112</v>
      </c>
    </row>
    <row r="46" spans="1:12" ht="17.25" thickBot="1" x14ac:dyDescent="0.3">
      <c r="B46" s="35" t="s">
        <v>50</v>
      </c>
      <c r="C46" s="32" t="s">
        <v>115</v>
      </c>
      <c r="D46" s="36" t="s">
        <v>51</v>
      </c>
      <c r="E46" s="35" t="s">
        <v>52</v>
      </c>
      <c r="F46" s="32" t="s">
        <v>53</v>
      </c>
      <c r="G46" s="54" t="s">
        <v>117</v>
      </c>
      <c r="H46" s="32" t="s">
        <v>118</v>
      </c>
      <c r="I46" s="36" t="s">
        <v>94</v>
      </c>
      <c r="J46" s="106"/>
      <c r="K46" s="108"/>
      <c r="L46" s="110"/>
    </row>
    <row r="47" spans="1:12" x14ac:dyDescent="0.25">
      <c r="B47" s="24" t="s">
        <v>54</v>
      </c>
      <c r="C47" s="21">
        <v>23</v>
      </c>
      <c r="D47" s="55">
        <v>4350</v>
      </c>
      <c r="E47" s="22">
        <f>C47*(E19)+C47*C24*(2*E34+2*E27)</f>
        <v>2.7083807357762573E-4</v>
      </c>
      <c r="F47" s="58">
        <f>C47*((K23+2*K25)+I30*(2*K40+2*K33))</f>
        <v>0.78832618621307082</v>
      </c>
      <c r="G47" s="59">
        <f>(F47)/$R$9</f>
        <v>0.63638291062373786</v>
      </c>
      <c r="H47" s="58">
        <f>($R$10*D47)*0.000001</f>
        <v>0.3745948806340374</v>
      </c>
      <c r="I47" s="38">
        <f>(G47-H47)</f>
        <v>0.26178802998970047</v>
      </c>
      <c r="J47" s="60">
        <f>G47/H47</f>
        <v>1.6988564006710378</v>
      </c>
      <c r="K47" s="61">
        <f>(I47/C47*1000)</f>
        <v>11.382088260421758</v>
      </c>
      <c r="L47" s="62">
        <f t="shared" ref="L47:L60" si="4">(I47/C47*1000)*$R$9/$R$15</f>
        <v>18.23232431872896</v>
      </c>
    </row>
    <row r="48" spans="1:12" x14ac:dyDescent="0.25">
      <c r="B48" s="24" t="s">
        <v>55</v>
      </c>
      <c r="C48" s="21">
        <v>39</v>
      </c>
      <c r="D48" s="55">
        <v>9850</v>
      </c>
      <c r="E48" s="22">
        <f>C48*(E22+2*E23)</f>
        <v>3.6235522312373223</v>
      </c>
      <c r="F48" s="58">
        <f>C48*(K26+2*K28+2*K27)</f>
        <v>4.6316738347887814</v>
      </c>
      <c r="G48" s="59">
        <f t="shared" ref="G48:G60" si="5">(F48)/$R$9</f>
        <v>3.7389574615069701</v>
      </c>
      <c r="H48" s="58">
        <f t="shared" ref="H48:H60" si="6">($R$10*D48)*0.000001</f>
        <v>0.84822059178052156</v>
      </c>
      <c r="I48" s="38">
        <f t="shared" ref="I48:I60" si="7">(G48-H48)</f>
        <v>2.8907368697264486</v>
      </c>
      <c r="J48" s="60">
        <f t="shared" ref="J48:J60" si="8">G48/H48</f>
        <v>4.4080012885073074</v>
      </c>
      <c r="K48" s="61">
        <f t="shared" ref="K48:K60" si="9">(I48/C48*1000)</f>
        <v>74.12145819811407</v>
      </c>
      <c r="L48" s="62">
        <f t="shared" si="4"/>
        <v>118.73097747311364</v>
      </c>
    </row>
    <row r="49" spans="2:12" x14ac:dyDescent="0.25">
      <c r="B49" s="24" t="s">
        <v>56</v>
      </c>
      <c r="C49" s="21">
        <v>32</v>
      </c>
      <c r="D49" s="55">
        <v>10500</v>
      </c>
      <c r="E49" s="22">
        <f>C49*((E20)+C24*(E28+E29+E30+E31))</f>
        <v>6.7202224244560266E-2</v>
      </c>
      <c r="F49" s="58">
        <f>C49*((K20+K25+K27+K24)+I30*(K34+K35+K36+K37))</f>
        <v>1.3842644401330433</v>
      </c>
      <c r="G49" s="59">
        <f t="shared" si="5"/>
        <v>1.1174590529797612</v>
      </c>
      <c r="H49" s="58">
        <f t="shared" si="6"/>
        <v>0.90419453946146955</v>
      </c>
      <c r="I49" s="38">
        <f t="shared" si="7"/>
        <v>0.21326451351829168</v>
      </c>
      <c r="J49" s="60">
        <f t="shared" si="8"/>
        <v>1.2358613154701312</v>
      </c>
      <c r="K49" s="61">
        <f t="shared" si="9"/>
        <v>6.6645160474466145</v>
      </c>
      <c r="L49" s="62">
        <f t="shared" si="4"/>
        <v>10.675511841437594</v>
      </c>
    </row>
    <row r="50" spans="2:12" x14ac:dyDescent="0.25">
      <c r="B50" s="24" t="s">
        <v>57</v>
      </c>
      <c r="C50" s="21">
        <v>31</v>
      </c>
      <c r="D50" s="55">
        <v>16500</v>
      </c>
      <c r="E50" s="22">
        <f>C50*(E22+E23)</f>
        <v>1.5529606152805948</v>
      </c>
      <c r="F50" s="58">
        <f>C50*(K26+K28+K29)</f>
        <v>4.6847526396415429</v>
      </c>
      <c r="G50" s="59">
        <f t="shared" si="5"/>
        <v>3.7818057708938411</v>
      </c>
      <c r="H50" s="58">
        <f t="shared" si="6"/>
        <v>1.4208771334394523</v>
      </c>
      <c r="I50" s="38">
        <f t="shared" si="7"/>
        <v>2.3609286374543887</v>
      </c>
      <c r="J50" s="60">
        <f t="shared" si="8"/>
        <v>2.6615994317111689</v>
      </c>
      <c r="K50" s="61">
        <f t="shared" si="9"/>
        <v>76.158988304980284</v>
      </c>
      <c r="L50" s="62">
        <f t="shared" si="4"/>
        <v>121.99478187065421</v>
      </c>
    </row>
    <row r="51" spans="2:12" x14ac:dyDescent="0.25">
      <c r="B51" s="24" t="s">
        <v>58</v>
      </c>
      <c r="C51" s="21">
        <v>40</v>
      </c>
      <c r="D51" s="55">
        <v>2250</v>
      </c>
      <c r="E51" s="22">
        <f>C51*(E21)</f>
        <v>2.7210884353741499E-2</v>
      </c>
      <c r="F51" s="58">
        <f>C51*(K24+K22)</f>
        <v>0.29411764705882354</v>
      </c>
      <c r="G51" s="59">
        <f t="shared" si="5"/>
        <v>0.23742893179817601</v>
      </c>
      <c r="H51" s="58">
        <f t="shared" si="6"/>
        <v>0.19375597274174347</v>
      </c>
      <c r="I51" s="38">
        <f t="shared" si="7"/>
        <v>4.3672959056432537E-2</v>
      </c>
      <c r="J51" s="60">
        <f t="shared" si="8"/>
        <v>1.2254018724606959</v>
      </c>
      <c r="K51" s="61">
        <f t="shared" si="9"/>
        <v>1.0918239764108133</v>
      </c>
      <c r="L51" s="62">
        <f t="shared" si="4"/>
        <v>1.7489311610863048</v>
      </c>
    </row>
    <row r="52" spans="2:12" x14ac:dyDescent="0.25">
      <c r="B52" s="24" t="s">
        <v>59</v>
      </c>
      <c r="C52" s="21">
        <v>24.3</v>
      </c>
      <c r="D52" s="55">
        <v>2850</v>
      </c>
      <c r="E52" s="22">
        <f>C52*E20</f>
        <v>4.9318071115440815E-2</v>
      </c>
      <c r="F52" s="58">
        <f>C52*(K20+K21)</f>
        <v>0.37421640599737216</v>
      </c>
      <c r="G52" s="59">
        <f t="shared" si="5"/>
        <v>0.30208932522684928</v>
      </c>
      <c r="H52" s="58">
        <f t="shared" si="6"/>
        <v>0.24542423213954176</v>
      </c>
      <c r="I52" s="38">
        <f t="shared" si="7"/>
        <v>5.6665093087307522E-2</v>
      </c>
      <c r="J52" s="60">
        <f t="shared" si="8"/>
        <v>1.2308863008078568</v>
      </c>
      <c r="K52" s="61">
        <f t="shared" si="9"/>
        <v>2.3318968348686222</v>
      </c>
      <c r="L52" s="62">
        <f t="shared" si="4"/>
        <v>3.7353338331578585</v>
      </c>
    </row>
    <row r="53" spans="2:12" x14ac:dyDescent="0.25">
      <c r="B53" s="24" t="s">
        <v>60</v>
      </c>
      <c r="C53" s="21">
        <v>65.400000000000006</v>
      </c>
      <c r="D53" s="55">
        <v>254</v>
      </c>
      <c r="E53" s="22">
        <f>C53*C24*E28</f>
        <v>3.2063699396108264E-3</v>
      </c>
      <c r="F53" s="58">
        <f>C53*K34*I30</f>
        <v>4.3882800268396333E-2</v>
      </c>
      <c r="G53" s="59">
        <f t="shared" si="5"/>
        <v>3.5424757732929378E-2</v>
      </c>
      <c r="H53" s="58">
        <f t="shared" si="6"/>
        <v>2.1872896478401266E-2</v>
      </c>
      <c r="I53" s="38">
        <f t="shared" si="7"/>
        <v>1.3551861254528112E-2</v>
      </c>
      <c r="J53" s="60">
        <f t="shared" si="8"/>
        <v>1.6195732361239907</v>
      </c>
      <c r="K53" s="61">
        <f t="shared" si="9"/>
        <v>0.20721500389186714</v>
      </c>
      <c r="L53" s="62">
        <f t="shared" si="4"/>
        <v>0.33192601113455189</v>
      </c>
    </row>
    <row r="54" spans="2:12" x14ac:dyDescent="0.25">
      <c r="B54" s="24" t="s">
        <v>61</v>
      </c>
      <c r="C54" s="21">
        <v>58.69</v>
      </c>
      <c r="D54" s="55">
        <v>1</v>
      </c>
      <c r="E54" s="22"/>
      <c r="F54" s="58">
        <f>C54*K41*I30</f>
        <v>1.2345912743489421E-4</v>
      </c>
      <c r="G54" s="59">
        <f t="shared" si="5"/>
        <v>9.9663413741846174E-5</v>
      </c>
      <c r="H54" s="58">
        <f t="shared" si="6"/>
        <v>8.6113765662997109E-5</v>
      </c>
      <c r="I54" s="38">
        <f t="shared" si="7"/>
        <v>1.3549648078849065E-5</v>
      </c>
      <c r="J54" s="60">
        <f t="shared" si="8"/>
        <v>1.1573459013727849</v>
      </c>
      <c r="K54" s="88">
        <f t="shared" si="9"/>
        <v>2.3086808789996702E-4</v>
      </c>
      <c r="L54" s="89">
        <f t="shared" si="4"/>
        <v>3.6981455046993731E-4</v>
      </c>
    </row>
    <row r="55" spans="2:12" x14ac:dyDescent="0.25">
      <c r="B55" s="24" t="s">
        <v>62</v>
      </c>
      <c r="C55" s="21">
        <v>95.95</v>
      </c>
      <c r="D55" s="55">
        <v>16</v>
      </c>
      <c r="E55" s="22">
        <f>C55*C24*E34</f>
        <v>1.3088552915766738E-4</v>
      </c>
      <c r="F55" s="58">
        <f>C55*K40*I30</f>
        <v>2.5413606911447086E-3</v>
      </c>
      <c r="G55" s="59">
        <f t="shared" si="5"/>
        <v>2.051534684322032E-3</v>
      </c>
      <c r="H55" s="58">
        <f t="shared" si="6"/>
        <v>1.3778202506079537E-3</v>
      </c>
      <c r="I55" s="38">
        <f t="shared" si="7"/>
        <v>6.7371443371407828E-4</v>
      </c>
      <c r="J55" s="60">
        <f t="shared" si="8"/>
        <v>1.4889712089924694</v>
      </c>
      <c r="K55" s="61">
        <f t="shared" si="9"/>
        <v>7.0215157239612112E-3</v>
      </c>
      <c r="L55" s="62">
        <f t="shared" si="4"/>
        <v>1.1247369459738497E-2</v>
      </c>
    </row>
    <row r="56" spans="2:12" x14ac:dyDescent="0.25">
      <c r="B56" s="24" t="s">
        <v>63</v>
      </c>
      <c r="C56" s="21">
        <v>54.94</v>
      </c>
      <c r="D56" s="55">
        <v>76</v>
      </c>
      <c r="E56" s="22">
        <f>C56*C24*E30</f>
        <v>8.0570993238739152E-4</v>
      </c>
      <c r="F56" s="58">
        <f>C56*K36*I30</f>
        <v>1.4803150400241979E-2</v>
      </c>
      <c r="G56" s="59">
        <f t="shared" si="5"/>
        <v>1.1949967035042461E-2</v>
      </c>
      <c r="H56" s="58">
        <f t="shared" si="6"/>
        <v>6.5446461903877805E-3</v>
      </c>
      <c r="I56" s="38">
        <f t="shared" si="7"/>
        <v>5.4053208446546803E-3</v>
      </c>
      <c r="J56" s="60">
        <f t="shared" si="8"/>
        <v>1.8259149062318381</v>
      </c>
      <c r="K56" s="61">
        <f t="shared" si="9"/>
        <v>9.8385890874675655E-2</v>
      </c>
      <c r="L56" s="62">
        <f t="shared" si="4"/>
        <v>0.15759880171125065</v>
      </c>
    </row>
    <row r="57" spans="2:12" x14ac:dyDescent="0.25">
      <c r="B57" s="24" t="s">
        <v>64</v>
      </c>
      <c r="C57" s="21">
        <v>55.85</v>
      </c>
      <c r="D57" s="55">
        <v>220</v>
      </c>
      <c r="E57" s="22">
        <f>C57*C24*E29</f>
        <v>2.6096911359282276E-4</v>
      </c>
      <c r="F57" s="58">
        <f>C57*K35*I30</f>
        <v>3.3773752784137905E-2</v>
      </c>
      <c r="G57" s="59">
        <f t="shared" si="5"/>
        <v>2.7264144557602017E-2</v>
      </c>
      <c r="H57" s="58">
        <f t="shared" si="6"/>
        <v>1.8945028445859362E-2</v>
      </c>
      <c r="I57" s="38">
        <f t="shared" si="7"/>
        <v>8.3191161117426547E-3</v>
      </c>
      <c r="J57" s="60">
        <f t="shared" si="8"/>
        <v>1.4391186920366374</v>
      </c>
      <c r="K57" s="61">
        <f t="shared" si="9"/>
        <v>0.14895463046987742</v>
      </c>
      <c r="L57" s="62">
        <f t="shared" si="4"/>
        <v>0.23860200952286406</v>
      </c>
    </row>
    <row r="58" spans="2:12" x14ac:dyDescent="0.25">
      <c r="B58" s="24" t="s">
        <v>65</v>
      </c>
      <c r="C58" s="21">
        <v>63.55</v>
      </c>
      <c r="D58" s="55">
        <v>24</v>
      </c>
      <c r="E58" s="22">
        <f>C58*E31*C24</f>
        <v>1.369021973287376E-4</v>
      </c>
      <c r="F58" s="58">
        <f>C58*K37*I30</f>
        <v>3.8075923632055145E-3</v>
      </c>
      <c r="G58" s="59">
        <f t="shared" si="5"/>
        <v>3.0737107975638447E-3</v>
      </c>
      <c r="H58" s="58">
        <f t="shared" si="6"/>
        <v>2.0667303759119302E-3</v>
      </c>
      <c r="I58" s="38">
        <f t="shared" si="7"/>
        <v>1.0069804216519145E-3</v>
      </c>
      <c r="J58" s="60">
        <f t="shared" si="8"/>
        <v>1.4872335711462079</v>
      </c>
      <c r="K58" s="61">
        <f t="shared" si="9"/>
        <v>1.5845482638110382E-2</v>
      </c>
      <c r="L58" s="62">
        <f t="shared" si="4"/>
        <v>2.5381983677757243E-2</v>
      </c>
    </row>
    <row r="59" spans="2:12" x14ac:dyDescent="0.25">
      <c r="B59" s="24" t="s">
        <v>66</v>
      </c>
      <c r="C59" s="21">
        <v>59</v>
      </c>
      <c r="D59" s="55">
        <v>6</v>
      </c>
      <c r="E59" s="22">
        <f>C59*E32*C24</f>
        <v>8.7725594749794909E-5</v>
      </c>
      <c r="F59" s="58">
        <f>C59*K38*I30</f>
        <v>9.6978598658495514E-4</v>
      </c>
      <c r="G59" s="59">
        <f t="shared" si="5"/>
        <v>7.8286785295020084E-4</v>
      </c>
      <c r="H59" s="58">
        <f t="shared" si="6"/>
        <v>5.1668259397798255E-4</v>
      </c>
      <c r="I59" s="38">
        <f t="shared" si="7"/>
        <v>2.6618525897221829E-4</v>
      </c>
      <c r="J59" s="60">
        <f t="shared" si="8"/>
        <v>1.515181393905368</v>
      </c>
      <c r="K59" s="61">
        <f t="shared" si="9"/>
        <v>4.5116145588511578E-3</v>
      </c>
      <c r="L59" s="62">
        <f t="shared" si="4"/>
        <v>7.2269005437342812E-3</v>
      </c>
    </row>
    <row r="60" spans="2:12" ht="15.75" thickBot="1" x14ac:dyDescent="0.3">
      <c r="B60" s="25" t="s">
        <v>67</v>
      </c>
      <c r="C60" s="56">
        <v>10.1</v>
      </c>
      <c r="D60" s="57">
        <v>4.4000000000000004</v>
      </c>
      <c r="E60" s="23">
        <f>C60*E33*C24</f>
        <v>1.7968623645479542E-5</v>
      </c>
      <c r="F60" s="63">
        <f>C60*K39*I30</f>
        <v>5.2272359695940476E-4</v>
      </c>
      <c r="G60" s="64">
        <f t="shared" si="5"/>
        <v>4.2197299785602394E-4</v>
      </c>
      <c r="H60" s="65">
        <f t="shared" si="6"/>
        <v>3.7890056891718733E-4</v>
      </c>
      <c r="I60" s="66">
        <f t="shared" si="7"/>
        <v>4.3072428938836609E-5</v>
      </c>
      <c r="J60" s="67">
        <f t="shared" si="8"/>
        <v>1.1136773931533752</v>
      </c>
      <c r="K60" s="43">
        <f t="shared" si="9"/>
        <v>4.2645969246372884E-3</v>
      </c>
      <c r="L60" s="68">
        <f t="shared" si="4"/>
        <v>6.8312169471579937E-3</v>
      </c>
    </row>
    <row r="61" spans="2:12" x14ac:dyDescent="0.25">
      <c r="B61" s="21"/>
      <c r="E61" s="2"/>
      <c r="F61" s="2"/>
      <c r="G61" s="2"/>
      <c r="H61" s="2"/>
      <c r="I61" s="2"/>
      <c r="J61" s="29"/>
      <c r="K61" s="2"/>
      <c r="L61" s="19"/>
    </row>
    <row r="62" spans="2:12" x14ac:dyDescent="0.25">
      <c r="E62" s="2"/>
      <c r="F62" s="2"/>
      <c r="G62" s="2"/>
      <c r="H62" s="2"/>
      <c r="I62" s="2"/>
      <c r="J62" s="2"/>
      <c r="K62" s="2"/>
      <c r="L62" s="2"/>
    </row>
  </sheetData>
  <mergeCells count="22">
    <mergeCell ref="H3:K3"/>
    <mergeCell ref="M3:O3"/>
    <mergeCell ref="J4:K4"/>
    <mergeCell ref="Q4:S4"/>
    <mergeCell ref="D5:F5"/>
    <mergeCell ref="J5:K5"/>
    <mergeCell ref="D7:F7"/>
    <mergeCell ref="D8:F8"/>
    <mergeCell ref="H17:K17"/>
    <mergeCell ref="M17:P17"/>
    <mergeCell ref="B26:E26"/>
    <mergeCell ref="M24:P24"/>
    <mergeCell ref="C24:E24"/>
    <mergeCell ref="M29:P29"/>
    <mergeCell ref="H32:K32"/>
    <mergeCell ref="B45:D45"/>
    <mergeCell ref="E45:F45"/>
    <mergeCell ref="G45:I45"/>
    <mergeCell ref="J45:J46"/>
    <mergeCell ref="K45:K46"/>
    <mergeCell ref="L45:L46"/>
    <mergeCell ref="I30:K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317-1CD5-4EB1-9C35-E73C97608755}">
  <dimension ref="B2:C10"/>
  <sheetViews>
    <sheetView workbookViewId="0">
      <selection activeCell="G16" sqref="G16"/>
    </sheetView>
  </sheetViews>
  <sheetFormatPr defaultRowHeight="15" x14ac:dyDescent="0.25"/>
  <sheetData>
    <row r="2" spans="2:3" ht="15.75" x14ac:dyDescent="0.25">
      <c r="B2" s="26" t="s">
        <v>68</v>
      </c>
    </row>
    <row r="3" spans="2:3" ht="18" x14ac:dyDescent="0.35">
      <c r="B3" s="30" t="s">
        <v>69</v>
      </c>
      <c r="C3" t="s">
        <v>70</v>
      </c>
    </row>
    <row r="4" spans="2:3" x14ac:dyDescent="0.25">
      <c r="B4" s="30" t="s">
        <v>71</v>
      </c>
      <c r="C4" t="s">
        <v>72</v>
      </c>
    </row>
    <row r="5" spans="2:3" ht="18" x14ac:dyDescent="0.35">
      <c r="B5" s="30"/>
      <c r="C5" t="s">
        <v>73</v>
      </c>
    </row>
    <row r="6" spans="2:3" ht="18" x14ac:dyDescent="0.35">
      <c r="B6" s="30" t="s">
        <v>74</v>
      </c>
      <c r="C6" t="s">
        <v>75</v>
      </c>
    </row>
    <row r="7" spans="2:3" ht="18" x14ac:dyDescent="0.35">
      <c r="B7" s="30"/>
      <c r="C7" t="s">
        <v>76</v>
      </c>
    </row>
    <row r="8" spans="2:3" x14ac:dyDescent="0.25">
      <c r="B8" s="30" t="s">
        <v>77</v>
      </c>
      <c r="C8" t="s">
        <v>78</v>
      </c>
    </row>
    <row r="9" spans="2:3" x14ac:dyDescent="0.25">
      <c r="B9" s="130"/>
      <c r="C9" t="s">
        <v>79</v>
      </c>
    </row>
    <row r="10" spans="2:3" x14ac:dyDescent="0.25">
      <c r="C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Directions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 Mølsæter Maråk</dc:creator>
  <cp:keywords/>
  <dc:description/>
  <cp:lastModifiedBy>Marte Mølsæter Maråk</cp:lastModifiedBy>
  <cp:revision/>
  <dcterms:created xsi:type="dcterms:W3CDTF">2024-10-08T07:05:31Z</dcterms:created>
  <dcterms:modified xsi:type="dcterms:W3CDTF">2024-11-14T14:04:38Z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2024-10-08T07:15:44Z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a502768a-9b47-40d5-aae8-6b23ed02795e</vt:lpwstr>
  </property>
  <property fmtid="{D5CDD505-2E9C-101B-9397-08002B2CF9AE}" pid="8" name="MSIP_Label_d0484126-3486-41a9-802e-7f1e2277276c_ContentBits">
    <vt:lpwstr>0</vt:lpwstr>
  </property>
</Properties>
</file>