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9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165" windowWidth="19245" windowHeight="6060"/>
  </bookViews>
  <sheets>
    <sheet name="Eskom" sheetId="1" r:id="rId1"/>
    <sheet name="Vent-3#" sheetId="8" r:id="rId2"/>
    <sheet name="Load Shifting Savings" sheetId="5" r:id="rId3"/>
    <sheet name="PFC Savings2" sheetId="10" r:id="rId4"/>
    <sheet name="Demand" sheetId="11" r:id="rId5"/>
  </sheets>
  <calcPr calcId="144525"/>
</workbook>
</file>

<file path=xl/calcChain.xml><?xml version="1.0" encoding="utf-8"?>
<calcChain xmlns="http://schemas.openxmlformats.org/spreadsheetml/2006/main">
  <c r="H71" i="1" l="1"/>
  <c r="J123" i="1" l="1"/>
  <c r="J67" i="1"/>
  <c r="B2" i="11"/>
  <c r="A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B35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A14" i="11"/>
  <c r="A3" i="11"/>
  <c r="C3" i="11"/>
  <c r="D3" i="11"/>
  <c r="E3" i="11"/>
  <c r="F3" i="11"/>
  <c r="G3" i="11"/>
  <c r="H3" i="11"/>
  <c r="I3" i="11"/>
  <c r="J3" i="11"/>
  <c r="K3" i="11"/>
  <c r="L3" i="11"/>
  <c r="M3" i="11"/>
  <c r="N3" i="11"/>
  <c r="B3" i="11"/>
  <c r="A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B2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A37" i="11"/>
  <c r="A38" i="11"/>
  <c r="A39" i="11"/>
  <c r="A36" i="11"/>
  <c r="A34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B27" i="11"/>
  <c r="C27" i="11"/>
  <c r="C30" i="11" s="1"/>
  <c r="C31" i="11" s="1"/>
  <c r="D27" i="11"/>
  <c r="E27" i="11"/>
  <c r="F27" i="11"/>
  <c r="G27" i="11"/>
  <c r="H27" i="11"/>
  <c r="I27" i="11"/>
  <c r="J27" i="11"/>
  <c r="K27" i="11"/>
  <c r="L27" i="11"/>
  <c r="M27" i="11"/>
  <c r="N27" i="11"/>
  <c r="B28" i="11"/>
  <c r="D28" i="11"/>
  <c r="E28" i="11"/>
  <c r="F28" i="11"/>
  <c r="G28" i="11"/>
  <c r="H28" i="11"/>
  <c r="I28" i="11"/>
  <c r="J28" i="11"/>
  <c r="K28" i="11"/>
  <c r="L28" i="11"/>
  <c r="M28" i="11"/>
  <c r="N28" i="11"/>
  <c r="B29" i="11"/>
  <c r="D29" i="11"/>
  <c r="D30" i="11" s="1"/>
  <c r="E29" i="11"/>
  <c r="F29" i="11"/>
  <c r="G29" i="11"/>
  <c r="H29" i="11"/>
  <c r="I29" i="11"/>
  <c r="J29" i="11"/>
  <c r="K29" i="11"/>
  <c r="K30" i="11" s="1"/>
  <c r="K31" i="11" s="1"/>
  <c r="L29" i="11"/>
  <c r="L30" i="11" s="1"/>
  <c r="M29" i="11"/>
  <c r="M30" i="11" s="1"/>
  <c r="N29" i="11"/>
  <c r="A27" i="11"/>
  <c r="A28" i="11"/>
  <c r="A29" i="11"/>
  <c r="A26" i="11"/>
  <c r="A2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A16" i="11"/>
  <c r="A17" i="11"/>
  <c r="A18" i="11"/>
  <c r="A15" i="11"/>
  <c r="A13" i="11"/>
  <c r="B4" i="11"/>
  <c r="C4" i="11"/>
  <c r="D4" i="11"/>
  <c r="E4" i="11"/>
  <c r="F4" i="11"/>
  <c r="G4" i="11"/>
  <c r="H4" i="11"/>
  <c r="I4" i="11"/>
  <c r="K4" i="11"/>
  <c r="L4" i="11"/>
  <c r="M4" i="11"/>
  <c r="N4" i="11"/>
  <c r="B5" i="11"/>
  <c r="C5" i="11"/>
  <c r="D5" i="11"/>
  <c r="E5" i="11"/>
  <c r="F5" i="11"/>
  <c r="G5" i="11"/>
  <c r="H5" i="11"/>
  <c r="I5" i="11"/>
  <c r="K5" i="11"/>
  <c r="L5" i="11"/>
  <c r="M5" i="11"/>
  <c r="N5" i="11"/>
  <c r="B6" i="11"/>
  <c r="C6" i="11"/>
  <c r="D6" i="11"/>
  <c r="E6" i="11"/>
  <c r="F6" i="11"/>
  <c r="G6" i="11"/>
  <c r="H6" i="11"/>
  <c r="I6" i="11"/>
  <c r="K6" i="11"/>
  <c r="L6" i="11"/>
  <c r="M6" i="11"/>
  <c r="N6" i="11"/>
  <c r="B7" i="11"/>
  <c r="C7" i="11"/>
  <c r="D7" i="11"/>
  <c r="E7" i="11"/>
  <c r="F7" i="11"/>
  <c r="G7" i="11"/>
  <c r="H7" i="11"/>
  <c r="I7" i="11"/>
  <c r="K7" i="11"/>
  <c r="L7" i="11"/>
  <c r="M7" i="11"/>
  <c r="N7" i="11"/>
  <c r="A5" i="11"/>
  <c r="A6" i="11"/>
  <c r="A7" i="11"/>
  <c r="A4" i="11"/>
  <c r="A2" i="11"/>
  <c r="J30" i="11" l="1"/>
  <c r="J31" i="11" s="1"/>
  <c r="H30" i="11"/>
  <c r="E30" i="11"/>
  <c r="I30" i="11"/>
  <c r="I31" i="11" s="1"/>
  <c r="G30" i="11"/>
  <c r="G31" i="11" s="1"/>
  <c r="N30" i="11"/>
  <c r="N31" i="11" s="1"/>
  <c r="F30" i="11"/>
  <c r="F31" i="11" s="1"/>
  <c r="H31" i="11"/>
  <c r="L31" i="11"/>
  <c r="D31" i="11"/>
  <c r="B30" i="11"/>
  <c r="B31" i="11" s="1"/>
  <c r="K40" i="11"/>
  <c r="K41" i="11" s="1"/>
  <c r="G40" i="11"/>
  <c r="G41" i="11" s="1"/>
  <c r="C40" i="11"/>
  <c r="C41" i="11" s="1"/>
  <c r="N40" i="11"/>
  <c r="N41" i="11" s="1"/>
  <c r="B40" i="11"/>
  <c r="B41" i="11" s="1"/>
  <c r="J40" i="11"/>
  <c r="J41" i="11" s="1"/>
  <c r="F40" i="11"/>
  <c r="F41" i="11" s="1"/>
  <c r="M31" i="11"/>
  <c r="E31" i="11"/>
  <c r="L40" i="11"/>
  <c r="L41" i="11" s="1"/>
  <c r="H40" i="11"/>
  <c r="H41" i="11" s="1"/>
  <c r="D40" i="11"/>
  <c r="D41" i="11" s="1"/>
  <c r="M40" i="11"/>
  <c r="M41" i="11" s="1"/>
  <c r="I40" i="11"/>
  <c r="I41" i="11" s="1"/>
  <c r="E40" i="11"/>
  <c r="E41" i="11" s="1"/>
  <c r="J146" i="1"/>
  <c r="I146" i="1"/>
  <c r="H146" i="1"/>
  <c r="G146" i="1"/>
  <c r="F146" i="1"/>
  <c r="E146" i="1"/>
  <c r="D146" i="1"/>
  <c r="C146" i="1"/>
  <c r="E142" i="1"/>
  <c r="D142" i="1"/>
  <c r="C142" i="1"/>
  <c r="E140" i="1"/>
  <c r="D140" i="1"/>
  <c r="C140" i="1"/>
  <c r="J138" i="1"/>
  <c r="I138" i="1"/>
  <c r="H138" i="1"/>
  <c r="J135" i="1"/>
  <c r="I135" i="1"/>
  <c r="H135" i="1"/>
  <c r="E133" i="1"/>
  <c r="D133" i="1"/>
  <c r="C133" i="1"/>
  <c r="J131" i="1"/>
  <c r="I131" i="1"/>
  <c r="H131" i="1"/>
  <c r="E129" i="1"/>
  <c r="D129" i="1"/>
  <c r="C129" i="1"/>
  <c r="J127" i="1"/>
  <c r="I127" i="1"/>
  <c r="H127" i="1"/>
  <c r="E125" i="1"/>
  <c r="D125" i="1"/>
  <c r="C125" i="1"/>
  <c r="E119" i="1"/>
  <c r="D119" i="1"/>
  <c r="C119" i="1"/>
  <c r="E117" i="1"/>
  <c r="D117" i="1"/>
  <c r="C117" i="1"/>
  <c r="E115" i="1"/>
  <c r="D115" i="1"/>
  <c r="C115" i="1"/>
  <c r="E113" i="1"/>
  <c r="D113" i="1"/>
  <c r="C113" i="1"/>
  <c r="J112" i="1"/>
  <c r="J113" i="1" s="1"/>
  <c r="J114" i="1"/>
  <c r="J115" i="1" s="1"/>
  <c r="J116" i="1"/>
  <c r="J117" i="1" s="1"/>
  <c r="J118" i="1"/>
  <c r="J119" i="1" s="1"/>
  <c r="J139" i="1"/>
  <c r="J140" i="1" s="1"/>
  <c r="J141" i="1"/>
  <c r="J142" i="1" s="1"/>
  <c r="J90" i="1"/>
  <c r="J86" i="1"/>
  <c r="J84" i="1"/>
  <c r="J82" i="1"/>
  <c r="J79" i="1"/>
  <c r="J75" i="1"/>
  <c r="J71" i="1"/>
  <c r="J63" i="1"/>
  <c r="J61" i="1"/>
  <c r="J59" i="1"/>
  <c r="J57" i="1"/>
  <c r="D147" i="1" l="1"/>
  <c r="D148" i="1" s="1"/>
  <c r="E147" i="1"/>
  <c r="E148" i="1" s="1"/>
  <c r="C147" i="1"/>
  <c r="C148" i="1" s="1"/>
  <c r="P31" i="11"/>
  <c r="J147" i="1"/>
  <c r="J148" i="1" s="1"/>
  <c r="J91" i="1"/>
  <c r="J92" i="1" s="1"/>
  <c r="J35" i="1"/>
  <c r="J36" i="1" s="1"/>
  <c r="J13" i="1" l="1"/>
  <c r="J14" i="1" s="1"/>
  <c r="J26" i="1"/>
  <c r="J22" i="1"/>
  <c r="J19" i="1"/>
  <c r="J16" i="1"/>
  <c r="J24" i="1" s="1"/>
  <c r="J9" i="1"/>
  <c r="J11" i="1"/>
  <c r="J7" i="1"/>
  <c r="I59" i="1"/>
  <c r="J30" i="1" l="1"/>
  <c r="J34" i="1"/>
  <c r="J28" i="1"/>
  <c r="D67" i="10"/>
  <c r="E67" i="10"/>
  <c r="F67" i="10"/>
  <c r="G67" i="10"/>
  <c r="H67" i="10"/>
  <c r="I67" i="10"/>
  <c r="C67" i="10"/>
  <c r="C7" i="10"/>
  <c r="C55" i="10" s="1"/>
  <c r="D7" i="10"/>
  <c r="D51" i="10" s="1"/>
  <c r="E7" i="10"/>
  <c r="E51" i="10" s="1"/>
  <c r="F7" i="10"/>
  <c r="F51" i="10" s="1"/>
  <c r="G7" i="10"/>
  <c r="G51" i="10" s="1"/>
  <c r="H7" i="10"/>
  <c r="H51" i="10" s="1"/>
  <c r="I7" i="10"/>
  <c r="I51" i="10" s="1"/>
  <c r="D2" i="10"/>
  <c r="E2" i="10"/>
  <c r="F2" i="10"/>
  <c r="G2" i="10"/>
  <c r="H2" i="10"/>
  <c r="I2" i="10"/>
  <c r="D3" i="10"/>
  <c r="D28" i="10" s="1"/>
  <c r="E3" i="10"/>
  <c r="E28" i="10" s="1"/>
  <c r="F3" i="10"/>
  <c r="F26" i="10" s="1"/>
  <c r="G3" i="10"/>
  <c r="G28" i="10" s="1"/>
  <c r="H3" i="10"/>
  <c r="H28" i="10" s="1"/>
  <c r="I3" i="10"/>
  <c r="I28" i="10" s="1"/>
  <c r="D4" i="10"/>
  <c r="D32" i="10" s="1"/>
  <c r="E4" i="10"/>
  <c r="E32" i="10" s="1"/>
  <c r="F4" i="10"/>
  <c r="F34" i="10" s="1"/>
  <c r="G4" i="10"/>
  <c r="G32" i="10" s="1"/>
  <c r="H4" i="10"/>
  <c r="H34" i="10" s="1"/>
  <c r="I4" i="10"/>
  <c r="I34" i="10" s="1"/>
  <c r="D5" i="10"/>
  <c r="D42" i="10" s="1"/>
  <c r="E5" i="10"/>
  <c r="E40" i="10" s="1"/>
  <c r="F5" i="10"/>
  <c r="F40" i="10" s="1"/>
  <c r="G5" i="10"/>
  <c r="G40" i="10" s="1"/>
  <c r="H5" i="10"/>
  <c r="I5" i="10"/>
  <c r="I42" i="10" s="1"/>
  <c r="D6" i="10"/>
  <c r="D38" i="10" s="1"/>
  <c r="E6" i="10"/>
  <c r="E36" i="10" s="1"/>
  <c r="F6" i="10"/>
  <c r="F38" i="10" s="1"/>
  <c r="G6" i="10"/>
  <c r="G36" i="10" s="1"/>
  <c r="H6" i="10"/>
  <c r="H38" i="10" s="1"/>
  <c r="I6" i="10"/>
  <c r="I38" i="10" s="1"/>
  <c r="D8" i="10"/>
  <c r="E8" i="10"/>
  <c r="F8" i="10"/>
  <c r="G8" i="10"/>
  <c r="H8" i="10"/>
  <c r="I8" i="10"/>
  <c r="D9" i="10"/>
  <c r="E9" i="10"/>
  <c r="F9" i="10"/>
  <c r="G9" i="10"/>
  <c r="H9" i="10"/>
  <c r="I9" i="10"/>
  <c r="I30" i="10" s="1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G16" i="10" s="1"/>
  <c r="H12" i="10"/>
  <c r="I12" i="10"/>
  <c r="D13" i="10"/>
  <c r="E13" i="10"/>
  <c r="F13" i="10"/>
  <c r="G13" i="10"/>
  <c r="H13" i="10"/>
  <c r="I13" i="10"/>
  <c r="I17" i="10" s="1"/>
  <c r="D14" i="10"/>
  <c r="E14" i="10"/>
  <c r="F14" i="10"/>
  <c r="G14" i="10"/>
  <c r="H14" i="10"/>
  <c r="I14" i="10"/>
  <c r="D15" i="10"/>
  <c r="E15" i="10"/>
  <c r="F15" i="10"/>
  <c r="G15" i="10"/>
  <c r="H15" i="10"/>
  <c r="I15" i="10"/>
  <c r="C75" i="10"/>
  <c r="D75" i="10"/>
  <c r="D100" i="10" s="1"/>
  <c r="E75" i="10"/>
  <c r="E98" i="10" s="1"/>
  <c r="F75" i="10"/>
  <c r="F98" i="10" s="1"/>
  <c r="G75" i="10"/>
  <c r="G98" i="10" s="1"/>
  <c r="H75" i="10"/>
  <c r="H98" i="10" s="1"/>
  <c r="I75" i="10"/>
  <c r="I98" i="10" s="1"/>
  <c r="C76" i="10"/>
  <c r="C106" i="10" s="1"/>
  <c r="D76" i="10"/>
  <c r="D104" i="10" s="1"/>
  <c r="E76" i="10"/>
  <c r="E104" i="10" s="1"/>
  <c r="F76" i="10"/>
  <c r="F106" i="10" s="1"/>
  <c r="G76" i="10"/>
  <c r="G106" i="10" s="1"/>
  <c r="H76" i="10"/>
  <c r="H106" i="10" s="1"/>
  <c r="I76" i="10"/>
  <c r="I106" i="10" s="1"/>
  <c r="C77" i="10"/>
  <c r="C112" i="10" s="1"/>
  <c r="D77" i="10"/>
  <c r="D112" i="10" s="1"/>
  <c r="E77" i="10"/>
  <c r="E112" i="10" s="1"/>
  <c r="F77" i="10"/>
  <c r="F112" i="10" s="1"/>
  <c r="G77" i="10"/>
  <c r="G112" i="10" s="1"/>
  <c r="H77" i="10"/>
  <c r="H114" i="10" s="1"/>
  <c r="I77" i="10"/>
  <c r="I114" i="10" s="1"/>
  <c r="C78" i="10"/>
  <c r="C110" i="10" s="1"/>
  <c r="D78" i="10"/>
  <c r="D108" i="10" s="1"/>
  <c r="E78" i="10"/>
  <c r="E110" i="10" s="1"/>
  <c r="F78" i="10"/>
  <c r="F108" i="10" s="1"/>
  <c r="G78" i="10"/>
  <c r="G110" i="10" s="1"/>
  <c r="H78" i="10"/>
  <c r="I78" i="10"/>
  <c r="I110" i="10" s="1"/>
  <c r="C79" i="10"/>
  <c r="C126" i="10" s="1"/>
  <c r="D79" i="10"/>
  <c r="D126" i="10" s="1"/>
  <c r="E79" i="10"/>
  <c r="E126" i="10" s="1"/>
  <c r="F79" i="10"/>
  <c r="F126" i="10" s="1"/>
  <c r="G79" i="10"/>
  <c r="G123" i="10" s="1"/>
  <c r="H79" i="10"/>
  <c r="H123" i="10" s="1"/>
  <c r="I79" i="10"/>
  <c r="I123" i="10" s="1"/>
  <c r="C80" i="10"/>
  <c r="D80" i="10"/>
  <c r="E80" i="10"/>
  <c r="F80" i="10"/>
  <c r="G80" i="10"/>
  <c r="H80" i="10"/>
  <c r="I80" i="10"/>
  <c r="C81" i="10"/>
  <c r="D81" i="10"/>
  <c r="D102" i="10" s="1"/>
  <c r="E81" i="10"/>
  <c r="F81" i="10"/>
  <c r="G81" i="10"/>
  <c r="H81" i="10"/>
  <c r="I81" i="10"/>
  <c r="C82" i="10"/>
  <c r="D82" i="10"/>
  <c r="E82" i="10"/>
  <c r="F82" i="10"/>
  <c r="G82" i="10"/>
  <c r="H82" i="10"/>
  <c r="I82" i="10"/>
  <c r="C83" i="10"/>
  <c r="D83" i="10"/>
  <c r="E83" i="10"/>
  <c r="F83" i="10"/>
  <c r="G83" i="10"/>
  <c r="H83" i="10"/>
  <c r="I83" i="10"/>
  <c r="C84" i="10"/>
  <c r="C88" i="10" s="1"/>
  <c r="D84" i="10"/>
  <c r="D88" i="10" s="1"/>
  <c r="E84" i="10"/>
  <c r="E88" i="10" s="1"/>
  <c r="F84" i="10"/>
  <c r="G84" i="10"/>
  <c r="G88" i="10" s="1"/>
  <c r="G90" i="10" s="1"/>
  <c r="H84" i="10"/>
  <c r="H88" i="10" s="1"/>
  <c r="I84" i="10"/>
  <c r="I88" i="10" s="1"/>
  <c r="C85" i="10"/>
  <c r="C89" i="10" s="1"/>
  <c r="D85" i="10"/>
  <c r="D89" i="10" s="1"/>
  <c r="E85" i="10"/>
  <c r="E89" i="10" s="1"/>
  <c r="F85" i="10"/>
  <c r="G85" i="10"/>
  <c r="G89" i="10" s="1"/>
  <c r="H85" i="10"/>
  <c r="H89" i="10" s="1"/>
  <c r="I85" i="10"/>
  <c r="I89" i="10" s="1"/>
  <c r="C86" i="10"/>
  <c r="D86" i="10"/>
  <c r="E86" i="10"/>
  <c r="F86" i="10"/>
  <c r="G86" i="10"/>
  <c r="H86" i="10"/>
  <c r="I86" i="10"/>
  <c r="C87" i="10"/>
  <c r="D87" i="10"/>
  <c r="E87" i="10"/>
  <c r="F87" i="10"/>
  <c r="G87" i="10"/>
  <c r="H87" i="10"/>
  <c r="I87" i="10"/>
  <c r="D74" i="10"/>
  <c r="E74" i="10"/>
  <c r="F74" i="10"/>
  <c r="G74" i="10"/>
  <c r="H74" i="10"/>
  <c r="I74" i="10"/>
  <c r="C74" i="10"/>
  <c r="C143" i="10"/>
  <c r="D143" i="10"/>
  <c r="D166" i="10" s="1"/>
  <c r="E143" i="10"/>
  <c r="E168" i="10" s="1"/>
  <c r="F143" i="10"/>
  <c r="G143" i="10"/>
  <c r="H143" i="10"/>
  <c r="I143" i="10"/>
  <c r="C144" i="10"/>
  <c r="C174" i="10" s="1"/>
  <c r="D144" i="10"/>
  <c r="D172" i="10" s="1"/>
  <c r="E144" i="10"/>
  <c r="E174" i="10" s="1"/>
  <c r="F144" i="10"/>
  <c r="F172" i="10" s="1"/>
  <c r="G144" i="10"/>
  <c r="G174" i="10" s="1"/>
  <c r="H144" i="10"/>
  <c r="H174" i="10" s="1"/>
  <c r="I144" i="10"/>
  <c r="I174" i="10" s="1"/>
  <c r="C145" i="10"/>
  <c r="C180" i="10" s="1"/>
  <c r="D145" i="10"/>
  <c r="D182" i="10" s="1"/>
  <c r="E145" i="10"/>
  <c r="E182" i="10" s="1"/>
  <c r="F145" i="10"/>
  <c r="F180" i="10" s="1"/>
  <c r="G145" i="10"/>
  <c r="G180" i="10" s="1"/>
  <c r="H145" i="10"/>
  <c r="H182" i="10" s="1"/>
  <c r="I145" i="10"/>
  <c r="I182" i="10" s="1"/>
  <c r="C146" i="10"/>
  <c r="C178" i="10" s="1"/>
  <c r="D146" i="10"/>
  <c r="D176" i="10" s="1"/>
  <c r="E146" i="10"/>
  <c r="E178" i="10" s="1"/>
  <c r="F146" i="10"/>
  <c r="F178" i="10" s="1"/>
  <c r="G146" i="10"/>
  <c r="G178" i="10" s="1"/>
  <c r="H146" i="10"/>
  <c r="H178" i="10" s="1"/>
  <c r="I146" i="10"/>
  <c r="I178" i="10" s="1"/>
  <c r="C147" i="10"/>
  <c r="C195" i="10" s="1"/>
  <c r="D147" i="10"/>
  <c r="D191" i="10" s="1"/>
  <c r="E147" i="10"/>
  <c r="E195" i="10" s="1"/>
  <c r="F147" i="10"/>
  <c r="F195" i="10" s="1"/>
  <c r="G147" i="10"/>
  <c r="H147" i="10"/>
  <c r="H195" i="10" s="1"/>
  <c r="I147" i="10"/>
  <c r="I195" i="10" s="1"/>
  <c r="C148" i="10"/>
  <c r="D148" i="10"/>
  <c r="E148" i="10"/>
  <c r="F148" i="10"/>
  <c r="G148" i="10"/>
  <c r="H148" i="10"/>
  <c r="I148" i="10"/>
  <c r="C149" i="10"/>
  <c r="D149" i="10"/>
  <c r="E149" i="10"/>
  <c r="F149" i="10"/>
  <c r="G149" i="10"/>
  <c r="H149" i="10"/>
  <c r="I149" i="10"/>
  <c r="C150" i="10"/>
  <c r="D150" i="10"/>
  <c r="E150" i="10"/>
  <c r="F150" i="10"/>
  <c r="G150" i="10"/>
  <c r="H150" i="10"/>
  <c r="I150" i="10"/>
  <c r="C151" i="10"/>
  <c r="D151" i="10"/>
  <c r="E151" i="10"/>
  <c r="F151" i="10"/>
  <c r="G151" i="10"/>
  <c r="H151" i="10"/>
  <c r="I151" i="10"/>
  <c r="C152" i="10"/>
  <c r="D152" i="10"/>
  <c r="E152" i="10"/>
  <c r="E156" i="10" s="1"/>
  <c r="F152" i="10"/>
  <c r="F156" i="10" s="1"/>
  <c r="G152" i="10"/>
  <c r="G156" i="10" s="1"/>
  <c r="H152" i="10"/>
  <c r="H156" i="10" s="1"/>
  <c r="I152" i="10"/>
  <c r="I156" i="10" s="1"/>
  <c r="C153" i="10"/>
  <c r="D153" i="10"/>
  <c r="D157" i="10" s="1"/>
  <c r="E153" i="10"/>
  <c r="E157" i="10" s="1"/>
  <c r="F153" i="10"/>
  <c r="F157" i="10" s="1"/>
  <c r="G153" i="10"/>
  <c r="G157" i="10" s="1"/>
  <c r="H153" i="10"/>
  <c r="H157" i="10" s="1"/>
  <c r="I153" i="10"/>
  <c r="I157" i="10" s="1"/>
  <c r="C154" i="10"/>
  <c r="D154" i="10"/>
  <c r="E154" i="10"/>
  <c r="F154" i="10"/>
  <c r="G154" i="10"/>
  <c r="H154" i="10"/>
  <c r="I154" i="10"/>
  <c r="C155" i="10"/>
  <c r="C159" i="10" s="1"/>
  <c r="C183" i="10" s="1"/>
  <c r="C185" i="10" s="1"/>
  <c r="C199" i="10" s="1"/>
  <c r="C203" i="10" s="1"/>
  <c r="C207" i="10" s="1"/>
  <c r="D155" i="10"/>
  <c r="E155" i="10"/>
  <c r="F155" i="10"/>
  <c r="G155" i="10"/>
  <c r="H155" i="10"/>
  <c r="I155" i="10"/>
  <c r="D142" i="10"/>
  <c r="E142" i="10"/>
  <c r="F142" i="10"/>
  <c r="G142" i="10"/>
  <c r="H142" i="10"/>
  <c r="I142" i="10"/>
  <c r="C142" i="10"/>
  <c r="C86" i="1"/>
  <c r="C84" i="1"/>
  <c r="C77" i="1"/>
  <c r="C73" i="1"/>
  <c r="C69" i="1"/>
  <c r="C63" i="1"/>
  <c r="C61" i="1"/>
  <c r="C59" i="1"/>
  <c r="J185" i="10"/>
  <c r="J182" i="10"/>
  <c r="D180" i="10"/>
  <c r="K179" i="10"/>
  <c r="K180" i="10" s="1"/>
  <c r="J178" i="10"/>
  <c r="F176" i="10"/>
  <c r="K175" i="10"/>
  <c r="K176" i="10" s="1"/>
  <c r="J174" i="10"/>
  <c r="D174" i="10"/>
  <c r="K171" i="10"/>
  <c r="K172" i="10" s="1"/>
  <c r="C157" i="10"/>
  <c r="D156" i="10"/>
  <c r="C156" i="10"/>
  <c r="C3" i="10"/>
  <c r="C4" i="10"/>
  <c r="C34" i="10" s="1"/>
  <c r="C5" i="10"/>
  <c r="C40" i="10" s="1"/>
  <c r="C6" i="10"/>
  <c r="C38" i="10" s="1"/>
  <c r="C8" i="10"/>
  <c r="C9" i="10"/>
  <c r="C10" i="10"/>
  <c r="C11" i="10"/>
  <c r="C12" i="10"/>
  <c r="C13" i="10"/>
  <c r="C14" i="10"/>
  <c r="C15" i="10"/>
  <c r="C2" i="10"/>
  <c r="J117" i="10"/>
  <c r="J114" i="10"/>
  <c r="G114" i="10"/>
  <c r="F114" i="10"/>
  <c r="K111" i="10"/>
  <c r="K112" i="10" s="1"/>
  <c r="J110" i="10"/>
  <c r="H110" i="10"/>
  <c r="K107" i="10"/>
  <c r="K108" i="10" s="1"/>
  <c r="J106" i="10"/>
  <c r="K103" i="10"/>
  <c r="K104" i="10" s="1"/>
  <c r="F89" i="10"/>
  <c r="F88" i="10"/>
  <c r="K195" i="10"/>
  <c r="J195" i="10"/>
  <c r="G195" i="10"/>
  <c r="K190" i="10"/>
  <c r="K191" i="10" s="1"/>
  <c r="J190" i="10"/>
  <c r="J191" i="10" s="1"/>
  <c r="I190" i="10"/>
  <c r="H190" i="10"/>
  <c r="G190" i="10"/>
  <c r="F190" i="10"/>
  <c r="K188" i="10"/>
  <c r="K189" i="10" s="1"/>
  <c r="J188" i="10"/>
  <c r="J189" i="10" s="1"/>
  <c r="I188" i="10"/>
  <c r="H188" i="10"/>
  <c r="G188" i="10"/>
  <c r="F188" i="10"/>
  <c r="K169" i="10"/>
  <c r="K170" i="10" s="1"/>
  <c r="J169" i="10"/>
  <c r="J170" i="10" s="1"/>
  <c r="I169" i="10"/>
  <c r="H169" i="10"/>
  <c r="G169" i="10"/>
  <c r="F169" i="10"/>
  <c r="K167" i="10"/>
  <c r="K168" i="10" s="1"/>
  <c r="J167" i="10"/>
  <c r="J168" i="10" s="1"/>
  <c r="I167" i="10"/>
  <c r="H167" i="10"/>
  <c r="G167" i="10"/>
  <c r="F167" i="10"/>
  <c r="K165" i="10"/>
  <c r="K166" i="10" s="1"/>
  <c r="J165" i="10"/>
  <c r="J166" i="10" s="1"/>
  <c r="I165" i="10"/>
  <c r="H165" i="10"/>
  <c r="G165" i="10"/>
  <c r="F165" i="10"/>
  <c r="E164" i="10"/>
  <c r="K163" i="10"/>
  <c r="K164" i="10" s="1"/>
  <c r="J163" i="10"/>
  <c r="J164" i="10" s="1"/>
  <c r="I163" i="10"/>
  <c r="I164" i="10" s="1"/>
  <c r="H163" i="10"/>
  <c r="H164" i="10" s="1"/>
  <c r="G163" i="10"/>
  <c r="G164" i="10" s="1"/>
  <c r="F163" i="10"/>
  <c r="F164" i="10" s="1"/>
  <c r="K126" i="10"/>
  <c r="J126" i="10"/>
  <c r="K123" i="10"/>
  <c r="J123" i="10"/>
  <c r="K121" i="10"/>
  <c r="J121" i="10"/>
  <c r="K102" i="10"/>
  <c r="J102" i="10"/>
  <c r="K100" i="10"/>
  <c r="J100" i="10"/>
  <c r="E100" i="10"/>
  <c r="K98" i="10"/>
  <c r="J98" i="10"/>
  <c r="K96" i="10"/>
  <c r="J96" i="10"/>
  <c r="I96" i="10"/>
  <c r="H96" i="10"/>
  <c r="G96" i="10"/>
  <c r="F96" i="10"/>
  <c r="E96" i="10"/>
  <c r="K55" i="10"/>
  <c r="J55" i="10"/>
  <c r="K51" i="10"/>
  <c r="J51" i="10"/>
  <c r="J49" i="10"/>
  <c r="K48" i="10"/>
  <c r="K49" i="10" s="1"/>
  <c r="J45" i="10"/>
  <c r="J42" i="10"/>
  <c r="K39" i="10"/>
  <c r="K40" i="10" s="1"/>
  <c r="J38" i="10"/>
  <c r="K35" i="10"/>
  <c r="K36" i="10" s="1"/>
  <c r="J34" i="10"/>
  <c r="K31" i="10"/>
  <c r="K32" i="10" s="1"/>
  <c r="K29" i="10"/>
  <c r="K30" i="10" s="1"/>
  <c r="J29" i="10"/>
  <c r="J30" i="10" s="1"/>
  <c r="K27" i="10"/>
  <c r="K28" i="10" s="1"/>
  <c r="J27" i="10"/>
  <c r="J28" i="10" s="1"/>
  <c r="K25" i="10"/>
  <c r="K26" i="10" s="1"/>
  <c r="J25" i="10"/>
  <c r="J26" i="10" s="1"/>
  <c r="I24" i="10"/>
  <c r="H24" i="10"/>
  <c r="G24" i="10"/>
  <c r="F24" i="10"/>
  <c r="E24" i="10"/>
  <c r="K23" i="10"/>
  <c r="K24" i="10" s="1"/>
  <c r="J23" i="10"/>
  <c r="J24" i="10" s="1"/>
  <c r="G63" i="1"/>
  <c r="C30" i="10" l="1"/>
  <c r="C60" i="10" s="1"/>
  <c r="C114" i="10"/>
  <c r="D110" i="10"/>
  <c r="F55" i="10"/>
  <c r="D34" i="10"/>
  <c r="F49" i="10"/>
  <c r="F61" i="10" s="1"/>
  <c r="F65" i="10" s="1"/>
  <c r="E121" i="10"/>
  <c r="E170" i="10"/>
  <c r="E123" i="10"/>
  <c r="F42" i="10"/>
  <c r="I100" i="10"/>
  <c r="G102" i="10"/>
  <c r="I126" i="10"/>
  <c r="I121" i="10"/>
  <c r="I130" i="10" s="1"/>
  <c r="I134" i="10" s="1"/>
  <c r="H102" i="10"/>
  <c r="G182" i="10"/>
  <c r="G168" i="10"/>
  <c r="G166" i="10"/>
  <c r="J56" i="10"/>
  <c r="J57" i="10" s="1"/>
  <c r="J58" i="10" s="1"/>
  <c r="F28" i="10"/>
  <c r="D36" i="10"/>
  <c r="E180" i="10"/>
  <c r="K56" i="10"/>
  <c r="K57" i="10" s="1"/>
  <c r="K58" i="10" s="1"/>
  <c r="J127" i="10"/>
  <c r="G191" i="10"/>
  <c r="F104" i="10"/>
  <c r="C102" i="10"/>
  <c r="C129" i="10" s="1"/>
  <c r="C133" i="10" s="1"/>
  <c r="C137" i="10" s="1"/>
  <c r="G189" i="10"/>
  <c r="C91" i="1"/>
  <c r="C92" i="1" s="1"/>
  <c r="E17" i="10"/>
  <c r="G30" i="10"/>
  <c r="E30" i="10"/>
  <c r="I26" i="10"/>
  <c r="I60" i="10" s="1"/>
  <c r="I64" i="10" s="1"/>
  <c r="E55" i="10"/>
  <c r="F17" i="10"/>
  <c r="H16" i="10"/>
  <c r="D16" i="10"/>
  <c r="D30" i="10"/>
  <c r="E26" i="10"/>
  <c r="I55" i="10"/>
  <c r="D121" i="10"/>
  <c r="F121" i="10"/>
  <c r="F168" i="10"/>
  <c r="G38" i="10"/>
  <c r="E106" i="10"/>
  <c r="G172" i="10"/>
  <c r="E176" i="10"/>
  <c r="H100" i="10"/>
  <c r="F166" i="10"/>
  <c r="G34" i="10"/>
  <c r="G108" i="10"/>
  <c r="C172" i="10"/>
  <c r="F36" i="10"/>
  <c r="F16" i="10"/>
  <c r="G100" i="10"/>
  <c r="E114" i="10"/>
  <c r="I158" i="10"/>
  <c r="I159" i="10" s="1"/>
  <c r="I183" i="10" s="1"/>
  <c r="I185" i="10" s="1"/>
  <c r="I199" i="10" s="1"/>
  <c r="I203" i="10" s="1"/>
  <c r="I207" i="10" s="1"/>
  <c r="E49" i="10"/>
  <c r="H121" i="10"/>
  <c r="D123" i="10"/>
  <c r="H126" i="10"/>
  <c r="F191" i="10"/>
  <c r="E42" i="10"/>
  <c r="G104" i="10"/>
  <c r="E108" i="10"/>
  <c r="D170" i="10"/>
  <c r="C170" i="10"/>
  <c r="C197" i="10" s="1"/>
  <c r="C201" i="10" s="1"/>
  <c r="C205" i="10" s="1"/>
  <c r="F102" i="10"/>
  <c r="H30" i="10"/>
  <c r="F30" i="10"/>
  <c r="H17" i="10"/>
  <c r="D158" i="10"/>
  <c r="D159" i="10" s="1"/>
  <c r="D183" i="10" s="1"/>
  <c r="D185" i="10" s="1"/>
  <c r="D199" i="10" s="1"/>
  <c r="D203" i="10" s="1"/>
  <c r="D207" i="10" s="1"/>
  <c r="I49" i="10"/>
  <c r="I61" i="10" s="1"/>
  <c r="I65" i="10" s="1"/>
  <c r="I170" i="10"/>
  <c r="F189" i="10"/>
  <c r="C108" i="10"/>
  <c r="E158" i="10"/>
  <c r="E159" i="10" s="1"/>
  <c r="E183" i="10" s="1"/>
  <c r="E185" i="10" s="1"/>
  <c r="E199" i="10" s="1"/>
  <c r="E203" i="10" s="1"/>
  <c r="E207" i="10" s="1"/>
  <c r="G91" i="10"/>
  <c r="G115" i="10" s="1"/>
  <c r="G117" i="10" s="1"/>
  <c r="G131" i="10" s="1"/>
  <c r="G135" i="10" s="1"/>
  <c r="I102" i="10"/>
  <c r="E102" i="10"/>
  <c r="E129" i="10" s="1"/>
  <c r="E133" i="10" s="1"/>
  <c r="D49" i="10"/>
  <c r="D195" i="10"/>
  <c r="C32" i="10"/>
  <c r="G176" i="10"/>
  <c r="C182" i="10"/>
  <c r="C198" i="10" s="1"/>
  <c r="C202" i="10" s="1"/>
  <c r="C206" i="10" s="1"/>
  <c r="H158" i="10"/>
  <c r="H159" i="10" s="1"/>
  <c r="H183" i="10" s="1"/>
  <c r="H185" i="10" s="1"/>
  <c r="H199" i="10" s="1"/>
  <c r="H203" i="10" s="1"/>
  <c r="H207" i="10" s="1"/>
  <c r="F123" i="10"/>
  <c r="H166" i="10"/>
  <c r="F32" i="10"/>
  <c r="H49" i="10"/>
  <c r="D55" i="10"/>
  <c r="H168" i="10"/>
  <c r="D168" i="10"/>
  <c r="C36" i="10"/>
  <c r="G17" i="10"/>
  <c r="G18" i="10" s="1"/>
  <c r="G19" i="10" s="1"/>
  <c r="G43" i="10" s="1"/>
  <c r="G45" i="10" s="1"/>
  <c r="G62" i="10" s="1"/>
  <c r="G66" i="10" s="1"/>
  <c r="F90" i="10"/>
  <c r="F91" i="10" s="1"/>
  <c r="F115" i="10" s="1"/>
  <c r="F117" i="10" s="1"/>
  <c r="F131" i="10" s="1"/>
  <c r="F135" i="10" s="1"/>
  <c r="I16" i="10"/>
  <c r="I18" i="10" s="1"/>
  <c r="I19" i="10" s="1"/>
  <c r="I43" i="10" s="1"/>
  <c r="I45" i="10" s="1"/>
  <c r="I62" i="10" s="1"/>
  <c r="I66" i="10" s="1"/>
  <c r="H55" i="10"/>
  <c r="H170" i="10"/>
  <c r="C104" i="10"/>
  <c r="E172" i="10"/>
  <c r="C176" i="10"/>
  <c r="F158" i="10"/>
  <c r="F159" i="10" s="1"/>
  <c r="F183" i="10" s="1"/>
  <c r="F185" i="10" s="1"/>
  <c r="F199" i="10" s="1"/>
  <c r="F203" i="10" s="1"/>
  <c r="F207" i="10" s="1"/>
  <c r="H90" i="10"/>
  <c r="H91" i="10" s="1"/>
  <c r="H115" i="10" s="1"/>
  <c r="H117" i="10" s="1"/>
  <c r="H131" i="10" s="1"/>
  <c r="H135" i="10" s="1"/>
  <c r="F100" i="10"/>
  <c r="E38" i="10"/>
  <c r="E90" i="10"/>
  <c r="E91" i="10" s="1"/>
  <c r="E115" i="10" s="1"/>
  <c r="E117" i="10" s="1"/>
  <c r="E131" i="10" s="1"/>
  <c r="E135" i="10" s="1"/>
  <c r="G158" i="10"/>
  <c r="G159" i="10" s="1"/>
  <c r="G183" i="10" s="1"/>
  <c r="G185" i="10" s="1"/>
  <c r="G199" i="10" s="1"/>
  <c r="G203" i="10" s="1"/>
  <c r="G207" i="10" s="1"/>
  <c r="D26" i="10"/>
  <c r="H26" i="10"/>
  <c r="D40" i="10"/>
  <c r="H42" i="10"/>
  <c r="G49" i="10"/>
  <c r="G55" i="10"/>
  <c r="G126" i="10"/>
  <c r="F170" i="10"/>
  <c r="I189" i="10"/>
  <c r="E189" i="10"/>
  <c r="I191" i="10"/>
  <c r="E191" i="10"/>
  <c r="E34" i="10"/>
  <c r="G42" i="10"/>
  <c r="C42" i="10"/>
  <c r="C61" i="10" s="1"/>
  <c r="C65" i="10" s="1"/>
  <c r="E16" i="10"/>
  <c r="D106" i="10"/>
  <c r="F110" i="10"/>
  <c r="D114" i="10"/>
  <c r="C16" i="10"/>
  <c r="F174" i="10"/>
  <c r="D178" i="10"/>
  <c r="F182" i="10"/>
  <c r="G170" i="10"/>
  <c r="I90" i="10"/>
  <c r="I91" i="10" s="1"/>
  <c r="I115" i="10" s="1"/>
  <c r="I117" i="10" s="1"/>
  <c r="I131" i="10" s="1"/>
  <c r="I135" i="10" s="1"/>
  <c r="G26" i="10"/>
  <c r="G121" i="10"/>
  <c r="G130" i="10" s="1"/>
  <c r="G134" i="10" s="1"/>
  <c r="I166" i="10"/>
  <c r="E166" i="10"/>
  <c r="I168" i="10"/>
  <c r="H189" i="10"/>
  <c r="D189" i="10"/>
  <c r="H191" i="10"/>
  <c r="C17" i="10"/>
  <c r="D17" i="10"/>
  <c r="D90" i="10"/>
  <c r="D91" i="10" s="1"/>
  <c r="D115" i="10" s="1"/>
  <c r="D117" i="10" s="1"/>
  <c r="C90" i="10"/>
  <c r="C91" i="10" s="1"/>
  <c r="C115" i="10" s="1"/>
  <c r="C117" i="10" s="1"/>
  <c r="D129" i="10"/>
  <c r="D133" i="10" s="1"/>
  <c r="C130" i="10"/>
  <c r="C134" i="10" s="1"/>
  <c r="C138" i="10" s="1"/>
  <c r="C64" i="10"/>
  <c r="K127" i="10"/>
  <c r="I82" i="1"/>
  <c r="D61" i="10" l="1"/>
  <c r="D65" i="10" s="1"/>
  <c r="E197" i="10"/>
  <c r="E201" i="10" s="1"/>
  <c r="D18" i="10"/>
  <c r="D19" i="10" s="1"/>
  <c r="D43" i="10" s="1"/>
  <c r="D45" i="10" s="1"/>
  <c r="D62" i="10" s="1"/>
  <c r="D66" i="10" s="1"/>
  <c r="D137" i="10"/>
  <c r="H18" i="10"/>
  <c r="H19" i="10" s="1"/>
  <c r="H43" i="10" s="1"/>
  <c r="H45" i="10" s="1"/>
  <c r="H62" i="10" s="1"/>
  <c r="H66" i="10" s="1"/>
  <c r="G129" i="10"/>
  <c r="G133" i="10" s="1"/>
  <c r="G137" i="10" s="1"/>
  <c r="F60" i="10"/>
  <c r="F64" i="10" s="1"/>
  <c r="F68" i="10" s="1"/>
  <c r="F18" i="10"/>
  <c r="F19" i="10" s="1"/>
  <c r="F43" i="10" s="1"/>
  <c r="F45" i="10" s="1"/>
  <c r="F62" i="10" s="1"/>
  <c r="F66" i="10" s="1"/>
  <c r="I127" i="10"/>
  <c r="H129" i="10"/>
  <c r="H133" i="10" s="1"/>
  <c r="H137" i="10" s="1"/>
  <c r="G198" i="10"/>
  <c r="G202" i="10" s="1"/>
  <c r="G206" i="10" s="1"/>
  <c r="G197" i="10"/>
  <c r="G201" i="10" s="1"/>
  <c r="G205" i="10" s="1"/>
  <c r="G60" i="10"/>
  <c r="G64" i="10" s="1"/>
  <c r="F130" i="10"/>
  <c r="F134" i="10" s="1"/>
  <c r="F138" i="10" s="1"/>
  <c r="H127" i="10"/>
  <c r="D60" i="10"/>
  <c r="D64" i="10" s="1"/>
  <c r="E18" i="10"/>
  <c r="E19" i="10" s="1"/>
  <c r="E43" i="10" s="1"/>
  <c r="E45" i="10" s="1"/>
  <c r="E62" i="10" s="1"/>
  <c r="E66" i="10" s="1"/>
  <c r="E137" i="10"/>
  <c r="E130" i="10"/>
  <c r="E134" i="10" s="1"/>
  <c r="E138" i="10" s="1"/>
  <c r="E60" i="10"/>
  <c r="E64" i="10" s="1"/>
  <c r="E68" i="10" s="1"/>
  <c r="I56" i="10"/>
  <c r="I57" i="10" s="1"/>
  <c r="F197" i="10"/>
  <c r="F201" i="10" s="1"/>
  <c r="F205" i="10" s="1"/>
  <c r="D197" i="10"/>
  <c r="D201" i="10" s="1"/>
  <c r="D205" i="10" s="1"/>
  <c r="E127" i="10"/>
  <c r="D198" i="10"/>
  <c r="D202" i="10" s="1"/>
  <c r="D206" i="10" s="1"/>
  <c r="H60" i="10"/>
  <c r="H64" i="10" s="1"/>
  <c r="H68" i="10" s="1"/>
  <c r="E205" i="10"/>
  <c r="H130" i="10"/>
  <c r="H134" i="10" s="1"/>
  <c r="H138" i="10" s="1"/>
  <c r="I129" i="10"/>
  <c r="I133" i="10" s="1"/>
  <c r="I137" i="10" s="1"/>
  <c r="G127" i="10"/>
  <c r="I198" i="10"/>
  <c r="I202" i="10" s="1"/>
  <c r="I206" i="10" s="1"/>
  <c r="H197" i="10"/>
  <c r="H201" i="10" s="1"/>
  <c r="H205" i="10" s="1"/>
  <c r="E56" i="10"/>
  <c r="E58" i="10" s="1"/>
  <c r="G138" i="10"/>
  <c r="C18" i="10"/>
  <c r="C19" i="10" s="1"/>
  <c r="C43" i="10" s="1"/>
  <c r="C45" i="10" s="1"/>
  <c r="C62" i="10" s="1"/>
  <c r="C66" i="10" s="1"/>
  <c r="G61" i="10"/>
  <c r="G65" i="10" s="1"/>
  <c r="G69" i="10" s="1"/>
  <c r="F127" i="10"/>
  <c r="E61" i="10"/>
  <c r="E65" i="10" s="1"/>
  <c r="E69" i="10" s="1"/>
  <c r="F129" i="10"/>
  <c r="F133" i="10" s="1"/>
  <c r="F137" i="10" s="1"/>
  <c r="I197" i="10"/>
  <c r="I201" i="10" s="1"/>
  <c r="I205" i="10" s="1"/>
  <c r="F198" i="10"/>
  <c r="F202" i="10" s="1"/>
  <c r="F206" i="10" s="1"/>
  <c r="D130" i="10"/>
  <c r="D134" i="10" s="1"/>
  <c r="D138" i="10" s="1"/>
  <c r="H61" i="10"/>
  <c r="H65" i="10" s="1"/>
  <c r="H69" i="10" s="1"/>
  <c r="G56" i="10"/>
  <c r="G58" i="10" s="1"/>
  <c r="I138" i="10"/>
  <c r="E198" i="10"/>
  <c r="E202" i="10" s="1"/>
  <c r="E206" i="10" s="1"/>
  <c r="H198" i="10"/>
  <c r="H202" i="10" s="1"/>
  <c r="H206" i="10" s="1"/>
  <c r="C131" i="10"/>
  <c r="C135" i="10" s="1"/>
  <c r="C127" i="10"/>
  <c r="D131" i="10"/>
  <c r="D135" i="10" s="1"/>
  <c r="D127" i="10"/>
  <c r="G68" i="10"/>
  <c r="I68" i="10"/>
  <c r="C68" i="10"/>
  <c r="F69" i="10"/>
  <c r="I69" i="10"/>
  <c r="C69" i="10"/>
  <c r="I84" i="1"/>
  <c r="C21" i="8"/>
  <c r="C20" i="8"/>
  <c r="H3" i="8"/>
  <c r="I3" i="8"/>
  <c r="J3" i="8"/>
  <c r="K3" i="8"/>
  <c r="L3" i="8"/>
  <c r="M3" i="8"/>
  <c r="N3" i="8"/>
  <c r="H4" i="8"/>
  <c r="I4" i="8"/>
  <c r="J4" i="8"/>
  <c r="K4" i="8"/>
  <c r="L4" i="8"/>
  <c r="M4" i="8"/>
  <c r="N4" i="8"/>
  <c r="H5" i="8"/>
  <c r="I5" i="8"/>
  <c r="J5" i="8"/>
  <c r="K5" i="8"/>
  <c r="L5" i="8"/>
  <c r="M5" i="8"/>
  <c r="N5" i="8"/>
  <c r="H6" i="8"/>
  <c r="I6" i="8"/>
  <c r="J6" i="8"/>
  <c r="K6" i="8"/>
  <c r="L6" i="8"/>
  <c r="M6" i="8"/>
  <c r="N6" i="8"/>
  <c r="H7" i="8"/>
  <c r="I7" i="8"/>
  <c r="J7" i="8"/>
  <c r="K7" i="8"/>
  <c r="L7" i="8"/>
  <c r="M7" i="8"/>
  <c r="N7" i="8"/>
  <c r="H8" i="8"/>
  <c r="I8" i="8"/>
  <c r="J8" i="8"/>
  <c r="K8" i="8"/>
  <c r="L8" i="8"/>
  <c r="M8" i="8"/>
  <c r="N8" i="8"/>
  <c r="H9" i="8"/>
  <c r="I9" i="8"/>
  <c r="J9" i="8"/>
  <c r="K9" i="8"/>
  <c r="L9" i="8"/>
  <c r="M9" i="8"/>
  <c r="N9" i="8"/>
  <c r="H10" i="8"/>
  <c r="I10" i="8"/>
  <c r="J10" i="8"/>
  <c r="K10" i="8"/>
  <c r="L10" i="8"/>
  <c r="M10" i="8"/>
  <c r="N10" i="8"/>
  <c r="H11" i="8"/>
  <c r="I11" i="8"/>
  <c r="J11" i="8"/>
  <c r="K11" i="8"/>
  <c r="L11" i="8"/>
  <c r="M11" i="8"/>
  <c r="N11" i="8"/>
  <c r="H12" i="8"/>
  <c r="I12" i="8"/>
  <c r="J12" i="8"/>
  <c r="K12" i="8"/>
  <c r="L12" i="8"/>
  <c r="M12" i="8"/>
  <c r="N12" i="8"/>
  <c r="H13" i="8"/>
  <c r="I13" i="8"/>
  <c r="J13" i="8"/>
  <c r="K13" i="8"/>
  <c r="L13" i="8"/>
  <c r="M13" i="8"/>
  <c r="N13" i="8"/>
  <c r="H14" i="8"/>
  <c r="I14" i="8"/>
  <c r="J14" i="8"/>
  <c r="K14" i="8"/>
  <c r="L14" i="8"/>
  <c r="M14" i="8"/>
  <c r="N14" i="8"/>
  <c r="H15" i="8"/>
  <c r="I15" i="8"/>
  <c r="J15" i="8"/>
  <c r="K15" i="8"/>
  <c r="L15" i="8"/>
  <c r="M15" i="8"/>
  <c r="N15" i="8"/>
  <c r="H16" i="8"/>
  <c r="I16" i="8"/>
  <c r="J16" i="8"/>
  <c r="K16" i="8"/>
  <c r="L16" i="8"/>
  <c r="M16" i="8"/>
  <c r="N16" i="8"/>
  <c r="L20" i="8"/>
  <c r="M20" i="8"/>
  <c r="N20" i="8"/>
  <c r="L21" i="8"/>
  <c r="M21" i="8"/>
  <c r="N21" i="8"/>
  <c r="L22" i="8"/>
  <c r="M22" i="8"/>
  <c r="N22" i="8"/>
  <c r="K23" i="8"/>
  <c r="L23" i="8"/>
  <c r="M23" i="8"/>
  <c r="N23" i="8"/>
  <c r="L25" i="8"/>
  <c r="M25" i="8"/>
  <c r="N25" i="8"/>
  <c r="L26" i="8"/>
  <c r="M26" i="8"/>
  <c r="N26" i="8"/>
  <c r="H27" i="8"/>
  <c r="I27" i="8"/>
  <c r="J27" i="8"/>
  <c r="K27" i="8"/>
  <c r="L27" i="8"/>
  <c r="M27" i="8"/>
  <c r="N27" i="8"/>
  <c r="K31" i="8"/>
  <c r="K30" i="8" s="1"/>
  <c r="L31" i="8"/>
  <c r="L30" i="8" s="1"/>
  <c r="M31" i="8"/>
  <c r="M30" i="8" s="1"/>
  <c r="N31" i="8"/>
  <c r="N30" i="8" s="1"/>
  <c r="G16" i="8"/>
  <c r="F16" i="8"/>
  <c r="E16" i="8"/>
  <c r="D16" i="8"/>
  <c r="C16" i="8"/>
  <c r="G15" i="8"/>
  <c r="F15" i="8"/>
  <c r="E15" i="8"/>
  <c r="D15" i="8"/>
  <c r="C15" i="8"/>
  <c r="G14" i="8"/>
  <c r="F14" i="8"/>
  <c r="E14" i="8"/>
  <c r="D14" i="8"/>
  <c r="C14" i="8"/>
  <c r="G13" i="8"/>
  <c r="F13" i="8"/>
  <c r="E13" i="8"/>
  <c r="D13" i="8"/>
  <c r="C13" i="8"/>
  <c r="G12" i="8"/>
  <c r="F12" i="8"/>
  <c r="E12" i="8"/>
  <c r="D12" i="8"/>
  <c r="C12" i="8"/>
  <c r="G11" i="8"/>
  <c r="F11" i="8"/>
  <c r="E11" i="8"/>
  <c r="D11" i="8"/>
  <c r="C11" i="8"/>
  <c r="G10" i="8"/>
  <c r="F10" i="8"/>
  <c r="E10" i="8"/>
  <c r="D10" i="8"/>
  <c r="C10" i="8"/>
  <c r="G9" i="8"/>
  <c r="F9" i="8"/>
  <c r="E9" i="8"/>
  <c r="D9" i="8"/>
  <c r="C9" i="8"/>
  <c r="G8" i="8"/>
  <c r="F8" i="8"/>
  <c r="E8" i="8"/>
  <c r="D8" i="8"/>
  <c r="C8" i="8"/>
  <c r="G7" i="8"/>
  <c r="F7" i="8"/>
  <c r="E7" i="8"/>
  <c r="D7" i="8"/>
  <c r="C7" i="8"/>
  <c r="G6" i="8"/>
  <c r="F6" i="8"/>
  <c r="E6" i="8"/>
  <c r="D6" i="8"/>
  <c r="C6" i="8"/>
  <c r="G5" i="8"/>
  <c r="F5" i="8"/>
  <c r="E5" i="8"/>
  <c r="D5" i="8"/>
  <c r="C5" i="8"/>
  <c r="G4" i="8"/>
  <c r="F4" i="8"/>
  <c r="E4" i="8"/>
  <c r="D4" i="8"/>
  <c r="C4" i="8"/>
  <c r="G3" i="8"/>
  <c r="F3" i="8"/>
  <c r="E3" i="8"/>
  <c r="D3" i="8"/>
  <c r="C3" i="8"/>
  <c r="W65" i="8"/>
  <c r="G31" i="8"/>
  <c r="G30" i="8" s="1"/>
  <c r="F31" i="8"/>
  <c r="F30" i="8" s="1"/>
  <c r="E31" i="8"/>
  <c r="E30" i="8" s="1"/>
  <c r="D31" i="8"/>
  <c r="D30" i="8" s="1"/>
  <c r="C31" i="8"/>
  <c r="C30" i="8" s="1"/>
  <c r="G27" i="8"/>
  <c r="F27" i="8"/>
  <c r="E27" i="8"/>
  <c r="D27" i="8"/>
  <c r="C27" i="8"/>
  <c r="D26" i="8"/>
  <c r="C26" i="8"/>
  <c r="G23" i="8"/>
  <c r="F23" i="8"/>
  <c r="E23" i="8"/>
  <c r="D23" i="8"/>
  <c r="C23" i="8"/>
  <c r="C22" i="8"/>
  <c r="I90" i="1"/>
  <c r="H90" i="1"/>
  <c r="G90" i="1"/>
  <c r="F90" i="1"/>
  <c r="E90" i="1"/>
  <c r="D90" i="1"/>
  <c r="C90" i="1"/>
  <c r="E86" i="1"/>
  <c r="D86" i="1"/>
  <c r="I86" i="1"/>
  <c r="H86" i="1"/>
  <c r="G86" i="1"/>
  <c r="F86" i="1"/>
  <c r="E84" i="1"/>
  <c r="D84" i="1"/>
  <c r="H84" i="1"/>
  <c r="G84" i="1"/>
  <c r="F84" i="1"/>
  <c r="H82" i="1"/>
  <c r="I79" i="1"/>
  <c r="H79" i="1"/>
  <c r="E77" i="1"/>
  <c r="D77" i="1"/>
  <c r="G77" i="1"/>
  <c r="F77" i="1"/>
  <c r="I75" i="1"/>
  <c r="H75" i="1"/>
  <c r="E73" i="1"/>
  <c r="D73" i="1"/>
  <c r="I71" i="1"/>
  <c r="E69" i="1"/>
  <c r="D69" i="1"/>
  <c r="E63" i="1"/>
  <c r="D63" i="1"/>
  <c r="I63" i="1"/>
  <c r="H63" i="1"/>
  <c r="F63" i="1"/>
  <c r="E61" i="1"/>
  <c r="D61" i="1"/>
  <c r="I61" i="1"/>
  <c r="H61" i="1"/>
  <c r="E59" i="1"/>
  <c r="D59" i="1"/>
  <c r="E57" i="1"/>
  <c r="F56" i="10" l="1"/>
  <c r="F58" i="10" s="1"/>
  <c r="H56" i="10"/>
  <c r="H57" i="10" s="1"/>
  <c r="D56" i="10"/>
  <c r="D57" i="10" s="1"/>
  <c r="I28" i="8"/>
  <c r="I29" i="8" s="1"/>
  <c r="D91" i="1"/>
  <c r="D92" i="1" s="1"/>
  <c r="E91" i="1"/>
  <c r="E92" i="1" s="1"/>
  <c r="E57" i="10"/>
  <c r="N28" i="8"/>
  <c r="N29" i="8" s="1"/>
  <c r="J28" i="8"/>
  <c r="J29" i="8" s="1"/>
  <c r="E17" i="8"/>
  <c r="E18" i="8" s="1"/>
  <c r="K28" i="8"/>
  <c r="K29" i="8" s="1"/>
  <c r="I58" i="10"/>
  <c r="F57" i="10"/>
  <c r="C56" i="10"/>
  <c r="C57" i="10" s="1"/>
  <c r="G57" i="10"/>
  <c r="L28" i="8"/>
  <c r="L29" i="8" s="1"/>
  <c r="H28" i="8"/>
  <c r="H29" i="8" s="1"/>
  <c r="F70" i="10"/>
  <c r="I70" i="10"/>
  <c r="G70" i="10"/>
  <c r="E70" i="10"/>
  <c r="N24" i="8"/>
  <c r="M28" i="8"/>
  <c r="M29" i="8" s="1"/>
  <c r="M17" i="8"/>
  <c r="M19" i="8" s="1"/>
  <c r="I17" i="8"/>
  <c r="I18" i="8" s="1"/>
  <c r="D139" i="10"/>
  <c r="C17" i="8"/>
  <c r="C19" i="8" s="1"/>
  <c r="G17" i="8"/>
  <c r="G19" i="8" s="1"/>
  <c r="H58" i="10"/>
  <c r="M24" i="8"/>
  <c r="L17" i="8"/>
  <c r="L19" i="8" s="1"/>
  <c r="H17" i="8"/>
  <c r="H19" i="8" s="1"/>
  <c r="K17" i="8"/>
  <c r="K18" i="8" s="1"/>
  <c r="L24" i="8"/>
  <c r="N17" i="8"/>
  <c r="N18" i="8" s="1"/>
  <c r="J17" i="8"/>
  <c r="J18" i="8" s="1"/>
  <c r="C24" i="8"/>
  <c r="D17" i="8"/>
  <c r="D18" i="8" s="1"/>
  <c r="F17" i="8"/>
  <c r="F18" i="8" s="1"/>
  <c r="H70" i="10"/>
  <c r="C70" i="10"/>
  <c r="C139" i="10"/>
  <c r="E139" i="10"/>
  <c r="F139" i="10"/>
  <c r="G139" i="10"/>
  <c r="H139" i="10"/>
  <c r="I139" i="10"/>
  <c r="C28" i="8"/>
  <c r="C29" i="8" s="1"/>
  <c r="D28" i="8"/>
  <c r="D29" i="8" s="1"/>
  <c r="E28" i="8"/>
  <c r="E29" i="8" s="1"/>
  <c r="F28" i="8"/>
  <c r="F29" i="8" s="1"/>
  <c r="G28" i="8"/>
  <c r="G29" i="8" s="1"/>
  <c r="C25" i="8"/>
  <c r="D58" i="10" l="1"/>
  <c r="E19" i="8"/>
  <c r="F19" i="8"/>
  <c r="C18" i="8"/>
  <c r="M18" i="8"/>
  <c r="G18" i="8"/>
  <c r="H18" i="8"/>
  <c r="C58" i="10"/>
  <c r="I19" i="8"/>
  <c r="J19" i="8"/>
  <c r="K19" i="8"/>
  <c r="D19" i="8"/>
  <c r="L18" i="8"/>
  <c r="N19" i="8"/>
  <c r="G2" i="5"/>
  <c r="G3" i="5"/>
  <c r="G4" i="5"/>
  <c r="G5" i="5"/>
  <c r="G6" i="5"/>
  <c r="G7" i="5"/>
  <c r="G8" i="5"/>
  <c r="G18" i="5" s="1"/>
  <c r="G9" i="5"/>
  <c r="G26" i="5" s="1"/>
  <c r="G10" i="5"/>
  <c r="G22" i="5" s="1"/>
  <c r="G11" i="5"/>
  <c r="G12" i="5"/>
  <c r="G13" i="5"/>
  <c r="G14" i="5"/>
  <c r="G15" i="5"/>
  <c r="G49" i="5"/>
  <c r="G50" i="5"/>
  <c r="G51" i="5"/>
  <c r="G52" i="5"/>
  <c r="G53" i="5"/>
  <c r="G54" i="5"/>
  <c r="G55" i="5"/>
  <c r="G65" i="5" s="1"/>
  <c r="G56" i="5"/>
  <c r="G73" i="5" s="1"/>
  <c r="G57" i="5"/>
  <c r="G69" i="5" s="1"/>
  <c r="G58" i="5"/>
  <c r="G59" i="5"/>
  <c r="G60" i="5"/>
  <c r="G61" i="5"/>
  <c r="G62" i="5"/>
  <c r="H23" i="8"/>
  <c r="J23" i="8"/>
  <c r="I23" i="8"/>
  <c r="J21" i="8"/>
  <c r="I21" i="8"/>
  <c r="J20" i="8"/>
  <c r="I20" i="8"/>
  <c r="H21" i="8"/>
  <c r="H20" i="8"/>
  <c r="K21" i="8"/>
  <c r="K22" i="8"/>
  <c r="K20" i="8"/>
  <c r="H139" i="1"/>
  <c r="H140" i="1" s="1"/>
  <c r="I139" i="1"/>
  <c r="I140" i="1" s="1"/>
  <c r="H141" i="1"/>
  <c r="H142" i="1" s="1"/>
  <c r="I141" i="1"/>
  <c r="I142" i="1" s="1"/>
  <c r="H113" i="1"/>
  <c r="I113" i="1"/>
  <c r="J26" i="8"/>
  <c r="K26" i="8"/>
  <c r="H115" i="1"/>
  <c r="I115" i="1"/>
  <c r="H57" i="1"/>
  <c r="I57" i="1"/>
  <c r="I91" i="1" s="1"/>
  <c r="I92" i="1" s="1"/>
  <c r="H117" i="1"/>
  <c r="I117" i="1"/>
  <c r="C50" i="5"/>
  <c r="D50" i="5"/>
  <c r="E50" i="5"/>
  <c r="C51" i="5"/>
  <c r="D51" i="5"/>
  <c r="E51" i="5"/>
  <c r="C52" i="5"/>
  <c r="D52" i="5"/>
  <c r="E52" i="5"/>
  <c r="C53" i="5"/>
  <c r="D53" i="5"/>
  <c r="E53" i="5"/>
  <c r="C55" i="5"/>
  <c r="C65" i="5" s="1"/>
  <c r="D55" i="5"/>
  <c r="E55" i="5"/>
  <c r="E65" i="5" s="1"/>
  <c r="C56" i="5"/>
  <c r="C73" i="5" s="1"/>
  <c r="D56" i="5"/>
  <c r="D73" i="5" s="1"/>
  <c r="E56" i="5"/>
  <c r="E73" i="5" s="1"/>
  <c r="C57" i="5"/>
  <c r="C69" i="5" s="1"/>
  <c r="D57" i="5"/>
  <c r="E57" i="5"/>
  <c r="E69" i="5" s="1"/>
  <c r="E58" i="5"/>
  <c r="C59" i="5"/>
  <c r="D59" i="5"/>
  <c r="E59" i="5"/>
  <c r="C60" i="5"/>
  <c r="D60" i="5"/>
  <c r="E60" i="5"/>
  <c r="C61" i="5"/>
  <c r="D61" i="5"/>
  <c r="E61" i="5"/>
  <c r="C62" i="5"/>
  <c r="D62" i="5"/>
  <c r="E62" i="5"/>
  <c r="F60" i="5"/>
  <c r="F61" i="5"/>
  <c r="F62" i="5"/>
  <c r="F59" i="5"/>
  <c r="F56" i="5"/>
  <c r="F73" i="5" s="1"/>
  <c r="F57" i="5"/>
  <c r="F69" i="5" s="1"/>
  <c r="F58" i="5"/>
  <c r="F55" i="5"/>
  <c r="F65" i="5" s="1"/>
  <c r="F52" i="5"/>
  <c r="F53" i="5"/>
  <c r="F54" i="5"/>
  <c r="F51" i="5"/>
  <c r="F50" i="5"/>
  <c r="D49" i="5"/>
  <c r="E49" i="5"/>
  <c r="F49" i="5"/>
  <c r="C49" i="5"/>
  <c r="C2" i="5"/>
  <c r="C3" i="5"/>
  <c r="C4" i="5"/>
  <c r="C5" i="5"/>
  <c r="C6" i="5"/>
  <c r="C7" i="5"/>
  <c r="C8" i="5"/>
  <c r="C18" i="5" s="1"/>
  <c r="C9" i="5"/>
  <c r="C26" i="5" s="1"/>
  <c r="C10" i="5"/>
  <c r="C22" i="5" s="1"/>
  <c r="C11" i="5"/>
  <c r="C12" i="5"/>
  <c r="C13" i="5"/>
  <c r="C14" i="5"/>
  <c r="C15" i="5"/>
  <c r="D2" i="5"/>
  <c r="E2" i="5"/>
  <c r="D3" i="5"/>
  <c r="E3" i="5"/>
  <c r="D4" i="5"/>
  <c r="E4" i="5"/>
  <c r="D5" i="5"/>
  <c r="E5" i="5"/>
  <c r="D6" i="5"/>
  <c r="E6" i="5"/>
  <c r="D7" i="5"/>
  <c r="E7" i="5"/>
  <c r="D8" i="5"/>
  <c r="C31" i="5" s="1"/>
  <c r="E8" i="5"/>
  <c r="E18" i="5" s="1"/>
  <c r="D9" i="5"/>
  <c r="C32" i="5" s="1"/>
  <c r="E9" i="5"/>
  <c r="E26" i="5" s="1"/>
  <c r="D10" i="5"/>
  <c r="C33" i="5" s="1"/>
  <c r="E10" i="5"/>
  <c r="E22" i="5" s="1"/>
  <c r="D11" i="5"/>
  <c r="C34" i="5" s="1"/>
  <c r="E11" i="5"/>
  <c r="D12" i="5"/>
  <c r="E12" i="5"/>
  <c r="D13" i="5"/>
  <c r="E13" i="5"/>
  <c r="D14" i="5"/>
  <c r="E14" i="5"/>
  <c r="D15" i="5"/>
  <c r="E15" i="5"/>
  <c r="F13" i="5"/>
  <c r="F14" i="5"/>
  <c r="F15" i="5"/>
  <c r="F12" i="5"/>
  <c r="F9" i="5"/>
  <c r="F26" i="5" s="1"/>
  <c r="F10" i="5"/>
  <c r="F22" i="5" s="1"/>
  <c r="F11" i="5"/>
  <c r="F8" i="5"/>
  <c r="F18" i="5" s="1"/>
  <c r="F5" i="5"/>
  <c r="F6" i="5"/>
  <c r="F7" i="5"/>
  <c r="F4" i="5"/>
  <c r="F3" i="5"/>
  <c r="F2" i="5"/>
  <c r="G141" i="1"/>
  <c r="G142" i="1" s="1"/>
  <c r="G139" i="1"/>
  <c r="G140" i="1" s="1"/>
  <c r="G73" i="1"/>
  <c r="G61" i="1"/>
  <c r="G57" i="1"/>
  <c r="D22" i="8"/>
  <c r="C58" i="5"/>
  <c r="D58" i="5"/>
  <c r="C54" i="5"/>
  <c r="D54" i="5"/>
  <c r="E54" i="5"/>
  <c r="F112" i="1"/>
  <c r="F113" i="1" s="1"/>
  <c r="G113" i="1"/>
  <c r="F114" i="1"/>
  <c r="F115" i="1" s="1"/>
  <c r="D25" i="8"/>
  <c r="G115" i="1"/>
  <c r="F57" i="1"/>
  <c r="F116" i="1"/>
  <c r="F117" i="1" s="1"/>
  <c r="G117" i="1"/>
  <c r="F61" i="1"/>
  <c r="F128" i="1"/>
  <c r="F129" i="1" s="1"/>
  <c r="F73" i="1"/>
  <c r="F132" i="1"/>
  <c r="F133" i="1" s="1"/>
  <c r="F139" i="1"/>
  <c r="F140" i="1" s="1"/>
  <c r="F141" i="1"/>
  <c r="F142" i="1" s="1"/>
  <c r="F125" i="1" l="1"/>
  <c r="D16" i="5"/>
  <c r="E16" i="5"/>
  <c r="G63" i="5"/>
  <c r="E63" i="5"/>
  <c r="C80" i="5"/>
  <c r="C78" i="5"/>
  <c r="D69" i="5"/>
  <c r="F34" i="5"/>
  <c r="F38" i="5" s="1"/>
  <c r="F42" i="5" s="1"/>
  <c r="F63" i="5"/>
  <c r="D22" i="5"/>
  <c r="D18" i="5"/>
  <c r="D65" i="5"/>
  <c r="F16" i="5"/>
  <c r="C16" i="5"/>
  <c r="E32" i="5"/>
  <c r="E36" i="5" s="1"/>
  <c r="E40" i="5" s="1"/>
  <c r="D26" i="5"/>
  <c r="D63" i="5"/>
  <c r="C63" i="5"/>
  <c r="G16" i="5"/>
  <c r="C79" i="5"/>
  <c r="F31" i="5"/>
  <c r="F35" i="5" s="1"/>
  <c r="F33" i="5"/>
  <c r="F37" i="5" s="1"/>
  <c r="F32" i="5"/>
  <c r="F36" i="5" s="1"/>
  <c r="E34" i="5"/>
  <c r="E38" i="5" s="1"/>
  <c r="E42" i="5" s="1"/>
  <c r="E31" i="5"/>
  <c r="E35" i="5" s="1"/>
  <c r="E33" i="5"/>
  <c r="E37" i="5" s="1"/>
  <c r="G133" i="1"/>
  <c r="G129" i="1"/>
  <c r="G125" i="1"/>
  <c r="G26" i="8"/>
  <c r="F26" i="8"/>
  <c r="E26" i="8"/>
  <c r="I26" i="8"/>
  <c r="E25" i="8"/>
  <c r="G21" i="8"/>
  <c r="F21" i="8"/>
  <c r="E21" i="8"/>
  <c r="D21" i="8"/>
  <c r="G22" i="8"/>
  <c r="F22" i="8"/>
  <c r="E22" i="8"/>
  <c r="G20" i="8"/>
  <c r="F20" i="8"/>
  <c r="E20" i="8"/>
  <c r="D20" i="8"/>
  <c r="H26" i="8"/>
  <c r="K24" i="8"/>
  <c r="H22" i="8"/>
  <c r="H24" i="8" s="1"/>
  <c r="H31" i="8"/>
  <c r="H30" i="8" s="1"/>
  <c r="I22" i="8"/>
  <c r="I24" i="8" s="1"/>
  <c r="I31" i="8"/>
  <c r="I30" i="8" s="1"/>
  <c r="J22" i="8"/>
  <c r="J24" i="8" s="1"/>
  <c r="J31" i="8"/>
  <c r="J30" i="8" s="1"/>
  <c r="F69" i="1"/>
  <c r="F59" i="1"/>
  <c r="G59" i="1"/>
  <c r="G69" i="1"/>
  <c r="K25" i="8"/>
  <c r="J25" i="8"/>
  <c r="H59" i="1"/>
  <c r="H91" i="1" s="1"/>
  <c r="H92" i="1" s="1"/>
  <c r="G31" i="5"/>
  <c r="G35" i="5" s="1"/>
  <c r="G32" i="5"/>
  <c r="G36" i="5" s="1"/>
  <c r="G33" i="5"/>
  <c r="G37" i="5" s="1"/>
  <c r="G34" i="5"/>
  <c r="G38" i="5" s="1"/>
  <c r="G42" i="5" s="1"/>
  <c r="C81" i="5"/>
  <c r="F91" i="1" l="1"/>
  <c r="F92" i="1" s="1"/>
  <c r="E44" i="5"/>
  <c r="D24" i="8"/>
  <c r="F24" i="8"/>
  <c r="E45" i="5"/>
  <c r="E41" i="5"/>
  <c r="F41" i="5"/>
  <c r="F45" i="5"/>
  <c r="F40" i="5"/>
  <c r="F44" i="5"/>
  <c r="E24" i="8"/>
  <c r="E39" i="5"/>
  <c r="E43" i="5"/>
  <c r="F39" i="5"/>
  <c r="F43" i="5"/>
  <c r="G24" i="8"/>
  <c r="H25" i="8"/>
  <c r="H119" i="1"/>
  <c r="I25" i="8"/>
  <c r="I119" i="1"/>
  <c r="G119" i="1"/>
  <c r="F25" i="8"/>
  <c r="F118" i="1"/>
  <c r="F119" i="1" s="1"/>
  <c r="G91" i="1"/>
  <c r="G92" i="1" s="1"/>
  <c r="G25" i="8"/>
  <c r="G78" i="5"/>
  <c r="G82" i="5" s="1"/>
  <c r="G79" i="5"/>
  <c r="G83" i="5" s="1"/>
  <c r="G80" i="5"/>
  <c r="G84" i="5" s="1"/>
  <c r="G81" i="5"/>
  <c r="G85" i="5" s="1"/>
  <c r="G89" i="5" s="1"/>
  <c r="F81" i="5"/>
  <c r="F85" i="5" s="1"/>
  <c r="F89" i="5" s="1"/>
  <c r="F80" i="5"/>
  <c r="F84" i="5" s="1"/>
  <c r="F79" i="5"/>
  <c r="F83" i="5" s="1"/>
  <c r="F78" i="5"/>
  <c r="F82" i="5" s="1"/>
  <c r="E78" i="5"/>
  <c r="E82" i="5" s="1"/>
  <c r="E81" i="5"/>
  <c r="E85" i="5" s="1"/>
  <c r="E89" i="5" s="1"/>
  <c r="E80" i="5"/>
  <c r="E84" i="5" s="1"/>
  <c r="E79" i="5"/>
  <c r="E83" i="5" s="1"/>
  <c r="G41" i="5"/>
  <c r="G45" i="5"/>
  <c r="G40" i="5"/>
  <c r="G44" i="5"/>
  <c r="G39" i="5"/>
  <c r="G43" i="5"/>
  <c r="E46" i="5" l="1"/>
  <c r="G46" i="5"/>
  <c r="F46" i="5"/>
  <c r="F147" i="1"/>
  <c r="F148" i="1" s="1"/>
  <c r="G147" i="1"/>
  <c r="G148" i="1" s="1"/>
  <c r="I147" i="1"/>
  <c r="I148" i="1" s="1"/>
  <c r="H147" i="1"/>
  <c r="H148" i="1" s="1"/>
  <c r="E91" i="5"/>
  <c r="E87" i="5"/>
  <c r="E92" i="5"/>
  <c r="E88" i="5"/>
  <c r="E90" i="5"/>
  <c r="E86" i="5"/>
  <c r="F90" i="5"/>
  <c r="F86" i="5"/>
  <c r="F91" i="5"/>
  <c r="F87" i="5"/>
  <c r="F92" i="5"/>
  <c r="F88" i="5"/>
  <c r="G88" i="5"/>
  <c r="G92" i="5"/>
  <c r="G87" i="5"/>
  <c r="G91" i="5"/>
  <c r="G86" i="5"/>
  <c r="G90" i="5"/>
  <c r="E93" i="5" l="1"/>
  <c r="E95" i="5" s="1"/>
  <c r="G93" i="5"/>
  <c r="G95" i="5" s="1"/>
  <c r="F93" i="5"/>
  <c r="F95" i="5" s="1"/>
</calcChain>
</file>

<file path=xl/comments1.xml><?xml version="1.0" encoding="utf-8"?>
<comments xmlns="http://schemas.openxmlformats.org/spreadsheetml/2006/main">
  <authors>
    <author>Chris.T</author>
    <author>DRA</author>
  </authors>
  <commentList>
    <comment ref="E1" authorId="0">
      <text>
        <r>
          <rPr>
            <b/>
            <sz val="8"/>
            <color indexed="81"/>
            <rFont val="Tahoma"/>
            <family val="2"/>
          </rPr>
          <t>Chris.T: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Tariff Changed</t>
        </r>
      </text>
    </comment>
    <comment ref="B28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6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83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84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02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39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40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</commentList>
</comments>
</file>

<file path=xl/comments2.xml><?xml version="1.0" encoding="utf-8"?>
<comments xmlns="http://schemas.openxmlformats.org/spreadsheetml/2006/main">
  <authors>
    <author>Chris.T</author>
    <author>DRA</author>
  </authors>
  <commentList>
    <comment ref="E1" authorId="0">
      <text>
        <r>
          <rPr>
            <b/>
            <sz val="8"/>
            <color indexed="81"/>
            <rFont val="Tahoma"/>
            <family val="2"/>
          </rPr>
          <t>Chris.T: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Tariff Changed</t>
        </r>
      </text>
    </comment>
    <comment ref="B9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48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49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81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20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21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49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Network access kVa</t>
        </r>
      </text>
    </comment>
    <comment ref="B188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  <comment ref="B189" authorId="1">
      <text>
        <r>
          <rPr>
            <b/>
            <sz val="8"/>
            <color indexed="81"/>
            <rFont val="Tahoma"/>
            <family val="2"/>
          </rPr>
          <t>DRA:</t>
        </r>
        <r>
          <rPr>
            <sz val="8"/>
            <color indexed="81"/>
            <rFont val="Tahoma"/>
            <family val="2"/>
          </rPr>
          <t xml:space="preserve">
Rate rebalance levy</t>
        </r>
      </text>
    </comment>
  </commentList>
</comments>
</file>

<file path=xl/comments3.xml><?xml version="1.0" encoding="utf-8"?>
<comments xmlns="http://schemas.openxmlformats.org/spreadsheetml/2006/main">
  <authors>
    <author>Chris.T</author>
  </authors>
  <commentList>
    <comment ref="E1" authorId="0">
      <text>
        <r>
          <rPr>
            <b/>
            <sz val="8"/>
            <color indexed="81"/>
            <rFont val="Tahoma"/>
            <family val="2"/>
          </rPr>
          <t>Chris.T: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Tariff Changed</t>
        </r>
      </text>
    </comment>
  </commentList>
</comments>
</file>

<file path=xl/sharedStrings.xml><?xml version="1.0" encoding="utf-8"?>
<sst xmlns="http://schemas.openxmlformats.org/spreadsheetml/2006/main" count="548" uniqueCount="158">
  <si>
    <t>Peak kWh</t>
  </si>
  <si>
    <t>Standard kWh</t>
  </si>
  <si>
    <t>Network Demand cost</t>
  </si>
  <si>
    <t>Voltage Surcharge</t>
  </si>
  <si>
    <t>Service</t>
  </si>
  <si>
    <t>High season reactive</t>
  </si>
  <si>
    <t>Std Demand Consumption</t>
  </si>
  <si>
    <t>Network Access Charge @ Rate</t>
  </si>
  <si>
    <t>Network Demand Charge @ rate</t>
  </si>
  <si>
    <t>Electrification &amp; Rural Sub @</t>
  </si>
  <si>
    <t>Network Access cost</t>
  </si>
  <si>
    <t>Electrification &amp; Rural cost</t>
  </si>
  <si>
    <t>Off-Peak Demand Consumption</t>
  </si>
  <si>
    <t>Peak Demand Consumption</t>
  </si>
  <si>
    <t>Energy Consumption Off peak kWh</t>
  </si>
  <si>
    <t>Energy Consumption Standard kWh</t>
  </si>
  <si>
    <t>Energy Consumption Peak kWh</t>
  </si>
  <si>
    <t>Energy Consumption All kWh</t>
  </si>
  <si>
    <t>Demand Reading kW/kVA</t>
  </si>
  <si>
    <t>Reactive Energy Off Peak</t>
  </si>
  <si>
    <t>Reactive Energy Standard</t>
  </si>
  <si>
    <t>Reactive Energy Peak</t>
  </si>
  <si>
    <t>Load Factor</t>
  </si>
  <si>
    <t>Transmission Surcharge</t>
  </si>
  <si>
    <t>TX Network Access Charge @ rate</t>
  </si>
  <si>
    <t>TX Network Access Cost</t>
  </si>
  <si>
    <t>Retail Environmental Levy Charge @</t>
  </si>
  <si>
    <t>Retail Environmental Levy Charge</t>
  </si>
  <si>
    <t>Excess Reactive Energy</t>
  </si>
  <si>
    <t>Low Season Off-peak Energy Charge @</t>
  </si>
  <si>
    <t>High Season Off-peak Energy Charge @</t>
  </si>
  <si>
    <t>Low Season Peak Energy Charge @</t>
  </si>
  <si>
    <t>High Season Peak Energy Charge @</t>
  </si>
  <si>
    <t>High Season Standard Energy Charge @</t>
  </si>
  <si>
    <t>Rebilled Adjustments</t>
  </si>
  <si>
    <t>Reactive Energy Total</t>
  </si>
  <si>
    <t>Average PF</t>
  </si>
  <si>
    <t>Statistics is Based On ESKOM Invoice</t>
  </si>
  <si>
    <t>Month End</t>
  </si>
  <si>
    <t>Energy</t>
  </si>
  <si>
    <t>Off-Peak kWh</t>
  </si>
  <si>
    <t xml:space="preserve">Total </t>
  </si>
  <si>
    <t>Demand</t>
  </si>
  <si>
    <t>Off-Peak</t>
  </si>
  <si>
    <t>Standard</t>
  </si>
  <si>
    <t>Peak</t>
  </si>
  <si>
    <t>%</t>
  </si>
  <si>
    <t>Excess</t>
  </si>
  <si>
    <t>Invoice</t>
  </si>
  <si>
    <t>ESKOM Total</t>
  </si>
  <si>
    <t>c/kWh</t>
  </si>
  <si>
    <t>Total Costs</t>
  </si>
  <si>
    <t>Appareny Energy</t>
  </si>
  <si>
    <t>VAh</t>
  </si>
  <si>
    <t>High season reactive @</t>
  </si>
  <si>
    <t>Utilised Capacity</t>
  </si>
  <si>
    <t>Notified Max Demand</t>
  </si>
  <si>
    <t>% Increase</t>
  </si>
  <si>
    <t>Energy Cost</t>
  </si>
  <si>
    <t>Energy Cost: c/kWh</t>
  </si>
  <si>
    <t>Low Season Off-peak Energy cost</t>
  </si>
  <si>
    <t>High Season Off-peak Energy cost</t>
  </si>
  <si>
    <t>Low Season Peak Energy cost</t>
  </si>
  <si>
    <t>High Season Peak Energy cost</t>
  </si>
  <si>
    <t>Low Season Standard Energy cost</t>
  </si>
  <si>
    <t>High Season Standard Energy cost</t>
  </si>
  <si>
    <t>Reactve Energy</t>
  </si>
  <si>
    <t xml:space="preserve">Excess VArs </t>
  </si>
  <si>
    <t>Total Demand Cost</t>
  </si>
  <si>
    <t>Total Energy Cost</t>
  </si>
  <si>
    <t>Other Costs</t>
  </si>
  <si>
    <t>Calculated Bill</t>
  </si>
  <si>
    <t>% Diff Eskom / Calculated</t>
  </si>
  <si>
    <t>Days</t>
  </si>
  <si>
    <t>Admin Charge @ rate</t>
  </si>
  <si>
    <t>Admin Costs</t>
  </si>
  <si>
    <t>Rates</t>
  </si>
  <si>
    <t>Peak c/kWh</t>
  </si>
  <si>
    <t>%Annual increase</t>
  </si>
  <si>
    <t>Low Season Standard Energy Charge @</t>
  </si>
  <si>
    <t>Energy Charge &amp; Rate</t>
  </si>
  <si>
    <t xml:space="preserve">Energy Total </t>
  </si>
  <si>
    <t>Off-Peak kWh Normalised Feb-Mar</t>
  </si>
  <si>
    <t>Standard kWh Normalised Feb-Mar</t>
  </si>
  <si>
    <t>Peak kWh Normalised Feb-Mar</t>
  </si>
  <si>
    <t>Energy Total Normalised Feb-Mar</t>
  </si>
  <si>
    <t>Off-Peak kWh % Change</t>
  </si>
  <si>
    <t>Standard kWh % Change</t>
  </si>
  <si>
    <t>Peak kWh % Change</t>
  </si>
  <si>
    <t>Off-Peak kWh Normalised Diffs</t>
  </si>
  <si>
    <t>Standard kWh Normalised Diffs</t>
  </si>
  <si>
    <t>Peak kWh Normalised Diffs</t>
  </si>
  <si>
    <t>Off-Peak kWh Cost Change</t>
  </si>
  <si>
    <t>Standard kWh Cost Change</t>
  </si>
  <si>
    <t>Peak kWh Cost Change</t>
  </si>
  <si>
    <t>Energy Total  Cost Change</t>
  </si>
  <si>
    <t>Cost savings</t>
  </si>
  <si>
    <t>Total Cost Change: Ezulwini</t>
  </si>
  <si>
    <t>Hartbeest Five - 5#</t>
  </si>
  <si>
    <t>Zandpan Shaft - 7#</t>
  </si>
  <si>
    <t>Five#</t>
  </si>
  <si>
    <t>7#</t>
  </si>
  <si>
    <t>Excess VArh Total - Calculated</t>
  </si>
  <si>
    <t>Excess VArh Total (Eskom or Calc)</t>
  </si>
  <si>
    <t>High season Exsess Reactive Energy</t>
  </si>
  <si>
    <t>High season Exsess Reactive Energy @</t>
  </si>
  <si>
    <t>High season Exsess Reactive Cost</t>
  </si>
  <si>
    <t>Standard excess kVArh</t>
  </si>
  <si>
    <t>Peak excess kVArh</t>
  </si>
  <si>
    <t>Vent Shaft - 3#</t>
  </si>
  <si>
    <t>Active Energy Cost c/kWh</t>
  </si>
  <si>
    <t>Demand Costs c/KVA</t>
  </si>
  <si>
    <t xml:space="preserve">Reactive Energy Cost </t>
  </si>
  <si>
    <t>3#</t>
  </si>
  <si>
    <t>5#</t>
  </si>
  <si>
    <t>Normalised Demand ref.All kWh Jan 2010</t>
  </si>
  <si>
    <t>Normalised Actice Energy Costs</t>
  </si>
  <si>
    <t>Normalised Reactive Energy Costs</t>
  </si>
  <si>
    <t>% Demand cost  ref Jan 2010</t>
  </si>
  <si>
    <t>% Reactive Energy Costs ref Jan 2010</t>
  </si>
  <si>
    <t>% Active Energy Costs ref Jan 2010</t>
  </si>
  <si>
    <t>Summary</t>
  </si>
  <si>
    <t>Admin Charge</t>
  </si>
  <si>
    <t>Transmission Nework Charge</t>
  </si>
  <si>
    <t>Network Charge Demand</t>
  </si>
  <si>
    <t>Electrification and rural subs (All)</t>
  </si>
  <si>
    <t>Environmental Levy</t>
  </si>
  <si>
    <t>DX Excess Network Access Charge</t>
  </si>
  <si>
    <t>Service Charge</t>
  </si>
  <si>
    <t>Utilized Capacity</t>
  </si>
  <si>
    <t>Dist. Network Access Charge</t>
  </si>
  <si>
    <t>Maximum Demand kVA</t>
  </si>
  <si>
    <t>Energy Charge (Off) kWh</t>
  </si>
  <si>
    <t>Energy Charge (Peak) kWh</t>
  </si>
  <si>
    <t>Energy Charge (Off) @</t>
  </si>
  <si>
    <t>Energy Charge (Peak) @</t>
  </si>
  <si>
    <t>Energy Charge (Off) R</t>
  </si>
  <si>
    <t>Energy Charge (Peak) R</t>
  </si>
  <si>
    <t>Reactive Energy R</t>
  </si>
  <si>
    <t>Reactive Energy @</t>
  </si>
  <si>
    <t>Reactive Energy kVArh</t>
  </si>
  <si>
    <t>Environmental Levy  @</t>
  </si>
  <si>
    <t>Electrification and rural subs (All) @</t>
  </si>
  <si>
    <t>DX Excess Network Access Charge @</t>
  </si>
  <si>
    <t>DX Excess Network Access kVA</t>
  </si>
  <si>
    <t>x</t>
  </si>
  <si>
    <t>Diffs from Calculated Bill</t>
  </si>
  <si>
    <t>Demand Diffs</t>
  </si>
  <si>
    <t>Refundable</t>
  </si>
  <si>
    <t>YTD</t>
  </si>
  <si>
    <t>Number of Events</t>
  </si>
  <si>
    <t>NMD exceeded by</t>
  </si>
  <si>
    <t>Excess NAC charge</t>
  </si>
  <si>
    <t>Excess NAC charge @</t>
  </si>
  <si>
    <t>Gemsbok</t>
  </si>
  <si>
    <t>Waterpan Mill</t>
  </si>
  <si>
    <t>5285390071</t>
  </si>
  <si>
    <t>5285390395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</si>
</sst>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2" formatCode="_ &quot;R&quot;\ * #,##0_ ;_ &quot;R&quot;\ * \-#,##0_ ;_ &quot;R&quot;\ * &quot;-&quot;_ ;_ @_ "/>
    <numFmt numFmtId="44" formatCode="_ &quot;R&quot;\ * #,##0.00_ ;_ &quot;R&quot;\ * \-#,##0.00_ ;_ &quot;R&quot;\ * &quot;-&quot;??_ ;_ @_ "/>
    <numFmt numFmtId="43" formatCode="_ * #,##0.00_ ;_ * \-#,##0.00_ ;_ * &quot;-&quot;??_ ;_ @_ "/>
    <numFmt numFmtId="164" formatCode="_(&quot;R&quot;* #,##0.00_);_(&quot;R&quot;* \(#,##0.00\);_(&quot;R&quot;* &quot;-&quot;??_);_(@_)"/>
    <numFmt numFmtId="165" formatCode="_(* #,##0.00_);_(* \(#,##0.00\);_(* &quot;-&quot;??_);_(@_)"/>
    <numFmt numFmtId="166" formatCode="0.0000"/>
    <numFmt numFmtId="167" formatCode="_ &quot;R&quot;\ * #,##0_ ;_ &quot;R&quot;\ * \-#,##0_ ;_ &quot;R&quot;\ * &quot;-&quot;??_ ;_ @_ "/>
    <numFmt numFmtId="168" formatCode="_ * #,##0_ ;_ * \-#,##0_ ;_ * &quot;-&quot;??_ ;_ @_ "/>
    <numFmt numFmtId="169" formatCode="#,##0.0"/>
    <numFmt numFmtId="170" formatCode="_ * #,##0.0000_ ;_ * \-#,##0.0000_ ;_ * &quot;-&quot;??_ ;_ @_ "/>
    <numFmt numFmtId="171" formatCode="0.0%"/>
    <numFmt numFmtId="172" formatCode="_ &quot;R&quot;\ * #,##0.000_ ;_ &quot;R&quot;\ * \-#,##0.000_ ;_ &quot;R&quot;\ * &quot;-&quot;??_ ;_ @_ "/>
    <numFmt numFmtId="173" formatCode="_ &quot;R&quot;\ * #,##0.000000000_ ;_ &quot;R&quot;\ * \-#,##0.000000000_ ;_ &quot;R&quot;\ * &quot;-&quot;_ ;_ @_ "/>
    <numFmt numFmtId="174" formatCode="mmm/yyyy"/>
    <numFmt numFmtId="175" formatCode="_(* #,##0_);_(* \(#,##0\);_(* &quot;-&quot;??_);_(@_)"/>
    <numFmt numFmtId="176" formatCode="_ &quot;R&quot;\ * #,##0.0000_ ;_ &quot;R&quot;\ * \-#,##0.0000_ ;_ &quot;R&quot;\ * &quot;-&quot;??_ ;_ @_ "/>
    <numFmt numFmtId="177" formatCode="_ [$R-1C09]\ * #,##0_ ;_ [$R-1C09]\ * \-#,##0_ ;_ [$R-1C09]\ * &quot;-&quot;??_ ;_ @_ "/>
  </numFmts>
  <fonts count="1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b/>
      <sz val="48"/>
      <name val="Arial"/>
      <family val="2"/>
    </font>
    <font>
      <sz val="11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b/>
      <sz val="26"/>
      <name val="Arial"/>
      <family val="2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5" fillId="0" borderId="0"/>
    <xf numFmtId="0" fontId="15" fillId="0" borderId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558">
    <xf numFmtId="0" fontId="0" fillId="0" borderId="0" xfId="0"/>
    <xf numFmtId="0" fontId="0" fillId="0" borderId="1" xfId="0" applyFill="1" applyBorder="1"/>
    <xf numFmtId="44" fontId="4" fillId="0" borderId="0" xfId="0" applyNumberFormat="1" applyFont="1" applyAlignment="1">
      <alignment vertical="center" textRotation="90"/>
    </xf>
    <xf numFmtId="2" fontId="0" fillId="0" borderId="1" xfId="0" applyNumberFormat="1" applyFill="1" applyBorder="1"/>
    <xf numFmtId="42" fontId="0" fillId="3" borderId="1" xfId="0" applyNumberFormat="1" applyFill="1" applyBorder="1"/>
    <xf numFmtId="0" fontId="0" fillId="3" borderId="0" xfId="0" applyFill="1"/>
    <xf numFmtId="168" fontId="0" fillId="4" borderId="1" xfId="1" applyNumberFormat="1" applyFont="1" applyFill="1" applyBorder="1"/>
    <xf numFmtId="168" fontId="0" fillId="5" borderId="1" xfId="1" applyNumberFormat="1" applyFont="1" applyFill="1" applyBorder="1"/>
    <xf numFmtId="168" fontId="0" fillId="3" borderId="0" xfId="1" applyNumberFormat="1" applyFont="1" applyFill="1"/>
    <xf numFmtId="168" fontId="0" fillId="2" borderId="1" xfId="1" applyNumberFormat="1" applyFont="1" applyFill="1" applyBorder="1"/>
    <xf numFmtId="0" fontId="3" fillId="0" borderId="3" xfId="0" applyFont="1" applyBorder="1"/>
    <xf numFmtId="0" fontId="3" fillId="0" borderId="4" xfId="0" applyFont="1" applyBorder="1"/>
    <xf numFmtId="17" fontId="3" fillId="0" borderId="5" xfId="0" applyNumberFormat="1" applyFont="1" applyBorder="1"/>
    <xf numFmtId="2" fontId="0" fillId="0" borderId="6" xfId="0" applyNumberFormat="1" applyBorder="1"/>
    <xf numFmtId="42" fontId="0" fillId="5" borderId="1" xfId="0" applyNumberFormat="1" applyFill="1" applyBorder="1"/>
    <xf numFmtId="168" fontId="0" fillId="2" borderId="8" xfId="1" applyNumberFormat="1" applyFont="1" applyFill="1" applyBorder="1"/>
    <xf numFmtId="168" fontId="0" fillId="5" borderId="9" xfId="1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0" borderId="17" xfId="0" applyFont="1" applyBorder="1"/>
    <xf numFmtId="0" fontId="0" fillId="3" borderId="12" xfId="0" applyFill="1" applyBorder="1"/>
    <xf numFmtId="0" fontId="0" fillId="0" borderId="12" xfId="0" applyFill="1" applyBorder="1"/>
    <xf numFmtId="0" fontId="0" fillId="2" borderId="12" xfId="0" applyFill="1" applyBorder="1"/>
    <xf numFmtId="0" fontId="0" fillId="5" borderId="12" xfId="0" applyFill="1" applyBorder="1"/>
    <xf numFmtId="168" fontId="0" fillId="5" borderId="11" xfId="1" applyNumberFormat="1" applyFont="1" applyFill="1" applyBorder="1"/>
    <xf numFmtId="0" fontId="0" fillId="3" borderId="9" xfId="0" applyFill="1" applyBorder="1"/>
    <xf numFmtId="168" fontId="0" fillId="2" borderId="21" xfId="1" applyNumberFormat="1" applyFont="1" applyFill="1" applyBorder="1"/>
    <xf numFmtId="168" fontId="0" fillId="2" borderId="0" xfId="1" applyNumberFormat="1" applyFont="1" applyFill="1" applyBorder="1"/>
    <xf numFmtId="42" fontId="0" fillId="3" borderId="23" xfId="0" applyNumberFormat="1" applyFill="1" applyBorder="1"/>
    <xf numFmtId="0" fontId="0" fillId="0" borderId="0" xfId="0" applyFill="1" applyBorder="1"/>
    <xf numFmtId="0" fontId="0" fillId="2" borderId="24" xfId="0" applyFill="1" applyBorder="1"/>
    <xf numFmtId="42" fontId="0" fillId="2" borderId="23" xfId="0" applyNumberFormat="1" applyFill="1" applyBorder="1"/>
    <xf numFmtId="0" fontId="0" fillId="5" borderId="0" xfId="0" applyFill="1" applyBorder="1"/>
    <xf numFmtId="0" fontId="0" fillId="4" borderId="0" xfId="0" applyFill="1" applyBorder="1"/>
    <xf numFmtId="0" fontId="0" fillId="6" borderId="15" xfId="0" applyFill="1" applyBorder="1"/>
    <xf numFmtId="43" fontId="5" fillId="6" borderId="4" xfId="1" applyFont="1" applyFill="1" applyBorder="1"/>
    <xf numFmtId="0" fontId="0" fillId="6" borderId="4" xfId="0" applyFill="1" applyBorder="1"/>
    <xf numFmtId="0" fontId="0" fillId="6" borderId="25" xfId="0" applyFill="1" applyBorder="1"/>
    <xf numFmtId="167" fontId="0" fillId="7" borderId="26" xfId="4" applyNumberFormat="1" applyFont="1" applyFill="1" applyBorder="1"/>
    <xf numFmtId="167" fontId="0" fillId="7" borderId="27" xfId="4" applyNumberFormat="1" applyFont="1" applyFill="1" applyBorder="1"/>
    <xf numFmtId="167" fontId="0" fillId="0" borderId="28" xfId="4" applyNumberFormat="1" applyFont="1" applyBorder="1"/>
    <xf numFmtId="0" fontId="0" fillId="3" borderId="0" xfId="0" applyFill="1" applyBorder="1"/>
    <xf numFmtId="0" fontId="0" fillId="3" borderId="14" xfId="0" applyFill="1" applyBorder="1"/>
    <xf numFmtId="42" fontId="0" fillId="3" borderId="8" xfId="0" applyNumberFormat="1" applyFill="1" applyBorder="1"/>
    <xf numFmtId="0" fontId="0" fillId="3" borderId="28" xfId="0" applyFill="1" applyBorder="1"/>
    <xf numFmtId="167" fontId="0" fillId="7" borderId="30" xfId="4" applyNumberFormat="1" applyFont="1" applyFill="1" applyBorder="1"/>
    <xf numFmtId="167" fontId="0" fillId="7" borderId="0" xfId="4" applyNumberFormat="1" applyFont="1" applyFill="1" applyBorder="1"/>
    <xf numFmtId="166" fontId="0" fillId="0" borderId="1" xfId="0" applyNumberFormat="1" applyFill="1" applyBorder="1"/>
    <xf numFmtId="3" fontId="0" fillId="8" borderId="8" xfId="0" applyNumberFormat="1" applyFill="1" applyBorder="1"/>
    <xf numFmtId="0" fontId="0" fillId="8" borderId="0" xfId="0" applyFill="1"/>
    <xf numFmtId="0" fontId="0" fillId="3" borderId="11" xfId="0" applyFill="1" applyBorder="1"/>
    <xf numFmtId="0" fontId="0" fillId="0" borderId="24" xfId="0" applyFill="1" applyBorder="1"/>
    <xf numFmtId="42" fontId="0" fillId="2" borderId="8" xfId="0" applyNumberFormat="1" applyFill="1" applyBorder="1"/>
    <xf numFmtId="0" fontId="0" fillId="4" borderId="8" xfId="0" applyFill="1" applyBorder="1"/>
    <xf numFmtId="0" fontId="0" fillId="2" borderId="14" xfId="0" applyFill="1" applyBorder="1"/>
    <xf numFmtId="168" fontId="0" fillId="9" borderId="13" xfId="1" applyNumberFormat="1" applyFont="1" applyFill="1" applyBorder="1"/>
    <xf numFmtId="168" fontId="0" fillId="9" borderId="7" xfId="1" applyNumberFormat="1" applyFont="1" applyFill="1" applyBorder="1"/>
    <xf numFmtId="168" fontId="0" fillId="9" borderId="8" xfId="1" applyNumberFormat="1" applyFont="1" applyFill="1" applyBorder="1"/>
    <xf numFmtId="168" fontId="3" fillId="9" borderId="8" xfId="1" applyNumberFormat="1" applyFont="1" applyFill="1" applyBorder="1"/>
    <xf numFmtId="168" fontId="3" fillId="9" borderId="33" xfId="1" applyNumberFormat="1" applyFont="1" applyFill="1" applyBorder="1"/>
    <xf numFmtId="168" fontId="3" fillId="9" borderId="14" xfId="1" applyNumberFormat="1" applyFont="1" applyFill="1" applyBorder="1"/>
    <xf numFmtId="0" fontId="0" fillId="0" borderId="28" xfId="0" applyBorder="1"/>
    <xf numFmtId="0" fontId="0" fillId="0" borderId="0" xfId="0" applyBorder="1"/>
    <xf numFmtId="0" fontId="0" fillId="0" borderId="34" xfId="0" applyFill="1" applyBorder="1"/>
    <xf numFmtId="168" fontId="0" fillId="9" borderId="11" xfId="1" applyNumberFormat="1" applyFont="1" applyFill="1" applyBorder="1"/>
    <xf numFmtId="168" fontId="0" fillId="9" borderId="9" xfId="1" applyNumberFormat="1" applyFont="1" applyFill="1" applyBorder="1"/>
    <xf numFmtId="0" fontId="0" fillId="0" borderId="25" xfId="0" applyBorder="1" applyAlignment="1">
      <alignment horizontal="center"/>
    </xf>
    <xf numFmtId="14" fontId="0" fillId="0" borderId="0" xfId="0" applyNumberFormat="1"/>
    <xf numFmtId="0" fontId="0" fillId="10" borderId="9" xfId="0" applyFill="1" applyBorder="1"/>
    <xf numFmtId="0" fontId="0" fillId="10" borderId="1" xfId="0" applyFill="1" applyBorder="1"/>
    <xf numFmtId="2" fontId="0" fillId="0" borderId="0" xfId="0" applyNumberFormat="1" applyFill="1" applyBorder="1"/>
    <xf numFmtId="167" fontId="0" fillId="7" borderId="36" xfId="4" applyNumberFormat="1" applyFont="1" applyFill="1" applyBorder="1"/>
    <xf numFmtId="0" fontId="0" fillId="0" borderId="31" xfId="0" applyBorder="1"/>
    <xf numFmtId="168" fontId="0" fillId="9" borderId="23" xfId="1" applyNumberFormat="1" applyFont="1" applyFill="1" applyBorder="1"/>
    <xf numFmtId="168" fontId="0" fillId="4" borderId="37" xfId="1" applyNumberFormat="1" applyFont="1" applyFill="1" applyBorder="1"/>
    <xf numFmtId="168" fontId="0" fillId="9" borderId="24" xfId="1" applyNumberFormat="1" applyFont="1" applyFill="1" applyBorder="1"/>
    <xf numFmtId="168" fontId="0" fillId="4" borderId="24" xfId="1" applyNumberFormat="1" applyFont="1" applyFill="1" applyBorder="1"/>
    <xf numFmtId="168" fontId="0" fillId="4" borderId="23" xfId="1" applyNumberFormat="1" applyFont="1" applyFill="1" applyBorder="1"/>
    <xf numFmtId="168" fontId="0" fillId="5" borderId="24" xfId="1" applyNumberFormat="1" applyFont="1" applyFill="1" applyBorder="1"/>
    <xf numFmtId="168" fontId="0" fillId="5" borderId="23" xfId="1" applyNumberFormat="1" applyFont="1" applyFill="1" applyBorder="1"/>
    <xf numFmtId="168" fontId="0" fillId="5" borderId="37" xfId="1" applyNumberFormat="1" applyFont="1" applyFill="1" applyBorder="1"/>
    <xf numFmtId="168" fontId="0" fillId="3" borderId="31" xfId="1" applyNumberFormat="1" applyFont="1" applyFill="1" applyBorder="1"/>
    <xf numFmtId="168" fontId="0" fillId="2" borderId="11" xfId="1" applyNumberFormat="1" applyFont="1" applyFill="1" applyBorder="1"/>
    <xf numFmtId="168" fontId="0" fillId="2" borderId="9" xfId="1" applyNumberFormat="1" applyFont="1" applyFill="1" applyBorder="1"/>
    <xf numFmtId="168" fontId="0" fillId="3" borderId="37" xfId="1" applyNumberFormat="1" applyFont="1" applyFill="1" applyBorder="1"/>
    <xf numFmtId="168" fontId="0" fillId="2" borderId="24" xfId="1" applyNumberFormat="1" applyFont="1" applyFill="1" applyBorder="1"/>
    <xf numFmtId="168" fontId="0" fillId="2" borderId="37" xfId="1" applyNumberFormat="1" applyFont="1" applyFill="1" applyBorder="1"/>
    <xf numFmtId="43" fontId="5" fillId="6" borderId="15" xfId="1" applyFont="1" applyFill="1" applyBorder="1"/>
    <xf numFmtId="168" fontId="0" fillId="2" borderId="31" xfId="1" applyNumberFormat="1" applyFont="1" applyFill="1" applyBorder="1"/>
    <xf numFmtId="0" fontId="0" fillId="3" borderId="31" xfId="0" applyFill="1" applyBorder="1"/>
    <xf numFmtId="0" fontId="0" fillId="3" borderId="27" xfId="0" applyFill="1" applyBorder="1"/>
    <xf numFmtId="168" fontId="0" fillId="5" borderId="31" xfId="1" applyNumberFormat="1" applyFont="1" applyFill="1" applyBorder="1"/>
    <xf numFmtId="168" fontId="0" fillId="2" borderId="39" xfId="1" applyNumberFormat="1" applyFont="1" applyFill="1" applyBorder="1"/>
    <xf numFmtId="0" fontId="0" fillId="10" borderId="28" xfId="0" applyFill="1" applyBorder="1"/>
    <xf numFmtId="0" fontId="8" fillId="0" borderId="0" xfId="0" applyFont="1"/>
    <xf numFmtId="168" fontId="12" fillId="11" borderId="24" xfId="1" applyNumberFormat="1" applyFont="1" applyFill="1" applyBorder="1"/>
    <xf numFmtId="168" fontId="12" fillId="11" borderId="37" xfId="1" applyNumberFormat="1" applyFont="1" applyFill="1" applyBorder="1"/>
    <xf numFmtId="0" fontId="0" fillId="11" borderId="12" xfId="0" applyFill="1" applyBorder="1"/>
    <xf numFmtId="0" fontId="0" fillId="11" borderId="0" xfId="0" applyFill="1" applyBorder="1"/>
    <xf numFmtId="168" fontId="12" fillId="11" borderId="1" xfId="1" applyNumberFormat="1" applyFont="1" applyFill="1" applyBorder="1"/>
    <xf numFmtId="168" fontId="5" fillId="9" borderId="40" xfId="1" applyNumberFormat="1" applyFont="1" applyFill="1" applyBorder="1"/>
    <xf numFmtId="168" fontId="5" fillId="9" borderId="13" xfId="1" applyNumberFormat="1" applyFont="1" applyFill="1" applyBorder="1"/>
    <xf numFmtId="168" fontId="5" fillId="9" borderId="7" xfId="1" applyNumberFormat="1" applyFont="1" applyFill="1" applyBorder="1"/>
    <xf numFmtId="0" fontId="0" fillId="11" borderId="14" xfId="0" applyFill="1" applyBorder="1"/>
    <xf numFmtId="168" fontId="12" fillId="12" borderId="8" xfId="1" applyNumberFormat="1" applyFont="1" applyFill="1" applyBorder="1"/>
    <xf numFmtId="0" fontId="0" fillId="12" borderId="0" xfId="0" applyFill="1"/>
    <xf numFmtId="0" fontId="0" fillId="11" borderId="28" xfId="0" applyFill="1" applyBorder="1"/>
    <xf numFmtId="168" fontId="12" fillId="13" borderId="30" xfId="1" applyNumberFormat="1" applyFont="1" applyFill="1" applyBorder="1"/>
    <xf numFmtId="168" fontId="12" fillId="13" borderId="31" xfId="1" applyNumberFormat="1" applyFont="1" applyFill="1" applyBorder="1"/>
    <xf numFmtId="168" fontId="12" fillId="13" borderId="0" xfId="1" applyNumberFormat="1" applyFont="1" applyFill="1" applyBorder="1"/>
    <xf numFmtId="0" fontId="0" fillId="0" borderId="9" xfId="0" applyFill="1" applyBorder="1"/>
    <xf numFmtId="42" fontId="0" fillId="2" borderId="31" xfId="0" applyNumberFormat="1" applyFill="1" applyBorder="1"/>
    <xf numFmtId="0" fontId="0" fillId="0" borderId="37" xfId="0" applyFill="1" applyBorder="1"/>
    <xf numFmtId="0" fontId="0" fillId="0" borderId="35" xfId="0" applyFill="1" applyBorder="1"/>
    <xf numFmtId="43" fontId="0" fillId="0" borderId="10" xfId="1" applyFont="1" applyFill="1" applyBorder="1"/>
    <xf numFmtId="43" fontId="0" fillId="0" borderId="22" xfId="1" applyFont="1" applyFill="1" applyBorder="1"/>
    <xf numFmtId="43" fontId="0" fillId="0" borderId="34" xfId="1" applyFont="1" applyFill="1" applyBorder="1"/>
    <xf numFmtId="172" fontId="0" fillId="0" borderId="1" xfId="4" applyNumberFormat="1" applyFont="1" applyFill="1" applyBorder="1"/>
    <xf numFmtId="0" fontId="0" fillId="0" borderId="11" xfId="0" applyFill="1" applyBorder="1"/>
    <xf numFmtId="0" fontId="0" fillId="4" borderId="28" xfId="0" applyFill="1" applyBorder="1"/>
    <xf numFmtId="0" fontId="0" fillId="0" borderId="28" xfId="0" applyFill="1" applyBorder="1"/>
    <xf numFmtId="168" fontId="0" fillId="4" borderId="0" xfId="1" applyNumberFormat="1" applyFont="1" applyFill="1" applyBorder="1"/>
    <xf numFmtId="168" fontId="0" fillId="9" borderId="0" xfId="1" applyNumberFormat="1" applyFont="1" applyFill="1" applyBorder="1"/>
    <xf numFmtId="168" fontId="0" fillId="9" borderId="1" xfId="1" applyNumberFormat="1" applyFont="1" applyFill="1" applyBorder="1"/>
    <xf numFmtId="167" fontId="0" fillId="3" borderId="1" xfId="4" applyNumberFormat="1" applyFont="1" applyFill="1" applyBorder="1"/>
    <xf numFmtId="3" fontId="0" fillId="15" borderId="31" xfId="0" applyNumberFormat="1" applyFill="1" applyBorder="1"/>
    <xf numFmtId="0" fontId="0" fillId="15" borderId="0" xfId="0" applyFill="1"/>
    <xf numFmtId="168" fontId="12" fillId="11" borderId="8" xfId="1" applyNumberFormat="1" applyFont="1" applyFill="1" applyBorder="1"/>
    <xf numFmtId="42" fontId="0" fillId="10" borderId="38" xfId="0" applyNumberFormat="1" applyFill="1" applyBorder="1"/>
    <xf numFmtId="168" fontId="5" fillId="9" borderId="19" xfId="1" applyNumberFormat="1" applyFont="1" applyFill="1" applyBorder="1"/>
    <xf numFmtId="168" fontId="3" fillId="9" borderId="29" xfId="1" applyNumberFormat="1" applyFont="1" applyFill="1" applyBorder="1"/>
    <xf numFmtId="0" fontId="3" fillId="0" borderId="25" xfId="0" applyFont="1" applyBorder="1"/>
    <xf numFmtId="0" fontId="5" fillId="0" borderId="26" xfId="0" applyFont="1" applyBorder="1"/>
    <xf numFmtId="42" fontId="0" fillId="16" borderId="9" xfId="0" applyNumberFormat="1" applyFill="1" applyBorder="1"/>
    <xf numFmtId="42" fontId="0" fillId="16" borderId="1" xfId="0" applyNumberFormat="1" applyFill="1" applyBorder="1"/>
    <xf numFmtId="42" fontId="0" fillId="16" borderId="38" xfId="0" applyNumberFormat="1" applyFill="1" applyBorder="1"/>
    <xf numFmtId="0" fontId="3" fillId="11" borderId="3" xfId="0" applyFont="1" applyFill="1" applyBorder="1"/>
    <xf numFmtId="0" fontId="3" fillId="11" borderId="26" xfId="0" applyFont="1" applyFill="1" applyBorder="1"/>
    <xf numFmtId="42" fontId="0" fillId="11" borderId="38" xfId="0" applyNumberFormat="1" applyFill="1" applyBorder="1"/>
    <xf numFmtId="168" fontId="5" fillId="3" borderId="11" xfId="1" applyNumberFormat="1" applyFont="1" applyFill="1" applyBorder="1"/>
    <xf numFmtId="0" fontId="5" fillId="3" borderId="24" xfId="0" applyFont="1" applyFill="1" applyBorder="1"/>
    <xf numFmtId="0" fontId="5" fillId="3" borderId="14" xfId="0" applyFont="1" applyFill="1" applyBorder="1"/>
    <xf numFmtId="0" fontId="3" fillId="17" borderId="3" xfId="0" applyFont="1" applyFill="1" applyBorder="1"/>
    <xf numFmtId="0" fontId="3" fillId="17" borderId="26" xfId="0" applyFont="1" applyFill="1" applyBorder="1"/>
    <xf numFmtId="42" fontId="0" fillId="17" borderId="38" xfId="0" applyNumberFormat="1" applyFill="1" applyBorder="1"/>
    <xf numFmtId="0" fontId="0" fillId="17" borderId="28" xfId="0" applyFill="1" applyBorder="1"/>
    <xf numFmtId="42" fontId="3" fillId="10" borderId="38" xfId="0" applyNumberFormat="1" applyFont="1" applyFill="1" applyBorder="1"/>
    <xf numFmtId="0" fontId="5" fillId="14" borderId="3" xfId="0" applyFont="1" applyFill="1" applyBorder="1"/>
    <xf numFmtId="0" fontId="5" fillId="14" borderId="25" xfId="0" applyFont="1" applyFill="1" applyBorder="1"/>
    <xf numFmtId="167" fontId="5" fillId="14" borderId="6" xfId="4" applyNumberFormat="1" applyFont="1" applyFill="1" applyBorder="1"/>
    <xf numFmtId="0" fontId="5" fillId="14" borderId="4" xfId="0" applyFont="1" applyFill="1" applyBorder="1"/>
    <xf numFmtId="0" fontId="3" fillId="18" borderId="41" xfId="0" applyFont="1" applyFill="1" applyBorder="1"/>
    <xf numFmtId="0" fontId="0" fillId="18" borderId="11" xfId="0" applyFill="1" applyBorder="1"/>
    <xf numFmtId="169" fontId="0" fillId="18" borderId="9" xfId="0" applyNumberFormat="1" applyFill="1" applyBorder="1"/>
    <xf numFmtId="0" fontId="0" fillId="18" borderId="9" xfId="0" applyFill="1" applyBorder="1"/>
    <xf numFmtId="0" fontId="0" fillId="12" borderId="14" xfId="0" applyFill="1" applyBorder="1"/>
    <xf numFmtId="0" fontId="3" fillId="15" borderId="43" xfId="0" applyFont="1" applyFill="1" applyBorder="1"/>
    <xf numFmtId="4" fontId="3" fillId="15" borderId="30" xfId="0" applyNumberFormat="1" applyFont="1" applyFill="1" applyBorder="1"/>
    <xf numFmtId="4" fontId="5" fillId="8" borderId="25" xfId="0" applyNumberFormat="1" applyFont="1" applyFill="1" applyBorder="1"/>
    <xf numFmtId="0" fontId="5" fillId="0" borderId="0" xfId="0" applyFont="1"/>
    <xf numFmtId="44" fontId="4" fillId="11" borderId="44" xfId="4" applyFont="1" applyFill="1" applyBorder="1" applyAlignment="1">
      <alignment horizontal="center" vertical="center" textRotation="90"/>
    </xf>
    <xf numFmtId="0" fontId="0" fillId="11" borderId="44" xfId="0" applyFill="1" applyBorder="1"/>
    <xf numFmtId="167" fontId="5" fillId="11" borderId="45" xfId="4" applyNumberFormat="1" applyFont="1" applyFill="1" applyBorder="1" applyAlignment="1">
      <alignment horizontal="center"/>
    </xf>
    <xf numFmtId="171" fontId="4" fillId="11" borderId="46" xfId="9" applyNumberFormat="1" applyFont="1" applyFill="1" applyBorder="1" applyAlignment="1">
      <alignment horizontal="center" vertical="center" textRotation="90"/>
    </xf>
    <xf numFmtId="171" fontId="13" fillId="11" borderId="46" xfId="9" applyNumberFormat="1" applyFont="1" applyFill="1" applyBorder="1"/>
    <xf numFmtId="171" fontId="5" fillId="11" borderId="47" xfId="9" applyNumberFormat="1" applyFont="1" applyFill="1" applyBorder="1"/>
    <xf numFmtId="0" fontId="5" fillId="19" borderId="24" xfId="0" applyFont="1" applyFill="1" applyBorder="1"/>
    <xf numFmtId="42" fontId="0" fillId="19" borderId="23" xfId="0" applyNumberFormat="1" applyFill="1" applyBorder="1"/>
    <xf numFmtId="0" fontId="0" fillId="19" borderId="0" xfId="0" applyFill="1"/>
    <xf numFmtId="168" fontId="0" fillId="3" borderId="23" xfId="1" applyNumberFormat="1" applyFont="1" applyFill="1" applyBorder="1"/>
    <xf numFmtId="43" fontId="5" fillId="20" borderId="24" xfId="1" applyFont="1" applyFill="1" applyBorder="1"/>
    <xf numFmtId="43" fontId="13" fillId="20" borderId="23" xfId="1" applyFont="1" applyFill="1" applyBorder="1"/>
    <xf numFmtId="43" fontId="13" fillId="20" borderId="0" xfId="1" applyFont="1" applyFill="1"/>
    <xf numFmtId="167" fontId="0" fillId="21" borderId="12" xfId="0" applyNumberFormat="1" applyFill="1" applyBorder="1"/>
    <xf numFmtId="167" fontId="0" fillId="21" borderId="1" xfId="0" applyNumberFormat="1" applyFill="1" applyBorder="1"/>
    <xf numFmtId="167" fontId="0" fillId="21" borderId="0" xfId="0" applyNumberFormat="1" applyFill="1" applyBorder="1"/>
    <xf numFmtId="167" fontId="0" fillId="21" borderId="31" xfId="0" applyNumberFormat="1" applyFill="1" applyBorder="1"/>
    <xf numFmtId="2" fontId="0" fillId="0" borderId="9" xfId="0" applyNumberFormat="1" applyFill="1" applyBorder="1"/>
    <xf numFmtId="0" fontId="0" fillId="0" borderId="31" xfId="0" applyFill="1" applyBorder="1"/>
    <xf numFmtId="0" fontId="5" fillId="3" borderId="12" xfId="0" applyFont="1" applyFill="1" applyBorder="1"/>
    <xf numFmtId="0" fontId="0" fillId="3" borderId="35" xfId="0" applyFill="1" applyBorder="1"/>
    <xf numFmtId="168" fontId="13" fillId="22" borderId="26" xfId="1" applyNumberFormat="1" applyFont="1" applyFill="1" applyBorder="1"/>
    <xf numFmtId="168" fontId="13" fillId="22" borderId="27" xfId="1" applyNumberFormat="1" applyFont="1" applyFill="1" applyBorder="1"/>
    <xf numFmtId="168" fontId="13" fillId="22" borderId="28" xfId="1" applyNumberFormat="1" applyFont="1" applyFill="1" applyBorder="1"/>
    <xf numFmtId="168" fontId="13" fillId="23" borderId="28" xfId="1" applyNumberFormat="1" applyFont="1" applyFill="1" applyBorder="1"/>
    <xf numFmtId="167" fontId="0" fillId="3" borderId="12" xfId="0" applyNumberFormat="1" applyFill="1" applyBorder="1"/>
    <xf numFmtId="167" fontId="0" fillId="3" borderId="0" xfId="0" applyNumberFormat="1" applyFill="1" applyBorder="1"/>
    <xf numFmtId="168" fontId="13" fillId="22" borderId="14" xfId="1" applyNumberFormat="1" applyFont="1" applyFill="1" applyBorder="1"/>
    <xf numFmtId="174" fontId="3" fillId="2" borderId="25" xfId="0" applyNumberFormat="1" applyFont="1" applyFill="1" applyBorder="1" applyAlignment="1">
      <alignment horizontal="center"/>
    </xf>
    <xf numFmtId="174" fontId="3" fillId="0" borderId="25" xfId="0" applyNumberFormat="1" applyFont="1" applyFill="1" applyBorder="1" applyAlignment="1">
      <alignment horizontal="center"/>
    </xf>
    <xf numFmtId="174" fontId="3" fillId="14" borderId="25" xfId="0" applyNumberFormat="1" applyFont="1" applyFill="1" applyBorder="1" applyAlignment="1">
      <alignment horizontal="center"/>
    </xf>
    <xf numFmtId="174" fontId="3" fillId="0" borderId="6" xfId="0" applyNumberFormat="1" applyFont="1" applyFill="1" applyBorder="1" applyAlignment="1">
      <alignment horizontal="center"/>
    </xf>
    <xf numFmtId="174" fontId="3" fillId="0" borderId="16" xfId="0" applyNumberFormat="1" applyFont="1" applyFill="1" applyBorder="1" applyAlignment="1">
      <alignment horizontal="center"/>
    </xf>
    <xf numFmtId="168" fontId="0" fillId="2" borderId="35" xfId="1" applyNumberFormat="1" applyFont="1" applyFill="1" applyBorder="1"/>
    <xf numFmtId="2" fontId="0" fillId="3" borderId="27" xfId="0" applyNumberFormat="1" applyFill="1" applyBorder="1"/>
    <xf numFmtId="170" fontId="3" fillId="24" borderId="17" xfId="1" applyNumberFormat="1" applyFont="1" applyFill="1" applyBorder="1"/>
    <xf numFmtId="170" fontId="12" fillId="24" borderId="26" xfId="1" applyNumberFormat="1" applyFont="1" applyFill="1" applyBorder="1"/>
    <xf numFmtId="170" fontId="12" fillId="24" borderId="27" xfId="1" applyNumberFormat="1" applyFont="1" applyFill="1" applyBorder="1"/>
    <xf numFmtId="171" fontId="3" fillId="25" borderId="42" xfId="9" applyNumberFormat="1" applyFont="1" applyFill="1" applyBorder="1"/>
    <xf numFmtId="171" fontId="12" fillId="25" borderId="12" xfId="9" applyNumberFormat="1" applyFont="1" applyFill="1" applyBorder="1"/>
    <xf numFmtId="171" fontId="12" fillId="25" borderId="1" xfId="9" applyNumberFormat="1" applyFont="1" applyFill="1" applyBorder="1"/>
    <xf numFmtId="0" fontId="5" fillId="0" borderId="12" xfId="0" applyFont="1" applyFill="1" applyBorder="1"/>
    <xf numFmtId="0" fontId="3" fillId="15" borderId="3" xfId="0" applyFont="1" applyFill="1" applyBorder="1"/>
    <xf numFmtId="3" fontId="0" fillId="15" borderId="6" xfId="0" applyNumberFormat="1" applyFill="1" applyBorder="1"/>
    <xf numFmtId="167" fontId="0" fillId="21" borderId="14" xfId="0" applyNumberFormat="1" applyFill="1" applyBorder="1"/>
    <xf numFmtId="167" fontId="0" fillId="21" borderId="27" xfId="0" applyNumberFormat="1" applyFill="1" applyBorder="1"/>
    <xf numFmtId="167" fontId="0" fillId="21" borderId="28" xfId="0" applyNumberFormat="1" applyFill="1" applyBorder="1"/>
    <xf numFmtId="0" fontId="3" fillId="12" borderId="14" xfId="0" applyFont="1" applyFill="1" applyBorder="1"/>
    <xf numFmtId="0" fontId="3" fillId="0" borderId="43" xfId="0" applyFont="1" applyBorder="1"/>
    <xf numFmtId="0" fontId="3" fillId="0" borderId="48" xfId="0" applyFont="1" applyBorder="1"/>
    <xf numFmtId="175" fontId="0" fillId="0" borderId="1" xfId="0" applyNumberFormat="1" applyBorder="1"/>
    <xf numFmtId="167" fontId="0" fillId="0" borderId="0" xfId="4" applyNumberFormat="1" applyFont="1"/>
    <xf numFmtId="0" fontId="9" fillId="12" borderId="14" xfId="0" applyFont="1" applyFill="1" applyBorder="1"/>
    <xf numFmtId="167" fontId="0" fillId="0" borderId="1" xfId="4" applyNumberFormat="1" applyFont="1" applyBorder="1"/>
    <xf numFmtId="0" fontId="0" fillId="0" borderId="43" xfId="0" applyBorder="1"/>
    <xf numFmtId="0" fontId="8" fillId="0" borderId="17" xfId="0" applyFont="1" applyBorder="1"/>
    <xf numFmtId="0" fontId="8" fillId="0" borderId="28" xfId="0" applyFont="1" applyBorder="1"/>
    <xf numFmtId="168" fontId="0" fillId="0" borderId="1" xfId="1" applyNumberFormat="1" applyFont="1" applyBorder="1"/>
    <xf numFmtId="168" fontId="3" fillId="12" borderId="1" xfId="1" applyNumberFormat="1" applyFont="1" applyFill="1" applyBorder="1"/>
    <xf numFmtId="175" fontId="0" fillId="0" borderId="9" xfId="0" applyNumberFormat="1" applyBorder="1"/>
    <xf numFmtId="168" fontId="0" fillId="0" borderId="9" xfId="1" applyNumberFormat="1" applyFont="1" applyBorder="1"/>
    <xf numFmtId="168" fontId="3" fillId="12" borderId="8" xfId="1" applyNumberFormat="1" applyFont="1" applyFill="1" applyBorder="1"/>
    <xf numFmtId="168" fontId="5" fillId="9" borderId="10" xfId="1" applyNumberFormat="1" applyFont="1" applyFill="1" applyBorder="1"/>
    <xf numFmtId="0" fontId="3" fillId="20" borderId="0" xfId="0" applyFont="1" applyFill="1" applyBorder="1" applyAlignment="1">
      <alignment horizontal="center" vertical="center" textRotation="90" wrapText="1"/>
    </xf>
    <xf numFmtId="0" fontId="9" fillId="20" borderId="0" xfId="0" applyFont="1" applyFill="1" applyBorder="1"/>
    <xf numFmtId="0" fontId="8" fillId="20" borderId="0" xfId="0" applyFont="1" applyFill="1" applyBorder="1"/>
    <xf numFmtId="168" fontId="9" fillId="20" borderId="0" xfId="1" applyNumberFormat="1" applyFont="1" applyFill="1" applyBorder="1"/>
    <xf numFmtId="0" fontId="3" fillId="0" borderId="0" xfId="0" applyFont="1" applyBorder="1"/>
    <xf numFmtId="17" fontId="3" fillId="0" borderId="8" xfId="0" applyNumberFormat="1" applyFont="1" applyBorder="1"/>
    <xf numFmtId="168" fontId="5" fillId="9" borderId="49" xfId="1" applyNumberFormat="1" applyFont="1" applyFill="1" applyBorder="1"/>
    <xf numFmtId="0" fontId="9" fillId="26" borderId="14" xfId="0" applyFont="1" applyFill="1" applyBorder="1"/>
    <xf numFmtId="0" fontId="0" fillId="0" borderId="50" xfId="0" applyBorder="1"/>
    <xf numFmtId="167" fontId="9" fillId="12" borderId="8" xfId="4" applyNumberFormat="1" applyFont="1" applyFill="1" applyBorder="1"/>
    <xf numFmtId="167" fontId="9" fillId="26" borderId="8" xfId="4" applyNumberFormat="1" applyFont="1" applyFill="1" applyBorder="1"/>
    <xf numFmtId="168" fontId="0" fillId="4" borderId="9" xfId="1" applyNumberFormat="1" applyFont="1" applyFill="1" applyBorder="1"/>
    <xf numFmtId="168" fontId="0" fillId="4" borderId="31" xfId="1" applyNumberFormat="1" applyFont="1" applyFill="1" applyBorder="1"/>
    <xf numFmtId="168" fontId="0" fillId="4" borderId="30" xfId="1" applyNumberFormat="1" applyFont="1" applyFill="1" applyBorder="1"/>
    <xf numFmtId="168" fontId="0" fillId="4" borderId="11" xfId="1" applyNumberFormat="1" applyFont="1" applyFill="1" applyBorder="1"/>
    <xf numFmtId="168" fontId="0" fillId="4" borderId="35" xfId="1" applyNumberFormat="1" applyFont="1" applyFill="1" applyBorder="1"/>
    <xf numFmtId="168" fontId="0" fillId="5" borderId="30" xfId="1" applyNumberFormat="1" applyFont="1" applyFill="1" applyBorder="1"/>
    <xf numFmtId="168" fontId="0" fillId="5" borderId="0" xfId="1" applyNumberFormat="1" applyFont="1" applyFill="1" applyBorder="1"/>
    <xf numFmtId="168" fontId="0" fillId="2" borderId="30" xfId="1" applyNumberFormat="1" applyFont="1" applyFill="1" applyBorder="1"/>
    <xf numFmtId="168" fontId="0" fillId="2" borderId="48" xfId="1" applyNumberFormat="1" applyFont="1" applyFill="1" applyBorder="1"/>
    <xf numFmtId="168" fontId="0" fillId="11" borderId="31" xfId="1" applyNumberFormat="1" applyFont="1" applyFill="1" applyBorder="1"/>
    <xf numFmtId="0" fontId="5" fillId="2" borderId="14" xfId="0" applyFont="1" applyFill="1" applyBorder="1"/>
    <xf numFmtId="42" fontId="0" fillId="2" borderId="27" xfId="0" applyNumberFormat="1" applyFill="1" applyBorder="1"/>
    <xf numFmtId="168" fontId="0" fillId="0" borderId="0" xfId="1" applyNumberFormat="1" applyFont="1" applyFill="1" applyBorder="1"/>
    <xf numFmtId="0" fontId="0" fillId="0" borderId="41" xfId="0" applyBorder="1"/>
    <xf numFmtId="0" fontId="0" fillId="0" borderId="42" xfId="0" applyBorder="1"/>
    <xf numFmtId="0" fontId="3" fillId="12" borderId="33" xfId="0" applyFont="1" applyFill="1" applyBorder="1"/>
    <xf numFmtId="3" fontId="3" fillId="15" borderId="6" xfId="0" applyNumberFormat="1" applyFont="1" applyFill="1" applyBorder="1"/>
    <xf numFmtId="0" fontId="3" fillId="15" borderId="25" xfId="0" applyFont="1" applyFill="1" applyBorder="1"/>
    <xf numFmtId="0" fontId="5" fillId="0" borderId="11" xfId="0" applyFont="1" applyFill="1" applyBorder="1"/>
    <xf numFmtId="168" fontId="5" fillId="2" borderId="11" xfId="1" applyNumberFormat="1" applyFont="1" applyFill="1" applyBorder="1" applyAlignment="1">
      <alignment horizontal="left"/>
    </xf>
    <xf numFmtId="168" fontId="0" fillId="0" borderId="9" xfId="1" applyNumberFormat="1" applyFont="1" applyFill="1" applyBorder="1"/>
    <xf numFmtId="167" fontId="0" fillId="21" borderId="8" xfId="0" applyNumberFormat="1" applyFill="1" applyBorder="1"/>
    <xf numFmtId="44" fontId="0" fillId="3" borderId="1" xfId="4" applyFont="1" applyFill="1" applyBorder="1"/>
    <xf numFmtId="168" fontId="0" fillId="11" borderId="0" xfId="1" applyNumberFormat="1" applyFont="1" applyFill="1" applyBorder="1"/>
    <xf numFmtId="0" fontId="0" fillId="0" borderId="25" xfId="0" applyFill="1" applyBorder="1" applyAlignment="1">
      <alignment horizontal="center"/>
    </xf>
    <xf numFmtId="168" fontId="0" fillId="0" borderId="35" xfId="1" applyNumberFormat="1" applyFont="1" applyFill="1" applyBorder="1"/>
    <xf numFmtId="168" fontId="12" fillId="0" borderId="0" xfId="1" applyNumberFormat="1" applyFont="1" applyFill="1" applyBorder="1"/>
    <xf numFmtId="168" fontId="0" fillId="0" borderId="37" xfId="1" applyNumberFormat="1" applyFont="1" applyFill="1" applyBorder="1"/>
    <xf numFmtId="168" fontId="0" fillId="0" borderId="21" xfId="1" applyNumberFormat="1" applyFont="1" applyFill="1" applyBorder="1"/>
    <xf numFmtId="168" fontId="13" fillId="0" borderId="28" xfId="1" applyNumberFormat="1" applyFont="1" applyFill="1" applyBorder="1"/>
    <xf numFmtId="168" fontId="0" fillId="0" borderId="0" xfId="1" applyNumberFormat="1" applyFont="1" applyFill="1"/>
    <xf numFmtId="0" fontId="0" fillId="0" borderId="0" xfId="0" applyFill="1"/>
    <xf numFmtId="43" fontId="13" fillId="0" borderId="23" xfId="1" applyFont="1" applyFill="1" applyBorder="1"/>
    <xf numFmtId="43" fontId="13" fillId="0" borderId="0" xfId="1" applyFont="1" applyFill="1"/>
    <xf numFmtId="42" fontId="0" fillId="0" borderId="1" xfId="0" applyNumberFormat="1" applyFill="1" applyBorder="1"/>
    <xf numFmtId="167" fontId="0" fillId="0" borderId="1" xfId="0" applyNumberFormat="1" applyFill="1" applyBorder="1"/>
    <xf numFmtId="167" fontId="0" fillId="0" borderId="0" xfId="0" applyNumberFormat="1" applyFill="1" applyBorder="1"/>
    <xf numFmtId="167" fontId="0" fillId="0" borderId="8" xfId="0" applyNumberFormat="1" applyFill="1" applyBorder="1"/>
    <xf numFmtId="167" fontId="0" fillId="0" borderId="28" xfId="0" applyNumberFormat="1" applyFill="1" applyBorder="1"/>
    <xf numFmtId="42" fontId="0" fillId="0" borderId="23" xfId="0" applyNumberFormat="1" applyFill="1" applyBorder="1"/>
    <xf numFmtId="42" fontId="0" fillId="0" borderId="31" xfId="0" applyNumberFormat="1" applyFill="1" applyBorder="1"/>
    <xf numFmtId="42" fontId="0" fillId="0" borderId="27" xfId="0" applyNumberFormat="1" applyFill="1" applyBorder="1"/>
    <xf numFmtId="42" fontId="0" fillId="0" borderId="8" xfId="0" applyNumberFormat="1" applyFill="1" applyBorder="1"/>
    <xf numFmtId="167" fontId="0" fillId="0" borderId="1" xfId="4" applyNumberFormat="1" applyFont="1" applyFill="1" applyBorder="1"/>
    <xf numFmtId="0" fontId="0" fillId="0" borderId="27" xfId="0" applyFill="1" applyBorder="1"/>
    <xf numFmtId="167" fontId="0" fillId="0" borderId="36" xfId="4" applyNumberFormat="1" applyFont="1" applyFill="1" applyBorder="1"/>
    <xf numFmtId="167" fontId="0" fillId="0" borderId="0" xfId="4" applyNumberFormat="1" applyFont="1" applyFill="1" applyBorder="1"/>
    <xf numFmtId="43" fontId="5" fillId="0" borderId="4" xfId="1" applyFont="1" applyFill="1" applyBorder="1"/>
    <xf numFmtId="0" fontId="0" fillId="0" borderId="4" xfId="0" applyFill="1" applyBorder="1"/>
    <xf numFmtId="167" fontId="5" fillId="0" borderId="45" xfId="4" applyNumberFormat="1" applyFont="1" applyFill="1" applyBorder="1" applyAlignment="1">
      <alignment horizontal="center"/>
    </xf>
    <xf numFmtId="0" fontId="0" fillId="0" borderId="44" xfId="0" applyFill="1" applyBorder="1"/>
    <xf numFmtId="171" fontId="5" fillId="0" borderId="47" xfId="9" applyNumberFormat="1" applyFont="1" applyFill="1" applyBorder="1"/>
    <xf numFmtId="171" fontId="13" fillId="0" borderId="46" xfId="9" applyNumberFormat="1" applyFont="1" applyFill="1" applyBorder="1"/>
    <xf numFmtId="168" fontId="0" fillId="0" borderId="10" xfId="1" applyNumberFormat="1" applyFont="1" applyFill="1" applyBorder="1"/>
    <xf numFmtId="168" fontId="0" fillId="0" borderId="22" xfId="1" applyNumberFormat="1" applyFont="1" applyFill="1" applyBorder="1"/>
    <xf numFmtId="168" fontId="0" fillId="0" borderId="23" xfId="1" applyNumberFormat="1" applyFont="1" applyFill="1" applyBorder="1"/>
    <xf numFmtId="168" fontId="12" fillId="0" borderId="37" xfId="1" applyNumberFormat="1" applyFont="1" applyFill="1" applyBorder="1"/>
    <xf numFmtId="167" fontId="0" fillId="0" borderId="31" xfId="0" applyNumberFormat="1" applyFill="1" applyBorder="1"/>
    <xf numFmtId="167" fontId="0" fillId="0" borderId="27" xfId="0" applyNumberFormat="1" applyFill="1" applyBorder="1"/>
    <xf numFmtId="167" fontId="0" fillId="0" borderId="27" xfId="4" applyNumberFormat="1" applyFont="1" applyFill="1" applyBorder="1"/>
    <xf numFmtId="167" fontId="0" fillId="0" borderId="28" xfId="4" applyNumberFormat="1" applyFont="1" applyFill="1" applyBorder="1"/>
    <xf numFmtId="43" fontId="5" fillId="0" borderId="15" xfId="1" applyFont="1" applyFill="1" applyBorder="1"/>
    <xf numFmtId="0" fontId="5" fillId="28" borderId="12" xfId="0" applyFont="1" applyFill="1" applyBorder="1"/>
    <xf numFmtId="0" fontId="5" fillId="28" borderId="14" xfId="0" applyFont="1" applyFill="1" applyBorder="1"/>
    <xf numFmtId="0" fontId="5" fillId="28" borderId="25" xfId="0" applyFont="1" applyFill="1" applyBorder="1"/>
    <xf numFmtId="168" fontId="0" fillId="28" borderId="1" xfId="1" applyNumberFormat="1" applyFont="1" applyFill="1" applyBorder="1"/>
    <xf numFmtId="168" fontId="0" fillId="28" borderId="8" xfId="1" applyNumberFormat="1" applyFont="1" applyFill="1" applyBorder="1"/>
    <xf numFmtId="168" fontId="0" fillId="28" borderId="34" xfId="1" applyNumberFormat="1" applyFont="1" applyFill="1" applyBorder="1"/>
    <xf numFmtId="168" fontId="0" fillId="28" borderId="31" xfId="1" applyNumberFormat="1" applyFont="1" applyFill="1" applyBorder="1"/>
    <xf numFmtId="171" fontId="5" fillId="0" borderId="0" xfId="9" applyNumberFormat="1" applyFont="1" applyFill="1" applyBorder="1"/>
    <xf numFmtId="171" fontId="13" fillId="0" borderId="0" xfId="9" applyNumberFormat="1" applyFont="1" applyFill="1" applyBorder="1"/>
    <xf numFmtId="171" fontId="4" fillId="0" borderId="0" xfId="9" applyNumberFormat="1" applyFont="1" applyFill="1" applyBorder="1" applyAlignment="1">
      <alignment horizontal="center" vertical="center" textRotation="90"/>
    </xf>
    <xf numFmtId="171" fontId="5" fillId="0" borderId="34" xfId="9" applyNumberFormat="1" applyFont="1" applyFill="1" applyBorder="1"/>
    <xf numFmtId="42" fontId="0" fillId="0" borderId="0" xfId="0" applyNumberFormat="1" applyBorder="1"/>
    <xf numFmtId="167" fontId="0" fillId="0" borderId="0" xfId="0" applyNumberFormat="1" applyBorder="1"/>
    <xf numFmtId="0" fontId="0" fillId="0" borderId="27" xfId="0" applyBorder="1"/>
    <xf numFmtId="173" fontId="0" fillId="0" borderId="27" xfId="0" applyNumberFormat="1" applyBorder="1"/>
    <xf numFmtId="168" fontId="0" fillId="0" borderId="0" xfId="1" applyNumberFormat="1" applyFont="1" applyBorder="1"/>
    <xf numFmtId="0" fontId="0" fillId="0" borderId="35" xfId="0" applyBorder="1"/>
    <xf numFmtId="9" fontId="0" fillId="0" borderId="0" xfId="9" applyFont="1" applyBorder="1"/>
    <xf numFmtId="174" fontId="0" fillId="0" borderId="0" xfId="0" applyNumberFormat="1" applyBorder="1"/>
    <xf numFmtId="9" fontId="0" fillId="14" borderId="0" xfId="9" applyFont="1" applyFill="1" applyBorder="1"/>
    <xf numFmtId="174" fontId="3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168" fontId="13" fillId="22" borderId="31" xfId="1" applyNumberFormat="1" applyFont="1" applyFill="1" applyBorder="1"/>
    <xf numFmtId="168" fontId="13" fillId="22" borderId="0" xfId="1" applyNumberFormat="1" applyFont="1" applyFill="1" applyBorder="1"/>
    <xf numFmtId="0" fontId="0" fillId="0" borderId="10" xfId="0" applyFill="1" applyBorder="1"/>
    <xf numFmtId="42" fontId="0" fillId="2" borderId="56" xfId="0" applyNumberFormat="1" applyFill="1" applyBorder="1"/>
    <xf numFmtId="167" fontId="0" fillId="3" borderId="31" xfId="4" applyNumberFormat="1" applyFont="1" applyFill="1" applyBorder="1"/>
    <xf numFmtId="168" fontId="12" fillId="13" borderId="1" xfId="1" applyNumberFormat="1" applyFont="1" applyFill="1" applyBorder="1"/>
    <xf numFmtId="168" fontId="0" fillId="21" borderId="1" xfId="1" applyNumberFormat="1" applyFont="1" applyFill="1" applyBorder="1"/>
    <xf numFmtId="167" fontId="0" fillId="21" borderId="22" xfId="0" applyNumberFormat="1" applyFill="1" applyBorder="1"/>
    <xf numFmtId="167" fontId="0" fillId="21" borderId="34" xfId="0" applyNumberFormat="1" applyFill="1" applyBorder="1"/>
    <xf numFmtId="167" fontId="0" fillId="21" borderId="10" xfId="0" applyNumberFormat="1" applyFill="1" applyBorder="1"/>
    <xf numFmtId="167" fontId="0" fillId="21" borderId="23" xfId="0" applyNumberFormat="1" applyFill="1" applyBorder="1"/>
    <xf numFmtId="167" fontId="0" fillId="21" borderId="9" xfId="0" applyNumberFormat="1" applyFill="1" applyBorder="1"/>
    <xf numFmtId="168" fontId="3" fillId="21" borderId="8" xfId="1" applyNumberFormat="1" applyFont="1" applyFill="1" applyBorder="1"/>
    <xf numFmtId="170" fontId="0" fillId="0" borderId="31" xfId="1" applyNumberFormat="1" applyFont="1" applyFill="1" applyBorder="1"/>
    <xf numFmtId="0" fontId="0" fillId="0" borderId="57" xfId="0" applyBorder="1" applyAlignment="1">
      <alignment horizontal="center"/>
    </xf>
    <xf numFmtId="0" fontId="0" fillId="5" borderId="57" xfId="0" applyFill="1" applyBorder="1"/>
    <xf numFmtId="0" fontId="0" fillId="0" borderId="37" xfId="0" applyBorder="1" applyAlignment="1">
      <alignment horizontal="center"/>
    </xf>
    <xf numFmtId="168" fontId="0" fillId="4" borderId="22" xfId="1" applyNumberFormat="1" applyFont="1" applyFill="1" applyBorder="1"/>
    <xf numFmtId="168" fontId="0" fillId="4" borderId="34" xfId="1" applyNumberFormat="1" applyFont="1" applyFill="1" applyBorder="1"/>
    <xf numFmtId="168" fontId="12" fillId="13" borderId="55" xfId="1" applyNumberFormat="1" applyFont="1" applyFill="1" applyBorder="1"/>
    <xf numFmtId="168" fontId="0" fillId="4" borderId="39" xfId="1" applyNumberFormat="1" applyFont="1" applyFill="1" applyBorder="1"/>
    <xf numFmtId="168" fontId="5" fillId="4" borderId="1" xfId="1" applyNumberFormat="1" applyFont="1" applyFill="1" applyBorder="1"/>
    <xf numFmtId="168" fontId="5" fillId="4" borderId="23" xfId="1" applyNumberFormat="1" applyFont="1" applyFill="1" applyBorder="1"/>
    <xf numFmtId="167" fontId="5" fillId="4" borderId="1" xfId="4" applyNumberFormat="1" applyFont="1" applyFill="1" applyBorder="1"/>
    <xf numFmtId="167" fontId="5" fillId="4" borderId="23" xfId="4" applyNumberFormat="1" applyFont="1" applyFill="1" applyBorder="1"/>
    <xf numFmtId="172" fontId="0" fillId="0" borderId="9" xfId="4" applyNumberFormat="1" applyFont="1" applyFill="1" applyBorder="1"/>
    <xf numFmtId="168" fontId="13" fillId="23" borderId="31" xfId="1" applyNumberFormat="1" applyFont="1" applyFill="1" applyBorder="1"/>
    <xf numFmtId="167" fontId="0" fillId="3" borderId="9" xfId="4" applyNumberFormat="1" applyFont="1" applyFill="1" applyBorder="1"/>
    <xf numFmtId="17" fontId="0" fillId="0" borderId="58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3" fillId="0" borderId="6" xfId="0" applyNumberFormat="1" applyFont="1" applyFill="1" applyBorder="1" applyAlignment="1">
      <alignment horizontal="center"/>
    </xf>
    <xf numFmtId="17" fontId="3" fillId="14" borderId="6" xfId="0" applyNumberFormat="1" applyFont="1" applyFill="1" applyBorder="1" applyAlignment="1">
      <alignment horizontal="center"/>
    </xf>
    <xf numFmtId="168" fontId="0" fillId="4" borderId="59" xfId="1" applyNumberFormat="1" applyFont="1" applyFill="1" applyBorder="1"/>
    <xf numFmtId="168" fontId="5" fillId="4" borderId="55" xfId="1" applyNumberFormat="1" applyFont="1" applyFill="1" applyBorder="1"/>
    <xf numFmtId="168" fontId="5" fillId="4" borderId="22" xfId="1" applyNumberFormat="1" applyFont="1" applyFill="1" applyBorder="1"/>
    <xf numFmtId="2" fontId="0" fillId="0" borderId="10" xfId="0" applyNumberFormat="1" applyFill="1" applyBorder="1"/>
    <xf numFmtId="167" fontId="0" fillId="21" borderId="55" xfId="0" applyNumberFormat="1" applyFill="1" applyBorder="1"/>
    <xf numFmtId="2" fontId="0" fillId="0" borderId="55" xfId="0" applyNumberFormat="1" applyFill="1" applyBorder="1"/>
    <xf numFmtId="0" fontId="0" fillId="4" borderId="27" xfId="0" applyFill="1" applyBorder="1"/>
    <xf numFmtId="170" fontId="0" fillId="0" borderId="9" xfId="1" applyNumberFormat="1" applyFont="1" applyFill="1" applyBorder="1"/>
    <xf numFmtId="0" fontId="0" fillId="0" borderId="35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7" fontId="0" fillId="21" borderId="55" xfId="4" applyNumberFormat="1" applyFont="1" applyFill="1" applyBorder="1"/>
    <xf numFmtId="167" fontId="0" fillId="21" borderId="1" xfId="4" applyNumberFormat="1" applyFont="1" applyFill="1" applyBorder="1"/>
    <xf numFmtId="49" fontId="0" fillId="0" borderId="6" xfId="0" applyNumberFormat="1" applyBorder="1" applyAlignment="1">
      <alignment horizontal="center"/>
    </xf>
    <xf numFmtId="49" fontId="0" fillId="11" borderId="44" xfId="0" applyNumberFormat="1" applyFill="1" applyBorder="1"/>
    <xf numFmtId="49" fontId="13" fillId="11" borderId="46" xfId="9" applyNumberFormat="1" applyFont="1" applyFill="1" applyBorder="1"/>
    <xf numFmtId="49" fontId="0" fillId="0" borderId="0" xfId="0" applyNumberFormat="1"/>
    <xf numFmtId="43" fontId="0" fillId="0" borderId="0" xfId="1" applyNumberFormat="1" applyFont="1" applyFill="1" applyBorder="1" applyAlignment="1">
      <alignment horizontal="center"/>
    </xf>
    <xf numFmtId="43" fontId="0" fillId="0" borderId="31" xfId="1" applyNumberFormat="1" applyFont="1" applyFill="1" applyBorder="1"/>
    <xf numFmtId="0" fontId="0" fillId="3" borderId="1" xfId="0" applyFill="1" applyBorder="1"/>
    <xf numFmtId="0" fontId="0" fillId="3" borderId="34" xfId="0" applyFill="1" applyBorder="1"/>
    <xf numFmtId="166" fontId="0" fillId="0" borderId="55" xfId="0" applyNumberFormat="1" applyFill="1" applyBorder="1"/>
    <xf numFmtId="0" fontId="0" fillId="3" borderId="10" xfId="0" applyFill="1" applyBorder="1"/>
    <xf numFmtId="43" fontId="0" fillId="0" borderId="34" xfId="1" applyNumberFormat="1" applyFont="1" applyFill="1" applyBorder="1"/>
    <xf numFmtId="0" fontId="0" fillId="3" borderId="55" xfId="0" applyFill="1" applyBorder="1"/>
    <xf numFmtId="0" fontId="3" fillId="0" borderId="0" xfId="0" applyFont="1" applyFill="1" applyBorder="1" applyAlignment="1">
      <alignment horizontal="center"/>
    </xf>
    <xf numFmtId="167" fontId="3" fillId="21" borderId="22" xfId="0" applyNumberFormat="1" applyFont="1" applyFill="1" applyBorder="1"/>
    <xf numFmtId="167" fontId="3" fillId="21" borderId="23" xfId="0" applyNumberFormat="1" applyFont="1" applyFill="1" applyBorder="1"/>
    <xf numFmtId="168" fontId="3" fillId="21" borderId="23" xfId="1" applyNumberFormat="1" applyFont="1" applyFill="1" applyBorder="1"/>
    <xf numFmtId="167" fontId="3" fillId="21" borderId="0" xfId="0" applyNumberFormat="1" applyFont="1" applyFill="1" applyBorder="1"/>
    <xf numFmtId="168" fontId="13" fillId="0" borderId="34" xfId="1" applyNumberFormat="1" applyFont="1" applyFill="1" applyBorder="1"/>
    <xf numFmtId="168" fontId="13" fillId="0" borderId="31" xfId="1" applyNumberFormat="1" applyFont="1" applyFill="1" applyBorder="1"/>
    <xf numFmtId="168" fontId="3" fillId="21" borderId="0" xfId="1" applyNumberFormat="1" applyFont="1" applyFill="1" applyBorder="1"/>
    <xf numFmtId="168" fontId="3" fillId="21" borderId="29" xfId="1" applyNumberFormat="1" applyFont="1" applyFill="1" applyBorder="1"/>
    <xf numFmtId="17" fontId="0" fillId="0" borderId="0" xfId="0" applyNumberFormat="1" applyBorder="1" applyAlignment="1">
      <alignment horizontal="center"/>
    </xf>
    <xf numFmtId="168" fontId="0" fillId="3" borderId="0" xfId="1" applyNumberFormat="1" applyFont="1" applyFill="1" applyBorder="1"/>
    <xf numFmtId="0" fontId="0" fillId="19" borderId="0" xfId="0" applyFill="1" applyBorder="1"/>
    <xf numFmtId="43" fontId="13" fillId="20" borderId="0" xfId="1" applyFont="1" applyFill="1" applyBorder="1"/>
    <xf numFmtId="0" fontId="0" fillId="6" borderId="0" xfId="0" applyFill="1" applyBorder="1"/>
    <xf numFmtId="171" fontId="13" fillId="11" borderId="0" xfId="9" applyNumberFormat="1" applyFont="1" applyFill="1" applyBorder="1"/>
    <xf numFmtId="167" fontId="0" fillId="7" borderId="31" xfId="4" applyNumberFormat="1" applyFont="1" applyFill="1" applyBorder="1"/>
    <xf numFmtId="0" fontId="0" fillId="0" borderId="34" xfId="0" applyBorder="1"/>
    <xf numFmtId="49" fontId="0" fillId="0" borderId="0" xfId="0" applyNumberFormat="1" applyFill="1" applyBorder="1" applyAlignment="1">
      <alignment horizontal="center"/>
    </xf>
    <xf numFmtId="10" fontId="5" fillId="11" borderId="47" xfId="9" applyNumberFormat="1" applyFont="1" applyFill="1" applyBorder="1"/>
    <xf numFmtId="0" fontId="0" fillId="0" borderId="28" xfId="0" applyFill="1" applyBorder="1" applyAlignment="1">
      <alignment horizontal="center"/>
    </xf>
    <xf numFmtId="49" fontId="0" fillId="0" borderId="28" xfId="0" applyNumberFormat="1" applyFill="1" applyBorder="1" applyAlignment="1">
      <alignment horizontal="center"/>
    </xf>
    <xf numFmtId="174" fontId="3" fillId="0" borderId="28" xfId="0" applyNumberFormat="1" applyFont="1" applyFill="1" applyBorder="1" applyAlignment="1">
      <alignment horizontal="center"/>
    </xf>
    <xf numFmtId="168" fontId="1" fillId="4" borderId="31" xfId="1" applyNumberFormat="1" applyFont="1" applyFill="1" applyBorder="1"/>
    <xf numFmtId="167" fontId="0" fillId="7" borderId="39" xfId="4" applyNumberFormat="1" applyFont="1" applyFill="1" applyBorder="1"/>
    <xf numFmtId="49" fontId="0" fillId="11" borderId="21" xfId="0" applyNumberFormat="1" applyFill="1" applyBorder="1"/>
    <xf numFmtId="44" fontId="5" fillId="11" borderId="59" xfId="4" applyNumberFormat="1" applyFont="1" applyFill="1" applyBorder="1" applyAlignment="1">
      <alignment horizontal="center"/>
    </xf>
    <xf numFmtId="0" fontId="0" fillId="11" borderId="21" xfId="0" applyFill="1" applyBorder="1"/>
    <xf numFmtId="49" fontId="13" fillId="11" borderId="4" xfId="9" applyNumberFormat="1" applyFont="1" applyFill="1" applyBorder="1"/>
    <xf numFmtId="10" fontId="5" fillId="11" borderId="15" xfId="9" applyNumberFormat="1" applyFont="1" applyFill="1" applyBorder="1"/>
    <xf numFmtId="171" fontId="13" fillId="11" borderId="4" xfId="9" applyNumberFormat="1" applyFont="1" applyFill="1" applyBorder="1"/>
    <xf numFmtId="176" fontId="0" fillId="0" borderId="1" xfId="4" applyNumberFormat="1" applyFont="1" applyFill="1" applyBorder="1"/>
    <xf numFmtId="49" fontId="0" fillId="9" borderId="61" xfId="1" applyNumberFormat="1" applyFont="1" applyFill="1" applyBorder="1"/>
    <xf numFmtId="49" fontId="0" fillId="4" borderId="61" xfId="1" applyNumberFormat="1" applyFont="1" applyFill="1" applyBorder="1"/>
    <xf numFmtId="49" fontId="0" fillId="4" borderId="52" xfId="1" applyNumberFormat="1" applyFont="1" applyFill="1" applyBorder="1"/>
    <xf numFmtId="49" fontId="0" fillId="4" borderId="62" xfId="1" applyNumberFormat="1" applyFont="1" applyFill="1" applyBorder="1"/>
    <xf numFmtId="49" fontId="12" fillId="13" borderId="52" xfId="1" applyNumberFormat="1" applyFont="1" applyFill="1" applyBorder="1"/>
    <xf numFmtId="49" fontId="0" fillId="5" borderId="61" xfId="1" applyNumberFormat="1" applyFont="1" applyFill="1" applyBorder="1"/>
    <xf numFmtId="49" fontId="0" fillId="5" borderId="52" xfId="1" applyNumberFormat="1" applyFont="1" applyFill="1" applyBorder="1"/>
    <xf numFmtId="49" fontId="0" fillId="5" borderId="62" xfId="1" applyNumberFormat="1" applyFont="1" applyFill="1" applyBorder="1"/>
    <xf numFmtId="49" fontId="0" fillId="11" borderId="63" xfId="0" applyNumberFormat="1" applyFill="1" applyBorder="1"/>
    <xf numFmtId="49" fontId="0" fillId="2" borderId="51" xfId="1" applyNumberFormat="1" applyFont="1" applyFill="1" applyBorder="1"/>
    <xf numFmtId="49" fontId="0" fillId="2" borderId="52" xfId="1" applyNumberFormat="1" applyFont="1" applyFill="1" applyBorder="1"/>
    <xf numFmtId="49" fontId="0" fillId="2" borderId="62" xfId="1" applyNumberFormat="1" applyFont="1" applyFill="1" applyBorder="1"/>
    <xf numFmtId="49" fontId="13" fillId="22" borderId="64" xfId="1" applyNumberFormat="1" applyFont="1" applyFill="1" applyBorder="1"/>
    <xf numFmtId="49" fontId="5" fillId="3" borderId="62" xfId="1" applyNumberFormat="1" applyFont="1" applyFill="1" applyBorder="1"/>
    <xf numFmtId="49" fontId="5" fillId="3" borderId="61" xfId="0" applyNumberFormat="1" applyFont="1" applyFill="1" applyBorder="1"/>
    <xf numFmtId="49" fontId="5" fillId="19" borderId="61" xfId="0" applyNumberFormat="1" applyFont="1" applyFill="1" applyBorder="1"/>
    <xf numFmtId="49" fontId="5" fillId="20" borderId="61" xfId="1" applyNumberFormat="1" applyFont="1" applyFill="1" applyBorder="1"/>
    <xf numFmtId="49" fontId="5" fillId="3" borderId="63" xfId="0" applyNumberFormat="1" applyFont="1" applyFill="1" applyBorder="1"/>
    <xf numFmtId="49" fontId="0" fillId="0" borderId="62" xfId="0" applyNumberFormat="1" applyFill="1" applyBorder="1"/>
    <xf numFmtId="49" fontId="0" fillId="21" borderId="63" xfId="0" applyNumberFormat="1" applyFill="1" applyBorder="1"/>
    <xf numFmtId="49" fontId="0" fillId="0" borderId="63" xfId="0" applyNumberFormat="1" applyFill="1" applyBorder="1"/>
    <xf numFmtId="49" fontId="0" fillId="5" borderId="63" xfId="0" applyNumberFormat="1" applyFill="1" applyBorder="1"/>
    <xf numFmtId="49" fontId="0" fillId="2" borderId="63" xfId="0" applyNumberFormat="1" applyFill="1" applyBorder="1"/>
    <xf numFmtId="49" fontId="0" fillId="0" borderId="61" xfId="0" applyNumberFormat="1" applyFill="1" applyBorder="1"/>
    <xf numFmtId="49" fontId="0" fillId="2" borderId="64" xfId="0" applyNumberFormat="1" applyFill="1" applyBorder="1"/>
    <xf numFmtId="49" fontId="5" fillId="2" borderId="62" xfId="1" applyNumberFormat="1" applyFont="1" applyFill="1" applyBorder="1" applyAlignment="1">
      <alignment horizontal="left"/>
    </xf>
    <xf numFmtId="49" fontId="5" fillId="0" borderId="62" xfId="0" applyNumberFormat="1" applyFont="1" applyFill="1" applyBorder="1"/>
    <xf numFmtId="49" fontId="5" fillId="2" borderId="64" xfId="0" applyNumberFormat="1" applyFont="1" applyFill="1" applyBorder="1"/>
    <xf numFmtId="49" fontId="0" fillId="3" borderId="63" xfId="0" applyNumberFormat="1" applyFill="1" applyBorder="1"/>
    <xf numFmtId="49" fontId="5" fillId="3" borderId="64" xfId="0" applyNumberFormat="1" applyFont="1" applyFill="1" applyBorder="1"/>
    <xf numFmtId="49" fontId="0" fillId="7" borderId="52" xfId="4" applyNumberFormat="1" applyFont="1" applyFill="1" applyBorder="1"/>
    <xf numFmtId="49" fontId="0" fillId="6" borderId="16" xfId="0" applyNumberFormat="1" applyFill="1" applyBorder="1"/>
    <xf numFmtId="49" fontId="0" fillId="9" borderId="62" xfId="1" applyNumberFormat="1" applyFont="1" applyFill="1" applyBorder="1"/>
    <xf numFmtId="49" fontId="5" fillId="0" borderId="63" xfId="0" applyNumberFormat="1" applyFont="1" applyFill="1" applyBorder="1"/>
    <xf numFmtId="49" fontId="0" fillId="3" borderId="34" xfId="4" applyNumberFormat="1" applyFont="1" applyFill="1" applyBorder="1"/>
    <xf numFmtId="49" fontId="0" fillId="21" borderId="51" xfId="0" applyNumberFormat="1" applyFill="1" applyBorder="1"/>
    <xf numFmtId="49" fontId="0" fillId="21" borderId="52" xfId="0" applyNumberFormat="1" applyFill="1" applyBorder="1"/>
    <xf numFmtId="49" fontId="0" fillId="21" borderId="62" xfId="0" applyNumberFormat="1" applyFill="1" applyBorder="1"/>
    <xf numFmtId="49" fontId="5" fillId="21" borderId="63" xfId="0" applyNumberFormat="1" applyFont="1" applyFill="1" applyBorder="1"/>
    <xf numFmtId="49" fontId="3" fillId="21" borderId="63" xfId="0" applyNumberFormat="1" applyFont="1" applyFill="1" applyBorder="1"/>
    <xf numFmtId="49" fontId="0" fillId="21" borderId="62" xfId="4" applyNumberFormat="1" applyFont="1" applyFill="1" applyBorder="1"/>
    <xf numFmtId="49" fontId="5" fillId="0" borderId="52" xfId="1" applyNumberFormat="1" applyFont="1" applyFill="1" applyBorder="1"/>
    <xf numFmtId="49" fontId="3" fillId="21" borderId="32" xfId="1" applyNumberFormat="1" applyFont="1" applyFill="1" applyBorder="1"/>
    <xf numFmtId="49" fontId="5" fillId="4" borderId="51" xfId="1" applyNumberFormat="1" applyFont="1" applyFill="1" applyBorder="1"/>
    <xf numFmtId="49" fontId="5" fillId="0" borderId="52" xfId="0" applyNumberFormat="1" applyFont="1" applyFill="1" applyBorder="1"/>
    <xf numFmtId="49" fontId="5" fillId="4" borderId="63" xfId="1" applyNumberFormat="1" applyFont="1" applyFill="1" applyBorder="1"/>
    <xf numFmtId="49" fontId="5" fillId="4" borderId="52" xfId="1" applyNumberFormat="1" applyFont="1" applyFill="1" applyBorder="1"/>
    <xf numFmtId="49" fontId="5" fillId="4" borderId="61" xfId="1" applyNumberFormat="1" applyFont="1" applyFill="1" applyBorder="1"/>
    <xf numFmtId="49" fontId="5" fillId="4" borderId="62" xfId="1" applyNumberFormat="1" applyFont="1" applyFill="1" applyBorder="1"/>
    <xf numFmtId="49" fontId="5" fillId="22" borderId="61" xfId="1" applyNumberFormat="1" applyFont="1" applyFill="1" applyBorder="1"/>
    <xf numFmtId="49" fontId="5" fillId="2" borderId="18" xfId="0" applyNumberFormat="1" applyFont="1" applyFill="1" applyBorder="1"/>
    <xf numFmtId="49" fontId="5" fillId="0" borderId="60" xfId="0" applyNumberFormat="1" applyFont="1" applyFill="1" applyBorder="1"/>
    <xf numFmtId="49" fontId="0" fillId="3" borderId="52" xfId="0" applyNumberFormat="1" applyFill="1" applyBorder="1"/>
    <xf numFmtId="49" fontId="0" fillId="3" borderId="62" xfId="0" applyNumberFormat="1" applyFill="1" applyBorder="1"/>
    <xf numFmtId="49" fontId="0" fillId="3" borderId="64" xfId="0" applyNumberFormat="1" applyFill="1" applyBorder="1"/>
    <xf numFmtId="168" fontId="13" fillId="23" borderId="0" xfId="1" applyNumberFormat="1" applyFont="1" applyFill="1" applyBorder="1"/>
    <xf numFmtId="49" fontId="0" fillId="0" borderId="0" xfId="0" applyNumberFormat="1" applyBorder="1"/>
    <xf numFmtId="168" fontId="13" fillId="0" borderId="0" xfId="1" applyNumberFormat="1" applyFont="1" applyFill="1" applyBorder="1"/>
    <xf numFmtId="167" fontId="5" fillId="0" borderId="0" xfId="4" applyNumberFormat="1" applyFont="1" applyFill="1" applyBorder="1" applyAlignment="1">
      <alignment horizontal="center"/>
    </xf>
    <xf numFmtId="167" fontId="5" fillId="0" borderId="28" xfId="4" applyNumberFormat="1" applyFont="1" applyFill="1" applyBorder="1" applyAlignment="1">
      <alignment horizontal="center"/>
    </xf>
    <xf numFmtId="1" fontId="0" fillId="5" borderId="23" xfId="1" applyNumberFormat="1" applyFont="1" applyFill="1" applyBorder="1"/>
    <xf numFmtId="1" fontId="0" fillId="5" borderId="31" xfId="1" applyNumberFormat="1" applyFont="1" applyFill="1" applyBorder="1"/>
    <xf numFmtId="1" fontId="0" fillId="5" borderId="9" xfId="1" applyNumberFormat="1" applyFont="1" applyFill="1" applyBorder="1"/>
    <xf numFmtId="1" fontId="0" fillId="11" borderId="1" xfId="0" applyNumberFormat="1" applyFill="1" applyBorder="1"/>
    <xf numFmtId="1" fontId="0" fillId="9" borderId="1" xfId="1" applyNumberFormat="1" applyFont="1" applyFill="1" applyBorder="1"/>
    <xf numFmtId="1" fontId="3" fillId="0" borderId="35" xfId="0" applyNumberFormat="1" applyFont="1" applyBorder="1"/>
    <xf numFmtId="1" fontId="0" fillId="0" borderId="35" xfId="0" applyNumberFormat="1" applyBorder="1"/>
    <xf numFmtId="1" fontId="0" fillId="9" borderId="55" xfId="1" applyNumberFormat="1" applyFont="1" applyFill="1" applyBorder="1"/>
    <xf numFmtId="1" fontId="0" fillId="5" borderId="22" xfId="1" applyNumberFormat="1" applyFont="1" applyFill="1" applyBorder="1"/>
    <xf numFmtId="1" fontId="0" fillId="5" borderId="34" xfId="1" applyNumberFormat="1" applyFont="1" applyFill="1" applyBorder="1"/>
    <xf numFmtId="1" fontId="0" fillId="5" borderId="10" xfId="1" applyNumberFormat="1" applyFont="1" applyFill="1" applyBorder="1"/>
    <xf numFmtId="1" fontId="0" fillId="11" borderId="55" xfId="0" applyNumberFormat="1" applyFill="1" applyBorder="1"/>
    <xf numFmtId="1" fontId="3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77" fontId="0" fillId="0" borderId="0" xfId="0" applyNumberFormat="1"/>
    <xf numFmtId="44" fontId="0" fillId="0" borderId="35" xfId="4" applyFont="1" applyBorder="1"/>
    <xf numFmtId="177" fontId="1" fillId="0" borderId="0" xfId="0" applyNumberFormat="1" applyFont="1"/>
    <xf numFmtId="168" fontId="0" fillId="3" borderId="34" xfId="1" applyNumberFormat="1" applyFont="1" applyFill="1" applyBorder="1"/>
    <xf numFmtId="42" fontId="0" fillId="19" borderId="22" xfId="0" applyNumberFormat="1" applyFill="1" applyBorder="1"/>
    <xf numFmtId="43" fontId="13" fillId="20" borderId="22" xfId="1" applyFont="1" applyFill="1" applyBorder="1"/>
    <xf numFmtId="42" fontId="0" fillId="3" borderId="55" xfId="0" applyNumberFormat="1" applyFill="1" applyBorder="1"/>
    <xf numFmtId="0" fontId="0" fillId="0" borderId="55" xfId="0" applyFill="1" applyBorder="1"/>
    <xf numFmtId="167" fontId="0" fillId="21" borderId="38" xfId="0" applyNumberFormat="1" applyFill="1" applyBorder="1"/>
    <xf numFmtId="49" fontId="5" fillId="3" borderId="13" xfId="1" applyNumberFormat="1" applyFont="1" applyFill="1" applyBorder="1"/>
    <xf numFmtId="49" fontId="5" fillId="3" borderId="24" xfId="0" applyNumberFormat="1" applyFont="1" applyFill="1" applyBorder="1"/>
    <xf numFmtId="49" fontId="5" fillId="19" borderId="24" xfId="0" applyNumberFormat="1" applyFont="1" applyFill="1" applyBorder="1"/>
    <xf numFmtId="49" fontId="5" fillId="20" borderId="24" xfId="1" applyNumberFormat="1" applyFont="1" applyFill="1" applyBorder="1"/>
    <xf numFmtId="49" fontId="5" fillId="3" borderId="12" xfId="0" applyNumberFormat="1" applyFont="1" applyFill="1" applyBorder="1"/>
    <xf numFmtId="49" fontId="0" fillId="0" borderId="11" xfId="0" applyNumberFormat="1" applyFill="1" applyBorder="1" applyAlignment="1"/>
    <xf numFmtId="49" fontId="5" fillId="21" borderId="12" xfId="0" applyNumberFormat="1" applyFont="1" applyFill="1" applyBorder="1" applyAlignment="1"/>
    <xf numFmtId="49" fontId="0" fillId="0" borderId="12" xfId="0" applyNumberFormat="1" applyFill="1" applyBorder="1" applyAlignment="1"/>
    <xf numFmtId="49" fontId="0" fillId="21" borderId="12" xfId="0" applyNumberFormat="1" applyFill="1" applyBorder="1" applyAlignment="1"/>
    <xf numFmtId="49" fontId="0" fillId="21" borderId="24" xfId="0" applyNumberFormat="1" applyFill="1" applyBorder="1" applyAlignment="1"/>
    <xf numFmtId="49" fontId="1" fillId="0" borderId="12" xfId="0" applyNumberFormat="1" applyFont="1" applyFill="1" applyBorder="1"/>
    <xf numFmtId="49" fontId="0" fillId="21" borderId="26" xfId="0" applyNumberFormat="1" applyFill="1" applyBorder="1"/>
    <xf numFmtId="44" fontId="10" fillId="30" borderId="48" xfId="4" applyFont="1" applyFill="1" applyBorder="1" applyAlignment="1">
      <alignment horizontal="center" vertical="center" textRotation="90"/>
    </xf>
    <xf numFmtId="44" fontId="10" fillId="30" borderId="30" xfId="4" applyFont="1" applyFill="1" applyBorder="1" applyAlignment="1">
      <alignment horizontal="center" vertical="center" textRotation="90"/>
    </xf>
    <xf numFmtId="44" fontId="10" fillId="30" borderId="26" xfId="4" applyFont="1" applyFill="1" applyBorder="1" applyAlignment="1">
      <alignment horizontal="center" vertical="center" textRotation="90"/>
    </xf>
    <xf numFmtId="44" fontId="10" fillId="29" borderId="48" xfId="4" applyFont="1" applyFill="1" applyBorder="1" applyAlignment="1">
      <alignment horizontal="center" vertical="center" textRotation="90"/>
    </xf>
    <xf numFmtId="44" fontId="10" fillId="29" borderId="30" xfId="4" applyFont="1" applyFill="1" applyBorder="1" applyAlignment="1">
      <alignment horizontal="center" vertical="center" textRotation="90"/>
    </xf>
    <xf numFmtId="44" fontId="10" fillId="29" borderId="26" xfId="4" applyFont="1" applyFill="1" applyBorder="1" applyAlignment="1">
      <alignment horizontal="center" vertical="center" textRotation="90"/>
    </xf>
    <xf numFmtId="44" fontId="10" fillId="16" borderId="48" xfId="4" applyFont="1" applyFill="1" applyBorder="1" applyAlignment="1">
      <alignment horizontal="center" vertical="center" textRotation="90"/>
    </xf>
    <xf numFmtId="44" fontId="10" fillId="16" borderId="30" xfId="4" applyFont="1" applyFill="1" applyBorder="1" applyAlignment="1">
      <alignment horizontal="center" vertical="center" textRotation="90"/>
    </xf>
    <xf numFmtId="44" fontId="10" fillId="16" borderId="26" xfId="4" applyFont="1" applyFill="1" applyBorder="1" applyAlignment="1">
      <alignment horizontal="center" vertical="center" textRotation="90"/>
    </xf>
    <xf numFmtId="0" fontId="3" fillId="0" borderId="48" xfId="0" applyFont="1" applyBorder="1" applyAlignment="1">
      <alignment horizontal="center" textRotation="90"/>
    </xf>
    <xf numFmtId="0" fontId="3" fillId="0" borderId="30" xfId="0" applyFont="1" applyBorder="1" applyAlignment="1">
      <alignment horizontal="center" textRotation="90"/>
    </xf>
    <xf numFmtId="0" fontId="3" fillId="0" borderId="26" xfId="0" applyFont="1" applyBorder="1" applyAlignment="1">
      <alignment horizontal="center" textRotation="90"/>
    </xf>
    <xf numFmtId="0" fontId="3" fillId="0" borderId="48" xfId="0" applyFont="1" applyBorder="1" applyAlignment="1">
      <alignment horizontal="center" textRotation="90" wrapText="1"/>
    </xf>
    <xf numFmtId="0" fontId="3" fillId="0" borderId="30" xfId="0" applyFont="1" applyBorder="1" applyAlignment="1">
      <alignment horizontal="center" textRotation="90" wrapText="1"/>
    </xf>
    <xf numFmtId="0" fontId="3" fillId="0" borderId="26" xfId="0" applyFont="1" applyBorder="1" applyAlignment="1">
      <alignment horizontal="center" textRotation="90" wrapText="1"/>
    </xf>
    <xf numFmtId="0" fontId="3" fillId="0" borderId="53" xfId="0" applyFont="1" applyBorder="1" applyAlignment="1">
      <alignment horizontal="center" textRotation="90" wrapText="1"/>
    </xf>
    <xf numFmtId="0" fontId="3" fillId="0" borderId="43" xfId="0" applyFont="1" applyBorder="1" applyAlignment="1">
      <alignment horizontal="center" textRotation="90" wrapText="1"/>
    </xf>
    <xf numFmtId="0" fontId="3" fillId="0" borderId="17" xfId="0" applyFont="1" applyBorder="1" applyAlignment="1">
      <alignment horizontal="center" textRotation="90" wrapText="1"/>
    </xf>
    <xf numFmtId="0" fontId="3" fillId="0" borderId="48" xfId="0" applyFont="1" applyBorder="1" applyAlignment="1">
      <alignment horizontal="center" vertical="center" textRotation="90" wrapText="1"/>
    </xf>
    <xf numFmtId="0" fontId="3" fillId="0" borderId="30" xfId="0" applyFont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 wrapText="1"/>
    </xf>
    <xf numFmtId="168" fontId="0" fillId="0" borderId="4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168" fontId="0" fillId="0" borderId="54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8" fontId="3" fillId="12" borderId="33" xfId="1" applyNumberFormat="1" applyFont="1" applyFill="1" applyBorder="1" applyAlignment="1">
      <alignment horizontal="center"/>
    </xf>
    <xf numFmtId="168" fontId="3" fillId="12" borderId="29" xfId="1" applyNumberFormat="1" applyFont="1" applyFill="1" applyBorder="1" applyAlignment="1">
      <alignment horizontal="center"/>
    </xf>
    <xf numFmtId="0" fontId="3" fillId="0" borderId="48" xfId="0" applyFont="1" applyBorder="1" applyAlignment="1">
      <alignment horizontal="center" vertical="center" textRotation="90"/>
    </xf>
    <xf numFmtId="0" fontId="3" fillId="0" borderId="30" xfId="0" applyFont="1" applyBorder="1" applyAlignment="1">
      <alignment horizontal="center" vertical="center" textRotation="90"/>
    </xf>
    <xf numFmtId="0" fontId="3" fillId="0" borderId="26" xfId="0" applyFont="1" applyBorder="1" applyAlignment="1">
      <alignment horizontal="center" vertical="center" textRotation="90"/>
    </xf>
    <xf numFmtId="0" fontId="3" fillId="0" borderId="51" xfId="0" applyFont="1" applyBorder="1" applyAlignment="1">
      <alignment horizontal="center" vertical="center" textRotation="90" wrapText="1"/>
    </xf>
    <xf numFmtId="0" fontId="3" fillId="0" borderId="52" xfId="0" applyFont="1" applyBorder="1" applyAlignment="1">
      <alignment horizontal="center" vertical="center" textRotation="90" wrapText="1"/>
    </xf>
    <xf numFmtId="0" fontId="3" fillId="0" borderId="18" xfId="0" applyFont="1" applyBorder="1" applyAlignment="1">
      <alignment horizontal="center" vertical="center" textRotation="90" wrapText="1"/>
    </xf>
    <xf numFmtId="168" fontId="14" fillId="9" borderId="53" xfId="1" applyNumberFormat="1" applyFont="1" applyFill="1" applyBorder="1" applyAlignment="1">
      <alignment horizontal="center"/>
    </xf>
    <xf numFmtId="168" fontId="14" fillId="9" borderId="51" xfId="1" applyNumberFormat="1" applyFont="1" applyFill="1" applyBorder="1" applyAlignment="1">
      <alignment horizontal="center"/>
    </xf>
    <xf numFmtId="168" fontId="14" fillId="9" borderId="17" xfId="1" applyNumberFormat="1" applyFont="1" applyFill="1" applyBorder="1" applyAlignment="1">
      <alignment horizontal="center"/>
    </xf>
    <xf numFmtId="168" fontId="14" fillId="9" borderId="18" xfId="1" applyNumberFormat="1" applyFont="1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4" fontId="16" fillId="4" borderId="48" xfId="4" applyFont="1" applyFill="1" applyBorder="1" applyAlignment="1">
      <alignment horizontal="center" vertical="center" textRotation="90"/>
    </xf>
    <xf numFmtId="44" fontId="16" fillId="4" borderId="30" xfId="4" applyFont="1" applyFill="1" applyBorder="1" applyAlignment="1">
      <alignment horizontal="center" vertical="center" textRotation="90"/>
    </xf>
    <xf numFmtId="44" fontId="16" fillId="4" borderId="26" xfId="4" applyFont="1" applyFill="1" applyBorder="1" applyAlignment="1">
      <alignment horizontal="center" vertical="center" textRotation="90"/>
    </xf>
    <xf numFmtId="44" fontId="17" fillId="4" borderId="51" xfId="4" applyFont="1" applyFill="1" applyBorder="1" applyAlignment="1">
      <alignment horizontal="center" vertical="center" textRotation="90"/>
    </xf>
    <xf numFmtId="44" fontId="17" fillId="4" borderId="52" xfId="4" applyFont="1" applyFill="1" applyBorder="1" applyAlignment="1">
      <alignment horizontal="center" vertical="center" textRotation="90"/>
    </xf>
    <xf numFmtId="44" fontId="17" fillId="4" borderId="18" xfId="4" applyFont="1" applyFill="1" applyBorder="1" applyAlignment="1">
      <alignment horizontal="center" vertical="center" textRotation="90"/>
    </xf>
    <xf numFmtId="44" fontId="17" fillId="27" borderId="48" xfId="4" applyFont="1" applyFill="1" applyBorder="1" applyAlignment="1">
      <alignment horizontal="center" vertical="center" textRotation="90"/>
    </xf>
    <xf numFmtId="44" fontId="17" fillId="27" borderId="30" xfId="4" applyFont="1" applyFill="1" applyBorder="1" applyAlignment="1">
      <alignment horizontal="center" vertical="center" textRotation="90"/>
    </xf>
    <xf numFmtId="44" fontId="17" fillId="27" borderId="26" xfId="4" applyFont="1" applyFill="1" applyBorder="1" applyAlignment="1">
      <alignment horizontal="center" vertical="center" textRotation="90"/>
    </xf>
    <xf numFmtId="44" fontId="17" fillId="4" borderId="48" xfId="4" applyFont="1" applyFill="1" applyBorder="1" applyAlignment="1">
      <alignment horizontal="center" vertical="center" textRotation="90"/>
    </xf>
    <xf numFmtId="44" fontId="17" fillId="4" borderId="30" xfId="4" applyFont="1" applyFill="1" applyBorder="1" applyAlignment="1">
      <alignment horizontal="center" vertical="center" textRotation="90"/>
    </xf>
    <xf numFmtId="44" fontId="17" fillId="4" borderId="26" xfId="4" applyFont="1" applyFill="1" applyBorder="1" applyAlignment="1">
      <alignment horizontal="center" vertical="center" textRotation="90"/>
    </xf>
    <xf numFmtId="44" fontId="16" fillId="27" borderId="48" xfId="4" applyFont="1" applyFill="1" applyBorder="1" applyAlignment="1">
      <alignment horizontal="center" vertical="center" textRotation="90"/>
    </xf>
    <xf numFmtId="44" fontId="16" fillId="27" borderId="30" xfId="4" applyFont="1" applyFill="1" applyBorder="1" applyAlignment="1">
      <alignment horizontal="center" vertical="center" textRotation="90"/>
    </xf>
    <xf numFmtId="44" fontId="16" fillId="27" borderId="26" xfId="4" applyFont="1" applyFill="1" applyBorder="1" applyAlignment="1">
      <alignment horizontal="center" vertical="center" textRotation="90"/>
    </xf>
  </cellXfs>
  <cellStyles count="12">
    <cellStyle name="Comma" xfId="1" builtinId="3"/>
    <cellStyle name="Comma 2" xfId="2"/>
    <cellStyle name="Comma 3" xfId="3"/>
    <cellStyle name="Currency" xfId="4" builtinId="4"/>
    <cellStyle name="Currency 2" xfId="5"/>
    <cellStyle name="Currency 3" xfId="6"/>
    <cellStyle name="Normal" xfId="0" builtinId="0"/>
    <cellStyle name="Normal 2" xfId="7"/>
    <cellStyle name="Normal 3" xfId="8"/>
    <cellStyle name="Percent" xfId="9" builtinId="5"/>
    <cellStyle name="Percent 2" xfId="10"/>
    <cellStyle name="Percent 3" xfId="11"/>
  </cellStyles>
  <dxfs count="8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 patternType="none">
          <bgColor indexed="65"/>
        </patternFill>
      </fill>
    </dxf>
    <dxf>
      <fill>
        <patternFill>
          <bgColor indexed="53"/>
        </patternFill>
      </fill>
    </dxf>
    <dxf>
      <fill>
        <patternFill patternType="none">
          <bgColor indexed="65"/>
        </patternFill>
      </fill>
    </dxf>
    <dxf>
      <fill>
        <patternFill>
          <bgColor indexed="53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0"/>
        </patternFill>
      </fill>
    </dxf>
    <dxf>
      <fill>
        <patternFill>
          <bgColor indexed="53"/>
        </patternFill>
      </fill>
    </dxf>
    <dxf>
      <fill>
        <patternFill>
          <bgColor theme="9" tint="-0.24994659260841701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>
          <bgColor indexed="53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Cost Trend</a:t>
            </a:r>
          </a:p>
        </c:rich>
      </c:tx>
      <c:layout>
        <c:manualLayout>
          <c:xMode val="edge"/>
          <c:yMode val="edge"/>
          <c:x val="0.36621478349689096"/>
          <c:y val="1.3404928157565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876755570834974E-2"/>
          <c:y val="9.6514871652552764E-2"/>
          <c:w val="0.82446060311843561"/>
          <c:h val="0.75067122396430053"/>
        </c:manualLayout>
      </c:layout>
      <c:scatterChart>
        <c:scatterStyle val="smoothMarker"/>
        <c:varyColors val="0"/>
        <c:ser>
          <c:idx val="0"/>
          <c:order val="0"/>
          <c:tx>
            <c:v>c/kWh</c:v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66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'Vent-3#'!$C$28:$Q$28</c:f>
              <c:numCache>
                <c:formatCode>#,##0.0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04032"/>
        <c:axId val="178214400"/>
      </c:scatterChart>
      <c:scatterChart>
        <c:scatterStyle val="lineMarker"/>
        <c:varyColors val="0"/>
        <c:ser>
          <c:idx val="1"/>
          <c:order val="1"/>
          <c:tx>
            <c:v>Total Cost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'Vent-3#'!$C$27:$Q$27</c:f>
              <c:numCache>
                <c:formatCode>_ "R"\ * #,##0_ ;_ "R"\ * \-#,##0_ ;_ "R"\ * "-"??_ ;_ @_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Active Energy</c:v>
          </c:tx>
          <c:spPr>
            <a:ln w="12700">
              <a:solidFill>
                <a:srgbClr val="0E04DA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E04DA"/>
              </a:solidFill>
              <a:ln>
                <a:solidFill>
                  <a:srgbClr val="0E04DA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'Vent-3#'!$C$8:$Q$8</c:f>
              <c:numCache>
                <c:formatCode>_ * #,##0_ ;_ * \-#,##0_ ;_ * "-"??_ ;_ @_ </c:formatCode>
                <c:ptCount val="15"/>
                <c:pt idx="0">
                  <c:v>1177306.56</c:v>
                </c:pt>
                <c:pt idx="1">
                  <c:v>0</c:v>
                </c:pt>
                <c:pt idx="2">
                  <c:v>1337781.6000000001</c:v>
                </c:pt>
                <c:pt idx="3">
                  <c:v>1295060.04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1414658.88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16320"/>
        <c:axId val="178218112"/>
      </c:scatterChart>
      <c:valAx>
        <c:axId val="178204032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14400"/>
        <c:crosses val="autoZero"/>
        <c:crossBetween val="midCat"/>
        <c:majorUnit val="70"/>
        <c:minorUnit val="6.2"/>
      </c:valAx>
      <c:valAx>
        <c:axId val="178214400"/>
        <c:scaling>
          <c:orientation val="minMax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c/kWh</a:t>
                </a:r>
              </a:p>
            </c:rich>
          </c:tx>
          <c:layout>
            <c:manualLayout>
              <c:xMode val="edge"/>
              <c:yMode val="edge"/>
              <c:x val="1.7262583556365823E-2"/>
              <c:y val="0.402145297875501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04032"/>
        <c:crosses val="autoZero"/>
        <c:crossBetween val="midCat"/>
      </c:valAx>
      <c:valAx>
        <c:axId val="1782163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178218112"/>
        <c:crosses val="autoZero"/>
        <c:crossBetween val="midCat"/>
      </c:valAx>
      <c:valAx>
        <c:axId val="17821811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[R Millions], [MWh]</a:t>
                </a:r>
              </a:p>
            </c:rich>
          </c:tx>
          <c:layout>
            <c:manualLayout>
              <c:xMode val="edge"/>
              <c:yMode val="edge"/>
              <c:x val="0.96547522076981762"/>
              <c:y val="0.313673338002561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16320"/>
        <c:crosses val="max"/>
        <c:crossBetween val="midCat"/>
        <c:dispUnits>
          <c:builtInUnit val="millions"/>
        </c:dispUnits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69664876796061"/>
          <c:w val="1"/>
          <c:h val="7.23860460838621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Consumption Trend</a:t>
            </a:r>
          </a:p>
        </c:rich>
      </c:tx>
      <c:layout>
        <c:manualLayout>
          <c:xMode val="edge"/>
          <c:yMode val="edge"/>
          <c:x val="0.31980358543742987"/>
          <c:y val="1.35136368823462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180909321318259E-2"/>
          <c:y val="0.10000013196807973"/>
          <c:w val="0.85608958920662859"/>
          <c:h val="0.74594693035648663"/>
        </c:manualLayout>
      </c:layout>
      <c:scatterChart>
        <c:scatterStyle val="smoothMarker"/>
        <c:varyColors val="0"/>
        <c:ser>
          <c:idx val="0"/>
          <c:order val="0"/>
          <c:tx>
            <c:v>Active Energy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'Vent-3#'!$C$8:$Q$8</c:f>
              <c:numCache>
                <c:formatCode>_ * #,##0_ ;_ * \-#,##0_ ;_ * "-"??_ ;_ @_ </c:formatCode>
                <c:ptCount val="15"/>
                <c:pt idx="0">
                  <c:v>1177306.56</c:v>
                </c:pt>
                <c:pt idx="1">
                  <c:v>0</c:v>
                </c:pt>
                <c:pt idx="2">
                  <c:v>1337781.6000000001</c:v>
                </c:pt>
                <c:pt idx="3">
                  <c:v>1295060.04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1414658.88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Reactive Energy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'Vent-3#'!$C$17:$Q$17</c:f>
              <c:numCache>
                <c:formatCode>#,##0</c:formatCode>
                <c:ptCount val="15"/>
                <c:pt idx="0">
                  <c:v>1003021.2</c:v>
                </c:pt>
                <c:pt idx="1">
                  <c:v>0</c:v>
                </c:pt>
                <c:pt idx="2">
                  <c:v>979853.32000000007</c:v>
                </c:pt>
                <c:pt idx="3">
                  <c:v>958488.84000000008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649.07999999999993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Apparent Energy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FF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'Vent-3#'!$C$18:$Q$18</c:f>
              <c:numCache>
                <c:formatCode>#,##0</c:formatCode>
                <c:ptCount val="15"/>
                <c:pt idx="0">
                  <c:v>1546642.2546498831</c:v>
                </c:pt>
                <c:pt idx="1">
                  <c:v>0</c:v>
                </c:pt>
                <c:pt idx="2">
                  <c:v>1658243.6907805749</c:v>
                </c:pt>
                <c:pt idx="3">
                  <c:v>1611173.9085552956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1414659.0289068602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25760"/>
        <c:axId val="201927680"/>
      </c:scatterChart>
      <c:scatterChart>
        <c:scatterStyle val="lineMarker"/>
        <c:varyColors val="0"/>
        <c:ser>
          <c:idx val="2"/>
          <c:order val="2"/>
          <c:tx>
            <c:v>Average PF</c:v>
          </c:tx>
          <c:spPr>
            <a:ln w="25400">
              <a:solidFill>
                <a:srgbClr val="907C58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07C58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'Vent-3#'!$C$19:$Q$19</c:f>
              <c:numCache>
                <c:formatCode>0.00</c:formatCode>
                <c:ptCount val="15"/>
                <c:pt idx="0">
                  <c:v>0.7612016007324911</c:v>
                </c:pt>
                <c:pt idx="1">
                  <c:v>0</c:v>
                </c:pt>
                <c:pt idx="2">
                  <c:v>0.80674608167529005</c:v>
                </c:pt>
                <c:pt idx="3">
                  <c:v>0.80379903939808228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0.99999989474010542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34336"/>
        <c:axId val="201935872"/>
      </c:scatterChart>
      <c:valAx>
        <c:axId val="201925760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927680"/>
        <c:crosses val="autoZero"/>
        <c:crossBetween val="midCat"/>
        <c:majorUnit val="70"/>
        <c:minorUnit val="6.2"/>
      </c:valAx>
      <c:valAx>
        <c:axId val="201927680"/>
        <c:scaling>
          <c:orientation val="minMax"/>
          <c:max val="250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MVArh, MWh, MVA</a:t>
                </a:r>
              </a:p>
            </c:rich>
          </c:tx>
          <c:layout>
            <c:manualLayout>
              <c:xMode val="edge"/>
              <c:yMode val="edge"/>
              <c:x val="6.1500615006150061E-3"/>
              <c:y val="0.27567585301837272"/>
            </c:manualLayout>
          </c:layout>
          <c:overlay val="0"/>
          <c:spPr>
            <a:noFill/>
            <a:ln w="25400">
              <a:noFill/>
            </a:ln>
          </c:spPr>
        </c:title>
        <c:numFmt formatCode="_ * #,##0_ ;_ * \-#,##0_ ;_ * &quot;-&quot;??_ ;_ @_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925760"/>
        <c:crosses val="autoZero"/>
        <c:crossBetween val="midCat"/>
        <c:dispUnits>
          <c:builtInUnit val="millions"/>
        </c:dispUnits>
      </c:valAx>
      <c:valAx>
        <c:axId val="2019343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01935872"/>
        <c:crosses val="autoZero"/>
        <c:crossBetween val="midCat"/>
      </c:valAx>
      <c:valAx>
        <c:axId val="201935872"/>
        <c:scaling>
          <c:orientation val="minMax"/>
          <c:max val="1"/>
          <c:min val="0.5"/>
        </c:scaling>
        <c:delete val="0"/>
        <c:axPos val="r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8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PF</a:t>
                </a:r>
              </a:p>
            </c:rich>
          </c:tx>
          <c:layout>
            <c:manualLayout>
              <c:xMode val="edge"/>
              <c:yMode val="edge"/>
              <c:x val="0.96064076861241132"/>
              <c:y val="1.3513636882346218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808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934336"/>
        <c:crosses val="max"/>
        <c:crossBetween val="midCat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155979118846421E-3"/>
          <c:y val="0.92637652630377765"/>
          <c:w val="0.99384993849938619"/>
          <c:h val="7.2973011525733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 Of Use : Energy</a:t>
            </a:r>
          </a:p>
        </c:rich>
      </c:tx>
      <c:layout>
        <c:manualLayout>
          <c:xMode val="edge"/>
          <c:yMode val="edge"/>
          <c:x val="0.36868094074447666"/>
          <c:y val="1.31233595800525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97855544441122E-2"/>
          <c:y val="9.1245324579659309E-2"/>
          <c:w val="0.90543293871363517"/>
          <c:h val="0.75853647721827755"/>
        </c:manualLayout>
      </c:layout>
      <c:barChart>
        <c:barDir val="col"/>
        <c:grouping val="percentStacked"/>
        <c:varyColors val="0"/>
        <c:ser>
          <c:idx val="0"/>
          <c:order val="0"/>
          <c:tx>
            <c:v>Off-Peak kWh</c:v>
          </c:tx>
          <c:spPr>
            <a:solidFill>
              <a:srgbClr val="99CC00"/>
            </a:solidFill>
            <a:ln w="25400">
              <a:solidFill>
                <a:srgbClr val="99CC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'Vent-3#'!$C$5:$Q$5</c:f>
              <c:numCache>
                <c:formatCode>_ * #,##0_ ;_ * \-#,##0_ ;_ * "-"??_ ;_ @_ </c:formatCode>
                <c:ptCount val="15"/>
                <c:pt idx="0">
                  <c:v>606303</c:v>
                </c:pt>
                <c:pt idx="1">
                  <c:v>0</c:v>
                </c:pt>
                <c:pt idx="2">
                  <c:v>634206.24</c:v>
                </c:pt>
                <c:pt idx="3">
                  <c:v>684285.12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694042.2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Standard kWh</c:v>
          </c:tx>
          <c:spPr>
            <a:solidFill>
              <a:srgbClr val="FF9900"/>
            </a:solidFill>
            <a:ln w="25400">
              <a:solidFill>
                <a:srgbClr val="FF99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'Vent-3#'!$C$6:$Q$6</c:f>
              <c:numCache>
                <c:formatCode>_ * #,##0_ ;_ * \-#,##0_ ;_ * "-"??_ ;_ @_ </c:formatCode>
                <c:ptCount val="15"/>
                <c:pt idx="0">
                  <c:v>408277.44</c:v>
                </c:pt>
                <c:pt idx="1">
                  <c:v>0</c:v>
                </c:pt>
                <c:pt idx="2">
                  <c:v>500858.28</c:v>
                </c:pt>
                <c:pt idx="3">
                  <c:v>438594.84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515092.32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Peak kWh</c:v>
          </c:tx>
          <c:spPr>
            <a:solidFill>
              <a:srgbClr val="FF00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'Vent-3#'!$C$7:$Q$7</c:f>
              <c:numCache>
                <c:formatCode>_ * #,##0_ ;_ * \-#,##0_ ;_ * "-"??_ ;_ @_ </c:formatCode>
                <c:ptCount val="15"/>
                <c:pt idx="0">
                  <c:v>162726.12</c:v>
                </c:pt>
                <c:pt idx="1">
                  <c:v>0</c:v>
                </c:pt>
                <c:pt idx="2">
                  <c:v>202717.08</c:v>
                </c:pt>
                <c:pt idx="3">
                  <c:v>172180.08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205524.36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983104"/>
        <c:axId val="201984640"/>
      </c:barChart>
      <c:dateAx>
        <c:axId val="201983104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984640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20198464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%Energy Consumed (kWh)</a:t>
                </a:r>
              </a:p>
            </c:rich>
          </c:tx>
          <c:layout>
            <c:manualLayout>
              <c:xMode val="edge"/>
              <c:yMode val="edge"/>
              <c:x val="6.1652638247805336E-3"/>
              <c:y val="0.2021002886450219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983104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rgbClr val="000000"/>
          </a:solidFill>
        </a:ln>
        <a:effectLst>
          <a:outerShdw sx="1000" sy="1000" algn="ctr" rotWithShape="0">
            <a:schemeClr val="bg1"/>
          </a:outerShdw>
        </a:effectLst>
      </c:spPr>
    </c:plotArea>
    <c:legend>
      <c:legendPos val="r"/>
      <c:layout>
        <c:manualLayout>
          <c:xMode val="edge"/>
          <c:yMode val="edge"/>
          <c:x val="0"/>
          <c:y val="0.92852846150136747"/>
          <c:w val="1"/>
          <c:h val="7.08664172883902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Costs Type</a:t>
            </a:r>
          </a:p>
        </c:rich>
      </c:tx>
      <c:layout>
        <c:manualLayout>
          <c:xMode val="edge"/>
          <c:yMode val="edge"/>
          <c:x val="0.41300119772851285"/>
          <c:y val="2.710645421290842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43709205762806E-2"/>
          <c:y val="9.9737788451926643E-2"/>
          <c:w val="0.87176378010592859"/>
          <c:h val="0.7506580920329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'Vent-3#'!$A$24:$B$24</c:f>
              <c:strCache>
                <c:ptCount val="1"/>
                <c:pt idx="0">
                  <c:v>Total Energy Cost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'Vent-3#'!$C$24:$E$24</c:f>
              <c:numCache>
                <c:formatCode>_("R"* #,##0_);_("R"* \(#,##0\);_("R"* "-"_);_(@_)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'Vent-3#'!$A$25:$B$25</c:f>
              <c:strCache>
                <c:ptCount val="1"/>
                <c:pt idx="0">
                  <c:v>Total Demand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solidFill>
                <a:schemeClr val="accent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'Vent-3#'!$C$25:$E$25</c:f>
              <c:numCache>
                <c:formatCode>_("R"* #,##0_);_("R"* \(#,##0\);_("R"* "-"_);_(@_)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'Vent-3#'!$A$26:$B$26</c:f>
              <c:strCache>
                <c:ptCount val="1"/>
                <c:pt idx="0">
                  <c:v>Other Costs</c:v>
                </c:pt>
              </c:strCache>
            </c:strRef>
          </c:tx>
          <c:spPr>
            <a:solidFill>
              <a:srgbClr val="FF66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val>
            <c:numRef>
              <c:f>'Vent-3#'!$C$26:$E$26</c:f>
              <c:numCache>
                <c:formatCode>_("R"* #,##0_);_("R"* \(#,##0\);_("R"* "-"_);_(@_)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023680"/>
        <c:axId val="202025216"/>
      </c:barChart>
      <c:catAx>
        <c:axId val="202023680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025216"/>
        <c:crosses val="autoZero"/>
        <c:auto val="1"/>
        <c:lblAlgn val="ctr"/>
        <c:lblOffset val="100"/>
        <c:tickMarkSkip val="1"/>
        <c:noMultiLvlLbl val="0"/>
      </c:catAx>
      <c:valAx>
        <c:axId val="202025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%Cost Type (R)</a:t>
                </a:r>
              </a:p>
            </c:rich>
          </c:tx>
          <c:layout>
            <c:manualLayout>
              <c:xMode val="edge"/>
              <c:yMode val="edge"/>
              <c:x val="4.5239916966098824E-3"/>
              <c:y val="0.31605238321587853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R&quot;* #,##0_);_(&quot;R&quot;* \(#,##0\);_(&quot;R&quot;* &quot;-&quot;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023680"/>
        <c:crosses val="autoZero"/>
        <c:crossBetween val="between"/>
        <c:dispUnits>
          <c:builtInUnit val="millions"/>
          <c:dispUnitsLbl>
            <c:txPr>
              <a:bodyPr rot="-5400000" vert="horz"/>
              <a:lstStyle/>
              <a:p>
                <a:pPr algn="ctr"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</c:dispUnitsLbl>
        </c:dispUnits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126232252464457"/>
          <c:w val="1"/>
          <c:h val="7.8737677475354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Maximum Demand Trend</a:t>
            </a:r>
          </a:p>
        </c:rich>
      </c:tx>
      <c:layout>
        <c:manualLayout>
          <c:xMode val="edge"/>
          <c:yMode val="edge"/>
          <c:x val="0.31980358543742987"/>
          <c:y val="1.35133914712273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180909321318259E-2"/>
          <c:y val="0.10000013196807978"/>
          <c:w val="0.85608958920662859"/>
          <c:h val="0.74594693035648685"/>
        </c:manualLayout>
      </c:layout>
      <c:scatterChart>
        <c:scatterStyle val="smoothMarker"/>
        <c:varyColors val="0"/>
        <c:ser>
          <c:idx val="0"/>
          <c:order val="0"/>
          <c:tx>
            <c:v>Notified MD</c:v>
          </c:tx>
          <c:spPr>
            <a:ln w="38100">
              <a:solidFill>
                <a:schemeClr val="bg2">
                  <a:lumMod val="2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'Vent-3#'!$C$3:$Q$3</c:f>
              <c:numCache>
                <c:formatCode>_ * #,##0_ ;_ * \-#,##0_ ;_ * "-"??_ ;_ @_ </c:formatCode>
                <c:ptCount val="15"/>
                <c:pt idx="0">
                  <c:v>4500</c:v>
                </c:pt>
                <c:pt idx="1">
                  <c:v>4500</c:v>
                </c:pt>
                <c:pt idx="2">
                  <c:v>4500</c:v>
                </c:pt>
                <c:pt idx="3">
                  <c:v>4500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4500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Utilized Demand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'Vent-3#'!$C$4:$Q$4</c:f>
              <c:numCache>
                <c:formatCode>_ * #,##0_ ;_ * \-#,##0_ ;_ * "-"??_ ;_ @_ </c:formatCode>
                <c:ptCount val="15"/>
                <c:pt idx="0">
                  <c:v>4500</c:v>
                </c:pt>
                <c:pt idx="1">
                  <c:v>4500</c:v>
                </c:pt>
                <c:pt idx="2">
                  <c:v>4500</c:v>
                </c:pt>
                <c:pt idx="3">
                  <c:v>4500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4500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3"/>
          <c:order val="2"/>
          <c:tx>
            <c:v>Max Demand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solidFill>
                  <a:schemeClr val="accent3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'Vent-3#'!$C$12:$Q$12</c:f>
              <c:numCache>
                <c:formatCode>_ * #,##0_ ;_ * \-#,##0_ ;_ * "-"??_ ;_ @_ </c:formatCode>
                <c:ptCount val="15"/>
                <c:pt idx="0">
                  <c:v>2336.35</c:v>
                </c:pt>
                <c:pt idx="1">
                  <c:v>0</c:v>
                </c:pt>
                <c:pt idx="2">
                  <c:v>2379.92</c:v>
                </c:pt>
                <c:pt idx="3">
                  <c:v>2363.6799999999998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2121.84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16320"/>
        <c:axId val="201838976"/>
      </c:scatterChart>
      <c:scatterChart>
        <c:scatterStyle val="lineMarker"/>
        <c:varyColors val="0"/>
        <c:ser>
          <c:idx val="2"/>
          <c:order val="3"/>
          <c:tx>
            <c:v>Average PF</c:v>
          </c:tx>
          <c:spPr>
            <a:ln w="25400">
              <a:solidFill>
                <a:srgbClr val="907C58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907C58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'Vent-3#'!$C$19:$Q$19</c:f>
              <c:numCache>
                <c:formatCode>0.00</c:formatCode>
                <c:ptCount val="15"/>
                <c:pt idx="0">
                  <c:v>0.7612016007324911</c:v>
                </c:pt>
                <c:pt idx="1">
                  <c:v>0</c:v>
                </c:pt>
                <c:pt idx="2">
                  <c:v>0.80674608167529005</c:v>
                </c:pt>
                <c:pt idx="3">
                  <c:v>0.80379903939808228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0.99999989474010542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41280"/>
        <c:axId val="201843072"/>
      </c:scatterChart>
      <c:valAx>
        <c:axId val="201816320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838976"/>
        <c:crosses val="autoZero"/>
        <c:crossBetween val="midCat"/>
        <c:majorUnit val="70"/>
        <c:minorUnit val="6.2"/>
      </c:valAx>
      <c:valAx>
        <c:axId val="201838976"/>
        <c:scaling>
          <c:orientation val="minMax"/>
          <c:max val="45000"/>
          <c:min val="2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MVA</a:t>
                </a:r>
              </a:p>
            </c:rich>
          </c:tx>
          <c:layout>
            <c:manualLayout>
              <c:xMode val="edge"/>
              <c:yMode val="edge"/>
              <c:x val="7.784654224495007E-3"/>
              <c:y val="0.40616233454689127"/>
            </c:manualLayout>
          </c:layout>
          <c:overlay val="0"/>
          <c:spPr>
            <a:noFill/>
            <a:ln w="25400">
              <a:noFill/>
            </a:ln>
          </c:spPr>
        </c:title>
        <c:numFmt formatCode="_ * #,##0_ ;_ * \-#,##0_ ;_ * &quot;-&quot;??_ ;_ @_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816320"/>
        <c:crosses val="autoZero"/>
        <c:crossBetween val="midCat"/>
        <c:dispUnits>
          <c:builtInUnit val="thousands"/>
        </c:dispUnits>
      </c:valAx>
      <c:valAx>
        <c:axId val="2018412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01843072"/>
        <c:crosses val="autoZero"/>
        <c:crossBetween val="midCat"/>
      </c:valAx>
      <c:valAx>
        <c:axId val="201843072"/>
        <c:scaling>
          <c:orientation val="minMax"/>
          <c:max val="1"/>
          <c:min val="0.5"/>
        </c:scaling>
        <c:delete val="0"/>
        <c:axPos val="r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8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PF</a:t>
                </a:r>
              </a:p>
            </c:rich>
          </c:tx>
          <c:layout>
            <c:manualLayout>
              <c:xMode val="edge"/>
              <c:yMode val="edge"/>
              <c:x val="0.96064076861241132"/>
              <c:y val="1.3513391471227387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808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841280"/>
        <c:crosses val="max"/>
        <c:crossBetween val="midCat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637625941918622"/>
          <c:w val="1"/>
          <c:h val="7.29729348347586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Time Of Use : Costs</a:t>
            </a:r>
          </a:p>
        </c:rich>
      </c:tx>
      <c:layout>
        <c:manualLayout>
          <c:xMode val="edge"/>
          <c:yMode val="edge"/>
          <c:x val="0.37361303911085242"/>
          <c:y val="1.31233595800525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530864197531042E-2"/>
          <c:y val="9.7368421052631549E-2"/>
          <c:w val="0.87160493827160579"/>
          <c:h val="0.74736842105263157"/>
        </c:manualLayout>
      </c:layout>
      <c:barChart>
        <c:barDir val="col"/>
        <c:grouping val="percentStacked"/>
        <c:varyColors val="0"/>
        <c:ser>
          <c:idx val="0"/>
          <c:order val="0"/>
          <c:tx>
            <c:v>Off-Peak kWh</c:v>
          </c:tx>
          <c:spPr>
            <a:solidFill>
              <a:srgbClr val="99CC00"/>
            </a:solidFill>
            <a:ln w="25400">
              <a:solidFill>
                <a:srgbClr val="8080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'Vent-3#'!$C$20:$Q$20</c:f>
              <c:numCache>
                <c:formatCode>_("R"* #,##0_);_("R"* \(#,##0\);_("R"* "-"_);_(@_)</c:formatCode>
                <c:ptCount val="15"/>
                <c:pt idx="0">
                  <c:v>83609.183699999994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Standard kWh</c:v>
          </c:tx>
          <c:spPr>
            <a:solidFill>
              <a:srgbClr val="FF9900"/>
            </a:solidFill>
            <a:ln w="25400">
              <a:solidFill>
                <a:srgbClr val="FF66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'Vent-3#'!$C$21:$Q$21</c:f>
              <c:numCache>
                <c:formatCode>_("R"* #,##0_);_("R"* \(#,##0\);_("R"* "-"_);_(@_)</c:formatCode>
                <c:ptCount val="15"/>
                <c:pt idx="0">
                  <c:v>0.32190000000000002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Peak kWh</c:v>
          </c:tx>
          <c:spPr>
            <a:solidFill>
              <a:srgbClr val="FF66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cat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cat>
          <c:val>
            <c:numRef>
              <c:f>'Vent-3#'!$C$22:$Q$22</c:f>
              <c:numCache>
                <c:formatCode>_("R"* #,##0_);_("R"* \(#,##0\);_("R"* "-"_);_(@_)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761536"/>
        <c:axId val="201763072"/>
      </c:barChart>
      <c:dateAx>
        <c:axId val="201761536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763072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201763072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%Energy Consumed (R)</a:t>
                </a:r>
              </a:p>
            </c:rich>
          </c:tx>
          <c:layout>
            <c:manualLayout>
              <c:xMode val="edge"/>
              <c:yMode val="edge"/>
              <c:x val="6.1651923139237298E-3"/>
              <c:y val="0.2362210250034535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761536"/>
        <c:crosses val="autoZero"/>
        <c:crossBetween val="between"/>
        <c:majorUnit val="0.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852824975825299"/>
          <c:w val="1"/>
          <c:h val="6.82417460975272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Costs Type</a:t>
            </a:r>
          </a:p>
        </c:rich>
      </c:tx>
      <c:layout>
        <c:manualLayout>
          <c:xMode val="edge"/>
          <c:yMode val="edge"/>
          <c:x val="0.42777168267036902"/>
          <c:y val="9.652454860465309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43709205762806E-2"/>
          <c:y val="9.9737788451926643E-2"/>
          <c:w val="0.87176378010592859"/>
          <c:h val="0.7506580920329221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'Vent-3#'!$A$24:$B$24</c:f>
              <c:strCache>
                <c:ptCount val="1"/>
                <c:pt idx="0">
                  <c:v>Total Energy Cost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25400">
              <a:solidFill>
                <a:schemeClr val="tx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'Vent-3#'!$C$24:$E$24</c:f>
              <c:numCache>
                <c:formatCode>_("R"* #,##0_);_("R"* \(#,##0\);_("R"* "-"_);_(@_)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'Vent-3#'!$A$25:$B$25</c:f>
              <c:strCache>
                <c:ptCount val="1"/>
                <c:pt idx="0">
                  <c:v>Total Demand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solidFill>
                <a:schemeClr val="accent2">
                  <a:lumMod val="75000"/>
                </a:schemeClr>
              </a:solidFill>
              <a:prstDash val="solid"/>
            </a:ln>
          </c:spPr>
          <c:invertIfNegative val="0"/>
          <c:val>
            <c:numRef>
              <c:f>'Vent-3#'!$C$25:$E$25</c:f>
              <c:numCache>
                <c:formatCode>_("R"* #,##0_);_("R"* \(#,##0\);_("R"* "-"_);_(@_)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'Vent-3#'!$A$26:$B$26</c:f>
              <c:strCache>
                <c:ptCount val="1"/>
                <c:pt idx="0">
                  <c:v>Other Costs</c:v>
                </c:pt>
              </c:strCache>
            </c:strRef>
          </c:tx>
          <c:spPr>
            <a:solidFill>
              <a:srgbClr val="FF6600"/>
            </a:solidFill>
            <a:ln w="25400">
              <a:solidFill>
                <a:srgbClr val="FF0000"/>
              </a:solidFill>
              <a:prstDash val="solid"/>
            </a:ln>
          </c:spPr>
          <c:invertIfNegative val="0"/>
          <c:val>
            <c:numRef>
              <c:f>'Vent-3#'!$C$26:$E$26</c:f>
              <c:numCache>
                <c:formatCode>_("R"* #,##0_);_("R"* \(#,##0\);_("R"* "-"_);_(@_)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859456"/>
        <c:axId val="201860992"/>
      </c:barChart>
      <c:catAx>
        <c:axId val="201859456"/>
        <c:scaling>
          <c:orientation val="minMax"/>
        </c:scaling>
        <c:delete val="0"/>
        <c:axPos val="b"/>
        <c:numFmt formatCode="mmm\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8609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0186099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%Cost Type (R)</a:t>
                </a:r>
              </a:p>
            </c:rich>
          </c:tx>
          <c:layout>
            <c:manualLayout>
              <c:xMode val="edge"/>
              <c:yMode val="edge"/>
              <c:x val="4.5240152625804567E-3"/>
              <c:y val="0.3160523832158785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859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126232252464457"/>
          <c:w val="1"/>
          <c:h val="7.8737677475354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25" b="1" i="0" u="sng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Cost  IncreaseTrend</a:t>
            </a:r>
          </a:p>
        </c:rich>
      </c:tx>
      <c:layout>
        <c:manualLayout>
          <c:xMode val="edge"/>
          <c:yMode val="edge"/>
          <c:x val="0.32189533028470135"/>
          <c:y val="1.69685393099447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876755570835002E-2"/>
          <c:y val="9.6514871652552764E-2"/>
          <c:w val="0.79331776403543719"/>
          <c:h val="0.75067122396430075"/>
        </c:manualLayout>
      </c:layout>
      <c:scatterChart>
        <c:scatterStyle val="smoothMarker"/>
        <c:varyColors val="0"/>
        <c:ser>
          <c:idx val="0"/>
          <c:order val="0"/>
          <c:tx>
            <c:v>Peak Rates c/kWh</c:v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66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'Vent-3#'!$C$31:$Q$31</c:f>
              <c:numCache>
                <c:formatCode>_ * #,##0.0000_ ;_ * \-#,##0.0000_ ;_ * "-"??_ ;_ @_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04896"/>
        <c:axId val="201906816"/>
      </c:scatterChart>
      <c:scatterChart>
        <c:scatterStyle val="lineMarker"/>
        <c:varyColors val="0"/>
        <c:ser>
          <c:idx val="2"/>
          <c:order val="1"/>
          <c:tx>
            <c:v>% Increase</c:v>
          </c:tx>
          <c:spPr>
            <a:ln w="12700">
              <a:solidFill>
                <a:srgbClr val="0E04DA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E04DA"/>
              </a:solidFill>
              <a:ln>
                <a:solidFill>
                  <a:srgbClr val="0E04DA"/>
                </a:solidFill>
                <a:prstDash val="solid"/>
              </a:ln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'Vent-3#'!$C$29:$Q$29</c:f>
              <c:numCache>
                <c:formatCode>0.0%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2"/>
          <c:tx>
            <c:v>% Increase Year-Year</c:v>
          </c:tx>
          <c:spPr>
            <a:ln>
              <a:solidFill>
                <a:srgbClr val="E60897"/>
              </a:solidFill>
            </a:ln>
          </c:spPr>
          <c:marker>
            <c:symbol val="square"/>
            <c:size val="5"/>
            <c:spPr>
              <a:solidFill>
                <a:srgbClr val="E60897"/>
              </a:solidFill>
            </c:spPr>
          </c:marker>
          <c:xVal>
            <c:numRef>
              <c:f>'Vent-3#'!$C$2:$Q$2</c:f>
              <c:numCache>
                <c:formatCode>mmm\-yy</c:formatCode>
                <c:ptCount val="15"/>
                <c:pt idx="0">
                  <c:v>40185</c:v>
                </c:pt>
                <c:pt idx="1">
                  <c:v>40216</c:v>
                </c:pt>
                <c:pt idx="2">
                  <c:v>40244</c:v>
                </c:pt>
                <c:pt idx="3">
                  <c:v>40275</c:v>
                </c:pt>
                <c:pt idx="4">
                  <c:v>40305</c:v>
                </c:pt>
                <c:pt idx="5">
                  <c:v>40336</c:v>
                </c:pt>
                <c:pt idx="6">
                  <c:v>40366</c:v>
                </c:pt>
                <c:pt idx="7">
                  <c:v>40397</c:v>
                </c:pt>
                <c:pt idx="8">
                  <c:v>40428</c:v>
                </c:pt>
                <c:pt idx="9">
                  <c:v>40458</c:v>
                </c:pt>
                <c:pt idx="10">
                  <c:v>40489</c:v>
                </c:pt>
                <c:pt idx="11">
                  <c:v>40519</c:v>
                </c:pt>
              </c:numCache>
            </c:numRef>
          </c:xVal>
          <c:yVal>
            <c:numRef>
              <c:f>'Vent-3#'!$C$30:$Q$30</c:f>
              <c:numCache>
                <c:formatCode>0.0%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45568"/>
        <c:axId val="202447104"/>
      </c:scatterChart>
      <c:valAx>
        <c:axId val="201904896"/>
        <c:scaling>
          <c:orientation val="minMax"/>
          <c:min val="40179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906816"/>
        <c:crosses val="autoZero"/>
        <c:crossBetween val="midCat"/>
        <c:majorUnit val="70"/>
        <c:minorUnit val="6.2"/>
      </c:valAx>
      <c:valAx>
        <c:axId val="201906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c/kWh</a:t>
                </a:r>
              </a:p>
            </c:rich>
          </c:tx>
          <c:layout>
            <c:manualLayout>
              <c:xMode val="edge"/>
              <c:yMode val="edge"/>
              <c:x val="1.7262638717632579E-2"/>
              <c:y val="0.402145297875501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904896"/>
        <c:crosses val="autoZero"/>
        <c:crossBetween val="midCat"/>
      </c:valAx>
      <c:valAx>
        <c:axId val="20244556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02447104"/>
        <c:crosses val="autoZero"/>
        <c:crossBetween val="midCat"/>
      </c:valAx>
      <c:valAx>
        <c:axId val="20244710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Total Cost Increase</a:t>
                </a:r>
              </a:p>
            </c:rich>
          </c:tx>
          <c:layout>
            <c:manualLayout>
              <c:xMode val="edge"/>
              <c:yMode val="edge"/>
              <c:x val="0.96547524037916965"/>
              <c:y val="0.3136733380025613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445568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9269664876796061"/>
          <c:w val="1"/>
          <c:h val="7.30335123203939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</c:v>
          </c:tx>
          <c:xVal>
            <c:numRef>
              <c:f>'PFC Savings2'!$D$1:$I$1</c:f>
              <c:numCache>
                <c:formatCode>mmm/yyyy</c:formatCode>
                <c:ptCount val="6"/>
                <c:pt idx="0">
                  <c:v>40219</c:v>
                </c:pt>
                <c:pt idx="1">
                  <c:v>40247</c:v>
                </c:pt>
                <c:pt idx="2">
                  <c:v>40278</c:v>
                </c:pt>
                <c:pt idx="3">
                  <c:v>40308</c:v>
                </c:pt>
                <c:pt idx="4">
                  <c:v>40339</c:v>
                </c:pt>
                <c:pt idx="5">
                  <c:v>40369</c:v>
                </c:pt>
              </c:numCache>
            </c:numRef>
          </c:xVal>
          <c:yVal>
            <c:numRef>
              <c:f>'PFC Savings2'!$D$68:$I$68</c:f>
              <c:numCache>
                <c:formatCode>0%</c:formatCode>
                <c:ptCount val="6"/>
                <c:pt idx="0">
                  <c:v>0.28498369043784777</c:v>
                </c:pt>
                <c:pt idx="1">
                  <c:v>0.28498369043784777</c:v>
                </c:pt>
                <c:pt idx="2">
                  <c:v>0.29357985749021126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</c:v>
          </c:tx>
          <c:xVal>
            <c:numRef>
              <c:f>'PFC Savings2'!$D$1:$I$1</c:f>
              <c:numCache>
                <c:formatCode>mmm/yyyy</c:formatCode>
                <c:ptCount val="6"/>
                <c:pt idx="0">
                  <c:v>40219</c:v>
                </c:pt>
                <c:pt idx="1">
                  <c:v>40247</c:v>
                </c:pt>
                <c:pt idx="2">
                  <c:v>40278</c:v>
                </c:pt>
                <c:pt idx="3">
                  <c:v>40308</c:v>
                </c:pt>
                <c:pt idx="4">
                  <c:v>40339</c:v>
                </c:pt>
                <c:pt idx="5">
                  <c:v>40369</c:v>
                </c:pt>
              </c:numCache>
            </c:numRef>
          </c:xVal>
          <c:yVal>
            <c:numRef>
              <c:f>'PFC Savings2'!$D$69:$I$69</c:f>
              <c:numCache>
                <c:formatCode>0%</c:formatCode>
                <c:ptCount val="6"/>
                <c:pt idx="0">
                  <c:v>0.7422583159346593</c:v>
                </c:pt>
                <c:pt idx="1">
                  <c:v>0.7422583159346593</c:v>
                </c:pt>
                <c:pt idx="2">
                  <c:v>0.70800098963328684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Q</c:v>
          </c:tx>
          <c:xVal>
            <c:numRef>
              <c:f>'PFC Savings2'!$D$1:$I$1</c:f>
              <c:numCache>
                <c:formatCode>mmm/yyyy</c:formatCode>
                <c:ptCount val="6"/>
                <c:pt idx="0">
                  <c:v>40219</c:v>
                </c:pt>
                <c:pt idx="1">
                  <c:v>40247</c:v>
                </c:pt>
                <c:pt idx="2">
                  <c:v>40278</c:v>
                </c:pt>
                <c:pt idx="3">
                  <c:v>40308</c:v>
                </c:pt>
                <c:pt idx="4">
                  <c:v>40339</c:v>
                </c:pt>
                <c:pt idx="5">
                  <c:v>40369</c:v>
                </c:pt>
              </c:numCache>
            </c:numRef>
          </c:xVal>
          <c:yVal>
            <c:numRef>
              <c:f>'PFC Savings2'!$D$70:$I$70</c:f>
              <c:numCache>
                <c:formatCode>0%</c:formatCode>
                <c:ptCount val="6"/>
                <c:pt idx="0">
                  <c:v>0.77360223381781335</c:v>
                </c:pt>
                <c:pt idx="1">
                  <c:v>0.77360223381781335</c:v>
                </c:pt>
                <c:pt idx="2">
                  <c:v>0.8057710203688212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78208"/>
        <c:axId val="204879744"/>
      </c:scatterChart>
      <c:valAx>
        <c:axId val="204878208"/>
        <c:scaling>
          <c:orientation val="minMax"/>
        </c:scaling>
        <c:delete val="0"/>
        <c:axPos val="b"/>
        <c:numFmt formatCode="mmm/yyyy" sourceLinked="1"/>
        <c:majorTickMark val="out"/>
        <c:minorTickMark val="none"/>
        <c:tickLblPos val="nextTo"/>
        <c:crossAx val="204879744"/>
        <c:crosses val="autoZero"/>
        <c:crossBetween val="midCat"/>
      </c:valAx>
      <c:valAx>
        <c:axId val="2048797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4878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31</xdr:row>
      <xdr:rowOff>104775</xdr:rowOff>
    </xdr:from>
    <xdr:to>
      <xdr:col>11</xdr:col>
      <xdr:colOff>514350</xdr:colOff>
      <xdr:row>53</xdr:row>
      <xdr:rowOff>76200</xdr:rowOff>
    </xdr:to>
    <xdr:graphicFrame macro="">
      <xdr:nvGraphicFramePr>
        <xdr:cNvPr id="2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31</xdr:row>
      <xdr:rowOff>104775</xdr:rowOff>
    </xdr:from>
    <xdr:to>
      <xdr:col>21</xdr:col>
      <xdr:colOff>28575</xdr:colOff>
      <xdr:row>53</xdr:row>
      <xdr:rowOff>47625</xdr:rowOff>
    </xdr:to>
    <xdr:graphicFrame macro="">
      <xdr:nvGraphicFramePr>
        <xdr:cNvPr id="3" name="Chart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257175</xdr:colOff>
      <xdr:row>99</xdr:row>
      <xdr:rowOff>28575</xdr:rowOff>
    </xdr:from>
    <xdr:to>
      <xdr:col>11</xdr:col>
      <xdr:colOff>533400</xdr:colOff>
      <xdr:row>121</xdr:row>
      <xdr:rowOff>95250</xdr:rowOff>
    </xdr:to>
    <xdr:graphicFrame macro="">
      <xdr:nvGraphicFramePr>
        <xdr:cNvPr id="4" name="Chart 10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247650</xdr:colOff>
      <xdr:row>75</xdr:row>
      <xdr:rowOff>123825</xdr:rowOff>
    </xdr:from>
    <xdr:to>
      <xdr:col>11</xdr:col>
      <xdr:colOff>533400</xdr:colOff>
      <xdr:row>98</xdr:row>
      <xdr:rowOff>28575</xdr:rowOff>
    </xdr:to>
    <xdr:graphicFrame macro="">
      <xdr:nvGraphicFramePr>
        <xdr:cNvPr id="5" name="Chart 10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581025</xdr:colOff>
      <xdr:row>53</xdr:row>
      <xdr:rowOff>104775</xdr:rowOff>
    </xdr:from>
    <xdr:to>
      <xdr:col>21</xdr:col>
      <xdr:colOff>38100</xdr:colOff>
      <xdr:row>75</xdr:row>
      <xdr:rowOff>85725</xdr:rowOff>
    </xdr:to>
    <xdr:graphicFrame macro="">
      <xdr:nvGraphicFramePr>
        <xdr:cNvPr id="6" name="Chart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581025</xdr:colOff>
      <xdr:row>99</xdr:row>
      <xdr:rowOff>28575</xdr:rowOff>
    </xdr:from>
    <xdr:to>
      <xdr:col>21</xdr:col>
      <xdr:colOff>9525</xdr:colOff>
      <xdr:row>121</xdr:row>
      <xdr:rowOff>85725</xdr:rowOff>
    </xdr:to>
    <xdr:graphicFrame macro="">
      <xdr:nvGraphicFramePr>
        <xdr:cNvPr id="7" name="Chart 10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571500</xdr:colOff>
      <xdr:row>75</xdr:row>
      <xdr:rowOff>133350</xdr:rowOff>
    </xdr:from>
    <xdr:to>
      <xdr:col>21</xdr:col>
      <xdr:colOff>9525</xdr:colOff>
      <xdr:row>98</xdr:row>
      <xdr:rowOff>38100</xdr:rowOff>
    </xdr:to>
    <xdr:graphicFrame macro="">
      <xdr:nvGraphicFramePr>
        <xdr:cNvPr id="8" name="Chart 10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257175</xdr:colOff>
      <xdr:row>53</xdr:row>
      <xdr:rowOff>123825</xdr:rowOff>
    </xdr:from>
    <xdr:to>
      <xdr:col>11</xdr:col>
      <xdr:colOff>523875</xdr:colOff>
      <xdr:row>75</xdr:row>
      <xdr:rowOff>95250</xdr:rowOff>
    </xdr:to>
    <xdr:graphicFrame macro="">
      <xdr:nvGraphicFramePr>
        <xdr:cNvPr id="9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312964</xdr:colOff>
      <xdr:row>16</xdr:row>
      <xdr:rowOff>68035</xdr:rowOff>
    </xdr:from>
    <xdr:to>
      <xdr:col>18</xdr:col>
      <xdr:colOff>136071</xdr:colOff>
      <xdr:row>70</xdr:row>
      <xdr:rowOff>149678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indexed="53"/>
  </sheetPr>
  <dimension ref="A1:CQ149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B149" sqref="B149"/>
    </sheetView>
  </sheetViews>
  <sheetFormatPr defaultRowHeight="12.75" x14ac:dyDescent="0.2"/>
  <cols>
    <col min="2" max="2" width="34.85546875" style="368" customWidth="1"/>
    <col min="3" max="3" width="13.42578125" style="74" bestFit="1" customWidth="1"/>
    <col min="4" max="4" width="13.42578125" bestFit="1" customWidth="1"/>
    <col min="5" max="5" width="13.42578125" customWidth="1"/>
    <col min="6" max="6" width="12.140625" bestFit="1" customWidth="1"/>
    <col min="7" max="7" width="12.28515625" bestFit="1" customWidth="1"/>
    <col min="8" max="8" width="12.85546875" bestFit="1" customWidth="1"/>
    <col min="9" max="9" width="13.85546875" customWidth="1"/>
    <col min="10" max="10" width="14.5703125" style="393" customWidth="1"/>
    <col min="11" max="19" width="12.140625" bestFit="1" customWidth="1"/>
    <col min="20" max="20" width="12.85546875" bestFit="1" customWidth="1"/>
    <col min="21" max="21" width="13.85546875" customWidth="1"/>
    <col min="22" max="22" width="14.5703125" style="393" customWidth="1"/>
    <col min="23" max="30" width="12.140625" bestFit="1" customWidth="1"/>
    <col min="31" max="66" width="10.140625" style="64" bestFit="1" customWidth="1"/>
    <col min="67" max="95" width="9.140625" style="64"/>
  </cols>
  <sheetData>
    <row r="1" spans="1:95" s="350" customFormat="1" ht="13.5" thickBot="1" x14ac:dyDescent="0.25">
      <c r="A1" s="349"/>
      <c r="B1" s="365"/>
      <c r="C1" s="351">
        <v>40188</v>
      </c>
      <c r="D1" s="351">
        <v>40219</v>
      </c>
      <c r="E1" s="352">
        <v>40247</v>
      </c>
      <c r="F1" s="351">
        <v>40278</v>
      </c>
      <c r="G1" s="351">
        <v>40308</v>
      </c>
      <c r="H1" s="351">
        <v>40339</v>
      </c>
      <c r="I1" s="351">
        <v>40369</v>
      </c>
      <c r="J1" s="351">
        <v>40400</v>
      </c>
      <c r="K1" s="351">
        <v>40431</v>
      </c>
      <c r="L1" s="351">
        <v>40461</v>
      </c>
      <c r="M1" s="351">
        <v>40492</v>
      </c>
      <c r="N1" s="351">
        <v>40522</v>
      </c>
      <c r="O1" s="351">
        <v>40553</v>
      </c>
      <c r="P1" s="351">
        <v>40584</v>
      </c>
      <c r="Q1" s="351">
        <v>40612</v>
      </c>
      <c r="R1" s="351">
        <v>40643</v>
      </c>
      <c r="S1" s="351">
        <v>40673</v>
      </c>
      <c r="T1" s="351">
        <v>40704</v>
      </c>
      <c r="U1" s="351">
        <v>40734</v>
      </c>
      <c r="V1" s="351">
        <v>40765</v>
      </c>
      <c r="W1" s="351"/>
      <c r="X1" s="351"/>
      <c r="Y1" s="351"/>
      <c r="Z1" s="351"/>
      <c r="AA1" s="351"/>
      <c r="AB1" s="351"/>
      <c r="AC1" s="351"/>
      <c r="AD1" s="351"/>
      <c r="AE1" s="351"/>
      <c r="AF1" s="351"/>
      <c r="AG1" s="351"/>
      <c r="AH1" s="351"/>
      <c r="AI1" s="351"/>
      <c r="AJ1" s="351"/>
      <c r="AK1" s="351"/>
      <c r="AL1" s="351"/>
      <c r="AM1" s="351"/>
      <c r="AN1" s="351"/>
      <c r="AO1" s="351"/>
      <c r="AP1" s="351"/>
      <c r="AQ1" s="351"/>
      <c r="AR1" s="351"/>
      <c r="AS1" s="351"/>
      <c r="AT1" s="351"/>
      <c r="AU1" s="351"/>
      <c r="AV1" s="351"/>
      <c r="AW1" s="351"/>
      <c r="AX1" s="351"/>
      <c r="AY1" s="351"/>
      <c r="AZ1" s="351"/>
      <c r="BA1" s="351"/>
      <c r="BB1" s="351"/>
      <c r="BC1" s="351"/>
      <c r="BD1" s="351"/>
      <c r="BE1" s="351"/>
      <c r="BF1" s="351"/>
      <c r="BG1" s="351"/>
      <c r="BH1" s="351"/>
      <c r="BI1" s="351"/>
      <c r="BJ1" s="351"/>
      <c r="BK1" s="351"/>
      <c r="BL1" s="351"/>
      <c r="BM1" s="351"/>
      <c r="BN1" s="351"/>
      <c r="BO1" s="386"/>
      <c r="BP1" s="386"/>
      <c r="BQ1" s="386"/>
      <c r="BR1" s="386"/>
      <c r="BS1" s="386"/>
      <c r="BT1" s="386"/>
      <c r="BU1" s="386"/>
      <c r="BV1" s="386"/>
      <c r="BW1" s="386"/>
      <c r="BX1" s="386"/>
      <c r="BY1" s="386"/>
      <c r="BZ1" s="386"/>
      <c r="CA1" s="386"/>
      <c r="CB1" s="386"/>
      <c r="CC1" s="386"/>
      <c r="CD1" s="386"/>
      <c r="CE1" s="386"/>
      <c r="CF1" s="386"/>
      <c r="CG1" s="386"/>
      <c r="CH1" s="386"/>
      <c r="CI1" s="386"/>
      <c r="CJ1" s="386"/>
      <c r="CK1" s="386"/>
      <c r="CL1" s="386"/>
      <c r="CM1" s="386"/>
      <c r="CN1" s="386"/>
      <c r="CO1" s="386"/>
      <c r="CP1" s="386"/>
      <c r="CQ1" s="386"/>
    </row>
    <row r="2" spans="1:95" s="319" customFormat="1" ht="13.5" customHeight="1" thickBot="1" x14ac:dyDescent="0.25">
      <c r="A2" s="504" t="s">
        <v>121</v>
      </c>
      <c r="B2" s="442" t="s">
        <v>122</v>
      </c>
      <c r="C2" s="348"/>
      <c r="D2" s="348"/>
      <c r="E2" s="348"/>
      <c r="F2" s="348"/>
      <c r="G2" s="348"/>
      <c r="H2" s="348"/>
      <c r="I2" s="348"/>
      <c r="J2" s="348">
        <v>21088.99</v>
      </c>
      <c r="K2" s="348" t="s">
        <v>145</v>
      </c>
      <c r="L2" s="348"/>
      <c r="M2" s="348"/>
      <c r="N2" s="348"/>
      <c r="O2" s="348"/>
      <c r="P2" s="348"/>
      <c r="Q2" s="348"/>
      <c r="R2" s="348"/>
      <c r="S2" s="348"/>
      <c r="T2" s="348"/>
      <c r="U2" s="348"/>
      <c r="V2" s="348"/>
      <c r="W2" s="348"/>
      <c r="X2" s="348"/>
      <c r="Y2" s="348"/>
      <c r="Z2" s="348"/>
      <c r="AA2" s="348"/>
      <c r="AB2" s="348"/>
      <c r="AC2" s="348"/>
      <c r="AD2" s="348"/>
    </row>
    <row r="3" spans="1:95" s="319" customFormat="1" x14ac:dyDescent="0.2">
      <c r="A3" s="505"/>
      <c r="B3" s="443" t="s">
        <v>123</v>
      </c>
      <c r="C3" s="328"/>
      <c r="D3" s="331"/>
      <c r="E3" s="331"/>
      <c r="F3" s="331"/>
      <c r="G3" s="331"/>
      <c r="H3" s="331"/>
      <c r="I3" s="331"/>
      <c r="J3" s="331">
        <v>446483.54</v>
      </c>
      <c r="K3" s="331" t="s">
        <v>145</v>
      </c>
      <c r="L3" s="331"/>
      <c r="M3" s="331"/>
      <c r="N3" s="331"/>
      <c r="O3" s="331"/>
      <c r="P3" s="331"/>
      <c r="Q3" s="331"/>
      <c r="R3" s="331"/>
      <c r="S3" s="331"/>
      <c r="T3" s="331"/>
      <c r="U3" s="331"/>
      <c r="V3" s="331"/>
      <c r="W3" s="331"/>
      <c r="X3" s="331"/>
      <c r="Y3" s="331"/>
      <c r="Z3" s="331"/>
      <c r="AA3" s="331"/>
      <c r="AB3" s="331"/>
      <c r="AC3" s="331"/>
      <c r="AD3" s="331"/>
    </row>
    <row r="4" spans="1:95" s="319" customFormat="1" x14ac:dyDescent="0.2">
      <c r="A4" s="505"/>
      <c r="B4" s="444" t="s">
        <v>130</v>
      </c>
      <c r="C4" s="329"/>
      <c r="D4" s="178"/>
      <c r="E4" s="178"/>
      <c r="F4" s="178"/>
      <c r="G4" s="178"/>
      <c r="H4" s="178"/>
      <c r="I4" s="178"/>
      <c r="J4" s="178">
        <v>895632.66</v>
      </c>
      <c r="K4" s="178" t="s">
        <v>145</v>
      </c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</row>
    <row r="5" spans="1:95" s="319" customFormat="1" x14ac:dyDescent="0.2">
      <c r="A5" s="505"/>
      <c r="B5" s="445" t="s">
        <v>124</v>
      </c>
      <c r="C5" s="330"/>
      <c r="D5" s="332"/>
      <c r="E5" s="332"/>
      <c r="F5" s="332"/>
      <c r="G5" s="332"/>
      <c r="H5" s="332"/>
      <c r="I5" s="332"/>
      <c r="J5" s="332">
        <v>1141052.8999999999</v>
      </c>
      <c r="K5" s="332" t="s">
        <v>145</v>
      </c>
      <c r="L5" s="332"/>
      <c r="M5" s="332"/>
      <c r="N5" s="332"/>
      <c r="O5" s="332"/>
      <c r="P5" s="332"/>
      <c r="Q5" s="332"/>
      <c r="R5" s="332"/>
      <c r="S5" s="332"/>
      <c r="T5" s="332"/>
      <c r="U5" s="332"/>
      <c r="V5" s="332"/>
      <c r="W5" s="332"/>
      <c r="X5" s="332"/>
      <c r="Y5" s="332"/>
      <c r="Z5" s="332"/>
      <c r="AA5" s="332"/>
      <c r="AB5" s="332"/>
      <c r="AC5" s="332"/>
      <c r="AD5" s="332"/>
    </row>
    <row r="6" spans="1:95" s="31" customFormat="1" x14ac:dyDescent="0.2">
      <c r="A6" s="505"/>
      <c r="B6" s="426" t="s">
        <v>24</v>
      </c>
      <c r="C6" s="356"/>
      <c r="D6" s="179"/>
      <c r="E6" s="179"/>
      <c r="F6" s="179"/>
      <c r="G6" s="179"/>
      <c r="H6" s="179"/>
      <c r="I6" s="179"/>
      <c r="J6" s="179">
        <v>3.35</v>
      </c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</row>
    <row r="7" spans="1:95" s="177" customFormat="1" x14ac:dyDescent="0.2">
      <c r="A7" s="505"/>
      <c r="B7" s="446" t="s">
        <v>129</v>
      </c>
      <c r="C7" s="357"/>
      <c r="D7" s="176"/>
      <c r="E7" s="176"/>
      <c r="F7" s="176"/>
      <c r="G7" s="176"/>
      <c r="H7" s="176"/>
      <c r="I7" s="176"/>
      <c r="J7" s="327">
        <f>J3/J6</f>
        <v>133278.66865671641</v>
      </c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327"/>
      <c r="W7" s="176"/>
      <c r="X7" s="176"/>
      <c r="Y7" s="176"/>
      <c r="Z7" s="176"/>
      <c r="AA7" s="176"/>
      <c r="AB7" s="176"/>
      <c r="AC7" s="176"/>
      <c r="AD7" s="176"/>
    </row>
    <row r="8" spans="1:95" s="31" customFormat="1" x14ac:dyDescent="0.2">
      <c r="A8" s="505"/>
      <c r="B8" s="428" t="s">
        <v>7</v>
      </c>
      <c r="C8" s="358"/>
      <c r="D8" s="3"/>
      <c r="E8" s="3"/>
      <c r="F8" s="3"/>
      <c r="G8" s="3"/>
      <c r="H8" s="3"/>
      <c r="I8" s="3"/>
      <c r="J8" s="3">
        <v>6.72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95" s="177" customFormat="1" x14ac:dyDescent="0.2">
      <c r="A9" s="505"/>
      <c r="B9" s="446" t="s">
        <v>129</v>
      </c>
      <c r="C9" s="357"/>
      <c r="D9" s="176"/>
      <c r="E9" s="176"/>
      <c r="F9" s="176"/>
      <c r="G9" s="176"/>
      <c r="H9" s="176"/>
      <c r="I9" s="176"/>
      <c r="J9" s="327">
        <f>J4/J8</f>
        <v>133278.66964285716</v>
      </c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327"/>
      <c r="W9" s="176"/>
      <c r="X9" s="176"/>
      <c r="Y9" s="176"/>
      <c r="Z9" s="176"/>
      <c r="AA9" s="176"/>
      <c r="AB9" s="176"/>
      <c r="AC9" s="176"/>
      <c r="AD9" s="176"/>
    </row>
    <row r="10" spans="1:95" s="31" customFormat="1" x14ac:dyDescent="0.2">
      <c r="A10" s="505"/>
      <c r="B10" s="428" t="s">
        <v>8</v>
      </c>
      <c r="C10" s="358"/>
      <c r="D10" s="3"/>
      <c r="E10" s="3"/>
      <c r="F10" s="3"/>
      <c r="G10" s="3"/>
      <c r="H10" s="3"/>
      <c r="I10" s="3"/>
      <c r="J10" s="3">
        <v>12.73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95" s="381" customFormat="1" x14ac:dyDescent="0.2">
      <c r="A11" s="505"/>
      <c r="B11" s="447" t="s">
        <v>131</v>
      </c>
      <c r="C11" s="378"/>
      <c r="D11" s="379"/>
      <c r="E11" s="379"/>
      <c r="F11" s="379"/>
      <c r="G11" s="379"/>
      <c r="H11" s="379"/>
      <c r="I11" s="379"/>
      <c r="J11" s="380">
        <f>J5/J10</f>
        <v>89634.948939512949</v>
      </c>
      <c r="K11" s="379"/>
      <c r="L11" s="379"/>
      <c r="M11" s="379"/>
      <c r="N11" s="379"/>
      <c r="O11" s="379"/>
      <c r="P11" s="379"/>
      <c r="Q11" s="379"/>
      <c r="R11" s="379"/>
      <c r="S11" s="379"/>
      <c r="T11" s="379"/>
      <c r="U11" s="379"/>
      <c r="V11" s="380"/>
      <c r="W11" s="379"/>
      <c r="X11" s="379"/>
      <c r="Y11" s="379"/>
      <c r="Z11" s="379"/>
      <c r="AA11" s="379"/>
      <c r="AB11" s="379"/>
      <c r="AC11" s="379"/>
      <c r="AD11" s="379"/>
    </row>
    <row r="12" spans="1:95" s="177" customFormat="1" x14ac:dyDescent="0.2">
      <c r="A12" s="505"/>
      <c r="B12" s="448" t="s">
        <v>127</v>
      </c>
      <c r="C12" s="363"/>
      <c r="D12" s="364"/>
      <c r="E12" s="364"/>
      <c r="F12" s="364"/>
      <c r="G12" s="364"/>
      <c r="H12" s="364"/>
      <c r="I12" s="364"/>
      <c r="J12" s="364">
        <v>46555.32</v>
      </c>
      <c r="K12" s="364" t="s">
        <v>145</v>
      </c>
      <c r="L12" s="364"/>
      <c r="M12" s="364"/>
      <c r="N12" s="364"/>
      <c r="O12" s="364"/>
      <c r="P12" s="364"/>
      <c r="Q12" s="364"/>
      <c r="R12" s="364"/>
      <c r="S12" s="364"/>
      <c r="T12" s="364"/>
      <c r="U12" s="364"/>
      <c r="V12" s="364"/>
      <c r="W12" s="364"/>
      <c r="X12" s="364"/>
      <c r="Y12" s="364"/>
      <c r="Z12" s="364"/>
      <c r="AA12" s="364"/>
      <c r="AB12" s="364"/>
      <c r="AC12" s="364"/>
      <c r="AD12" s="364"/>
    </row>
    <row r="13" spans="1:95" s="369" customFormat="1" x14ac:dyDescent="0.2">
      <c r="A13" s="505"/>
      <c r="B13" s="449" t="s">
        <v>143</v>
      </c>
      <c r="C13" s="375"/>
      <c r="D13" s="370"/>
      <c r="E13" s="370"/>
      <c r="F13" s="370"/>
      <c r="G13" s="370"/>
      <c r="H13" s="370"/>
      <c r="I13" s="370"/>
      <c r="J13" s="370">
        <f>J6</f>
        <v>3.35</v>
      </c>
      <c r="K13" s="370"/>
      <c r="L13" s="370"/>
      <c r="M13" s="370"/>
      <c r="N13" s="370"/>
      <c r="O13" s="370"/>
      <c r="P13" s="370"/>
      <c r="Q13" s="370"/>
      <c r="R13" s="370"/>
      <c r="S13" s="370"/>
      <c r="T13" s="370"/>
      <c r="U13" s="370"/>
      <c r="V13" s="370"/>
      <c r="W13" s="370"/>
      <c r="X13" s="370"/>
      <c r="Y13" s="370"/>
      <c r="Z13" s="370"/>
      <c r="AA13" s="370"/>
      <c r="AB13" s="370"/>
      <c r="AC13" s="370"/>
      <c r="AD13" s="370"/>
    </row>
    <row r="14" spans="1:95" s="377" customFormat="1" ht="13.5" thickBot="1" x14ac:dyDescent="0.25">
      <c r="A14" s="505"/>
      <c r="B14" s="450" t="s">
        <v>144</v>
      </c>
      <c r="C14" s="385"/>
      <c r="D14" s="333"/>
      <c r="E14" s="333"/>
      <c r="F14" s="333"/>
      <c r="G14" s="333"/>
      <c r="H14" s="333"/>
      <c r="I14" s="333"/>
      <c r="J14" s="333">
        <f>J12/J13</f>
        <v>13897.110447761193</v>
      </c>
      <c r="K14" s="333"/>
      <c r="L14" s="333"/>
      <c r="M14" s="333"/>
      <c r="N14" s="333"/>
      <c r="O14" s="333"/>
      <c r="P14" s="333"/>
      <c r="Q14" s="333"/>
      <c r="R14" s="333"/>
      <c r="S14" s="333"/>
      <c r="T14" s="333"/>
      <c r="U14" s="333"/>
      <c r="V14" s="333"/>
      <c r="W14" s="333"/>
      <c r="X14" s="333"/>
      <c r="Y14" s="333"/>
      <c r="Z14" s="333"/>
      <c r="AA14" s="333"/>
      <c r="AB14" s="333"/>
      <c r="AC14" s="333"/>
      <c r="AD14" s="333"/>
      <c r="AE14" s="384"/>
      <c r="AF14" s="384"/>
      <c r="AG14" s="384"/>
      <c r="AH14" s="384"/>
      <c r="AI14" s="384"/>
      <c r="AJ14" s="384"/>
      <c r="AK14" s="384"/>
      <c r="AL14" s="384"/>
      <c r="AM14" s="384"/>
      <c r="AN14" s="384"/>
      <c r="AO14" s="384"/>
      <c r="AP14" s="384"/>
      <c r="AQ14" s="384"/>
      <c r="AR14" s="384"/>
      <c r="AS14" s="384"/>
      <c r="AT14" s="384"/>
      <c r="AU14" s="384"/>
      <c r="AV14" s="384"/>
      <c r="AW14" s="384"/>
      <c r="AX14" s="384"/>
      <c r="AY14" s="384"/>
      <c r="AZ14" s="384"/>
      <c r="BA14" s="384"/>
      <c r="BB14" s="384"/>
      <c r="BC14" s="384"/>
      <c r="BD14" s="384"/>
      <c r="BE14" s="384"/>
      <c r="BF14" s="384"/>
      <c r="BG14" s="384"/>
      <c r="BH14" s="384"/>
      <c r="BI14" s="384"/>
      <c r="BJ14" s="384"/>
      <c r="BK14" s="384"/>
      <c r="BL14" s="384"/>
      <c r="BM14" s="384"/>
      <c r="BN14" s="384"/>
    </row>
    <row r="15" spans="1:95" s="320" customFormat="1" x14ac:dyDescent="0.2">
      <c r="A15" s="505"/>
      <c r="B15" s="451" t="s">
        <v>132</v>
      </c>
      <c r="C15" s="353"/>
      <c r="D15" s="341"/>
      <c r="E15" s="341"/>
      <c r="F15" s="341"/>
      <c r="G15" s="341"/>
      <c r="H15" s="341"/>
      <c r="I15" s="341"/>
      <c r="J15" s="341">
        <v>18884803</v>
      </c>
      <c r="K15" s="341" t="s">
        <v>145</v>
      </c>
      <c r="L15" s="341"/>
      <c r="M15" s="341"/>
      <c r="N15" s="341"/>
      <c r="O15" s="341"/>
      <c r="P15" s="341"/>
      <c r="Q15" s="341"/>
      <c r="R15" s="341"/>
      <c r="S15" s="341"/>
      <c r="T15" s="341"/>
      <c r="U15" s="341"/>
      <c r="V15" s="341"/>
      <c r="W15" s="341"/>
      <c r="X15" s="341"/>
      <c r="Y15" s="341"/>
      <c r="Z15" s="341"/>
      <c r="AA15" s="341"/>
      <c r="AB15" s="341"/>
      <c r="AC15" s="341"/>
      <c r="AD15" s="341"/>
      <c r="AE15" s="319"/>
      <c r="AF15" s="319"/>
      <c r="AG15" s="319"/>
      <c r="AH15" s="319"/>
      <c r="AI15" s="319"/>
      <c r="AJ15" s="319"/>
      <c r="AK15" s="319"/>
      <c r="AL15" s="319"/>
      <c r="AM15" s="319"/>
      <c r="AN15" s="319"/>
      <c r="AO15" s="319"/>
      <c r="AP15" s="319"/>
      <c r="AQ15" s="319"/>
      <c r="AR15" s="319"/>
      <c r="AS15" s="319"/>
      <c r="AT15" s="319"/>
      <c r="AU15" s="319"/>
      <c r="AV15" s="319"/>
      <c r="AW15" s="319"/>
      <c r="AX15" s="319"/>
      <c r="AY15" s="319"/>
      <c r="AZ15" s="319"/>
      <c r="BA15" s="319"/>
      <c r="BB15" s="319"/>
      <c r="BC15" s="319"/>
      <c r="BD15" s="319"/>
      <c r="BE15" s="319"/>
      <c r="BF15" s="319"/>
      <c r="BG15" s="319"/>
      <c r="BH15" s="319"/>
      <c r="BI15" s="319"/>
      <c r="BJ15" s="319"/>
      <c r="BK15" s="319"/>
      <c r="BL15" s="319"/>
      <c r="BM15" s="319"/>
      <c r="BN15" s="319"/>
      <c r="BO15" s="319"/>
      <c r="BP15" s="319"/>
      <c r="BQ15" s="319"/>
      <c r="BR15" s="319"/>
      <c r="BS15" s="319"/>
      <c r="BT15" s="319"/>
      <c r="BU15" s="319"/>
      <c r="BV15" s="319"/>
      <c r="BW15" s="319"/>
      <c r="BX15" s="319"/>
      <c r="BY15" s="319"/>
      <c r="BZ15" s="319"/>
      <c r="CA15" s="319"/>
      <c r="CB15" s="319"/>
      <c r="CC15" s="319"/>
      <c r="CD15" s="319"/>
      <c r="CE15" s="319"/>
      <c r="CF15" s="319"/>
      <c r="CG15" s="319"/>
      <c r="CH15" s="319"/>
      <c r="CI15" s="319"/>
      <c r="CJ15" s="319"/>
      <c r="CK15" s="319"/>
      <c r="CL15" s="319"/>
      <c r="CM15" s="319"/>
      <c r="CN15" s="319"/>
      <c r="CO15" s="319"/>
      <c r="CP15" s="319"/>
      <c r="CQ15" s="319"/>
    </row>
    <row r="16" spans="1:95" s="31" customFormat="1" x14ac:dyDescent="0.2">
      <c r="A16" s="505"/>
      <c r="B16" s="452" t="s">
        <v>134</v>
      </c>
      <c r="C16" s="65"/>
      <c r="D16" s="180"/>
      <c r="E16" s="180"/>
      <c r="F16" s="180"/>
      <c r="G16" s="180"/>
      <c r="H16" s="180"/>
      <c r="I16" s="180"/>
      <c r="J16" s="334">
        <f>J17/J15</f>
        <v>0.19769999824726792</v>
      </c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334"/>
      <c r="W16" s="180"/>
      <c r="X16" s="180"/>
      <c r="Y16" s="180"/>
      <c r="Z16" s="180"/>
      <c r="AA16" s="180"/>
      <c r="AB16" s="180"/>
      <c r="AC16" s="180"/>
      <c r="AD16" s="180"/>
    </row>
    <row r="17" spans="1:95" s="336" customFormat="1" x14ac:dyDescent="0.2">
      <c r="A17" s="505"/>
      <c r="B17" s="453" t="s">
        <v>136</v>
      </c>
      <c r="C17" s="354"/>
      <c r="D17" s="342"/>
      <c r="E17" s="342"/>
      <c r="F17" s="342"/>
      <c r="G17" s="342"/>
      <c r="H17" s="342"/>
      <c r="I17" s="342"/>
      <c r="J17" s="344">
        <v>3733525.52</v>
      </c>
      <c r="K17" s="342" t="s">
        <v>145</v>
      </c>
      <c r="L17" s="342"/>
      <c r="M17" s="342"/>
      <c r="N17" s="342"/>
      <c r="O17" s="342"/>
      <c r="P17" s="342"/>
      <c r="Q17" s="342"/>
      <c r="R17" s="342"/>
      <c r="S17" s="342"/>
      <c r="T17" s="342"/>
      <c r="U17" s="342"/>
      <c r="V17" s="344"/>
      <c r="W17" s="342"/>
      <c r="X17" s="342"/>
      <c r="Y17" s="342"/>
      <c r="Z17" s="342"/>
      <c r="AA17" s="342"/>
      <c r="AB17" s="342"/>
      <c r="AC17" s="342"/>
      <c r="AD17" s="342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</row>
    <row r="18" spans="1:95" s="319" customFormat="1" x14ac:dyDescent="0.2">
      <c r="A18" s="505"/>
      <c r="B18" s="454" t="s">
        <v>133</v>
      </c>
      <c r="C18" s="339"/>
      <c r="D18" s="237"/>
      <c r="E18" s="237"/>
      <c r="F18" s="237"/>
      <c r="G18" s="237"/>
      <c r="H18" s="237"/>
      <c r="I18" s="237"/>
      <c r="J18" s="237">
        <v>4812144</v>
      </c>
      <c r="K18" s="237" t="s">
        <v>145</v>
      </c>
      <c r="L18" s="237"/>
      <c r="M18" s="237"/>
      <c r="N18" s="237"/>
      <c r="O18" s="237"/>
      <c r="P18" s="237"/>
      <c r="Q18" s="237"/>
      <c r="R18" s="237"/>
      <c r="S18" s="237"/>
      <c r="T18" s="237"/>
      <c r="U18" s="237"/>
      <c r="V18" s="237"/>
      <c r="W18" s="237"/>
      <c r="X18" s="237"/>
      <c r="Y18" s="237"/>
      <c r="Z18" s="237"/>
      <c r="AA18" s="237"/>
      <c r="AB18" s="237"/>
      <c r="AC18" s="237"/>
      <c r="AD18" s="237"/>
    </row>
    <row r="19" spans="1:95" s="31" customFormat="1" x14ac:dyDescent="0.2">
      <c r="A19" s="505"/>
      <c r="B19" s="452" t="s">
        <v>135</v>
      </c>
      <c r="C19" s="65"/>
      <c r="D19" s="180"/>
      <c r="E19" s="180"/>
      <c r="F19" s="180"/>
      <c r="G19" s="180"/>
      <c r="H19" s="180"/>
      <c r="I19" s="180"/>
      <c r="J19" s="334">
        <f>J20/J18</f>
        <v>1.4238000005818612</v>
      </c>
      <c r="K19" s="180"/>
      <c r="L19" s="180"/>
      <c r="M19" s="180"/>
      <c r="N19" s="180"/>
      <c r="O19" s="180"/>
      <c r="P19" s="180"/>
      <c r="Q19" s="180"/>
      <c r="R19" s="180"/>
      <c r="S19" s="180"/>
      <c r="T19" s="180"/>
      <c r="U19" s="180"/>
      <c r="V19" s="334"/>
      <c r="W19" s="180"/>
      <c r="X19" s="180"/>
      <c r="Y19" s="180"/>
      <c r="Z19" s="180"/>
      <c r="AA19" s="180"/>
      <c r="AB19" s="180"/>
      <c r="AC19" s="180"/>
      <c r="AD19" s="180"/>
    </row>
    <row r="20" spans="1:95" s="336" customFormat="1" x14ac:dyDescent="0.2">
      <c r="A20" s="505"/>
      <c r="B20" s="453" t="s">
        <v>137</v>
      </c>
      <c r="C20" s="354"/>
      <c r="D20" s="342"/>
      <c r="E20" s="342"/>
      <c r="F20" s="342"/>
      <c r="G20" s="342"/>
      <c r="H20" s="342"/>
      <c r="I20" s="342"/>
      <c r="J20" s="344">
        <v>6851530.6299999999</v>
      </c>
      <c r="K20" s="342" t="s">
        <v>145</v>
      </c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4"/>
      <c r="W20" s="342"/>
      <c r="X20" s="342"/>
      <c r="Y20" s="342"/>
      <c r="Z20" s="342"/>
      <c r="AA20" s="342"/>
      <c r="AB20" s="342"/>
      <c r="AC20" s="342"/>
      <c r="AD20" s="342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</row>
    <row r="21" spans="1:95" s="337" customFormat="1" x14ac:dyDescent="0.2">
      <c r="A21" s="505"/>
      <c r="B21" s="455" t="s">
        <v>15</v>
      </c>
      <c r="C21" s="338"/>
      <c r="D21" s="79"/>
      <c r="E21" s="79"/>
      <c r="F21" s="79"/>
      <c r="G21" s="79"/>
      <c r="H21" s="79"/>
      <c r="I21" s="79"/>
      <c r="J21" s="79">
        <v>13427687</v>
      </c>
      <c r="K21" s="79" t="s">
        <v>145</v>
      </c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319"/>
      <c r="AF21" s="319"/>
      <c r="AG21" s="319"/>
      <c r="AH21" s="319"/>
      <c r="AI21" s="319"/>
      <c r="AJ21" s="319"/>
      <c r="AK21" s="319"/>
      <c r="AL21" s="319"/>
      <c r="AM21" s="319"/>
      <c r="AN21" s="319"/>
      <c r="AO21" s="319"/>
      <c r="AP21" s="319"/>
      <c r="AQ21" s="319"/>
      <c r="AR21" s="319"/>
      <c r="AS21" s="319"/>
      <c r="AT21" s="319"/>
      <c r="AU21" s="319"/>
      <c r="AV21" s="319"/>
      <c r="AW21" s="319"/>
      <c r="AX21" s="319"/>
      <c r="AY21" s="319"/>
      <c r="AZ21" s="319"/>
      <c r="BA21" s="319"/>
      <c r="BB21" s="319"/>
      <c r="BC21" s="319"/>
      <c r="BD21" s="319"/>
      <c r="BE21" s="319"/>
      <c r="BF21" s="319"/>
      <c r="BG21" s="319"/>
      <c r="BH21" s="319"/>
      <c r="BI21" s="319"/>
      <c r="BJ21" s="319"/>
      <c r="BK21" s="319"/>
      <c r="BL21" s="319"/>
      <c r="BM21" s="319"/>
      <c r="BN21" s="319"/>
      <c r="BO21" s="319"/>
      <c r="BP21" s="319"/>
      <c r="BQ21" s="319"/>
      <c r="BR21" s="319"/>
      <c r="BS21" s="319"/>
      <c r="BT21" s="319"/>
      <c r="BU21" s="319"/>
      <c r="BV21" s="319"/>
      <c r="BW21" s="319"/>
      <c r="BX21" s="319"/>
      <c r="BY21" s="319"/>
      <c r="BZ21" s="319"/>
      <c r="CA21" s="319"/>
      <c r="CB21" s="319"/>
      <c r="CC21" s="319"/>
      <c r="CD21" s="319"/>
      <c r="CE21" s="319"/>
      <c r="CF21" s="319"/>
      <c r="CG21" s="319"/>
      <c r="CH21" s="319"/>
      <c r="CI21" s="319"/>
      <c r="CJ21" s="319"/>
      <c r="CK21" s="319"/>
      <c r="CL21" s="319"/>
      <c r="CM21" s="319"/>
      <c r="CN21" s="319"/>
      <c r="CO21" s="319"/>
      <c r="CP21" s="319"/>
      <c r="CQ21" s="319"/>
    </row>
    <row r="22" spans="1:95" s="31" customFormat="1" x14ac:dyDescent="0.2">
      <c r="A22" s="505"/>
      <c r="B22" s="434" t="s">
        <v>134</v>
      </c>
      <c r="C22" s="323"/>
      <c r="D22" s="112"/>
      <c r="E22" s="112"/>
      <c r="F22" s="112"/>
      <c r="G22" s="112"/>
      <c r="H22" s="180"/>
      <c r="I22" s="180"/>
      <c r="J22" s="334">
        <f>J23/J21</f>
        <v>0.37010000084154476</v>
      </c>
      <c r="K22" s="112"/>
      <c r="L22" s="112"/>
      <c r="M22" s="112"/>
      <c r="N22" s="112"/>
      <c r="O22" s="112"/>
      <c r="P22" s="112"/>
      <c r="Q22" s="112"/>
      <c r="R22" s="112"/>
      <c r="S22" s="112"/>
      <c r="T22" s="180"/>
      <c r="U22" s="180"/>
      <c r="V22" s="334"/>
      <c r="W22" s="112"/>
      <c r="X22" s="112"/>
      <c r="Y22" s="112"/>
      <c r="Z22" s="112"/>
      <c r="AA22" s="112"/>
      <c r="AB22" s="112"/>
      <c r="AC22" s="112"/>
      <c r="AD22" s="112"/>
    </row>
    <row r="23" spans="1:95" s="34" customFormat="1" x14ac:dyDescent="0.2">
      <c r="A23" s="505"/>
      <c r="B23" s="456" t="s">
        <v>136</v>
      </c>
      <c r="C23" s="355"/>
      <c r="D23" s="342"/>
      <c r="E23" s="342"/>
      <c r="F23" s="343"/>
      <c r="G23" s="343"/>
      <c r="H23" s="343"/>
      <c r="I23" s="343"/>
      <c r="J23" s="345">
        <v>4969586.97</v>
      </c>
      <c r="K23" s="343" t="s">
        <v>145</v>
      </c>
      <c r="L23" s="343"/>
      <c r="M23" s="343"/>
      <c r="N23" s="343"/>
      <c r="O23" s="343"/>
      <c r="P23" s="343"/>
      <c r="Q23" s="343"/>
      <c r="R23" s="343"/>
      <c r="S23" s="343"/>
      <c r="T23" s="343"/>
      <c r="U23" s="343"/>
      <c r="V23" s="345"/>
      <c r="W23" s="343"/>
      <c r="X23" s="343"/>
      <c r="Y23" s="343"/>
      <c r="Z23" s="343"/>
      <c r="AA23" s="343"/>
      <c r="AB23" s="343"/>
      <c r="AC23" s="343"/>
      <c r="AD23" s="343"/>
    </row>
    <row r="24" spans="1:95" s="111" customFormat="1" x14ac:dyDescent="0.2">
      <c r="A24" s="505"/>
      <c r="B24" s="412" t="s">
        <v>17</v>
      </c>
      <c r="C24" s="340"/>
      <c r="D24" s="340"/>
      <c r="E24" s="326"/>
      <c r="F24" s="326"/>
      <c r="G24" s="326"/>
      <c r="H24" s="326"/>
      <c r="I24" s="326"/>
      <c r="J24" s="326">
        <f>SUM(J15:J21)</f>
        <v>47709691.771499999</v>
      </c>
      <c r="K24" s="326"/>
      <c r="L24" s="326"/>
      <c r="M24" s="326"/>
      <c r="N24" s="326"/>
      <c r="O24" s="326"/>
      <c r="P24" s="326"/>
      <c r="Q24" s="326"/>
      <c r="R24" s="326"/>
      <c r="S24" s="326"/>
      <c r="T24" s="326"/>
      <c r="U24" s="326"/>
      <c r="V24" s="326"/>
      <c r="W24" s="326"/>
      <c r="X24" s="326"/>
      <c r="Y24" s="326"/>
      <c r="Z24" s="326"/>
      <c r="AA24" s="326"/>
      <c r="AB24" s="326"/>
      <c r="AC24" s="326"/>
      <c r="AD24" s="326"/>
    </row>
    <row r="25" spans="1:95" s="347" customFormat="1" x14ac:dyDescent="0.2">
      <c r="A25" s="505"/>
      <c r="B25" s="457" t="s">
        <v>140</v>
      </c>
      <c r="C25" s="382"/>
      <c r="D25" s="383"/>
      <c r="E25" s="383"/>
      <c r="F25" s="383"/>
      <c r="G25" s="383"/>
      <c r="H25" s="321"/>
      <c r="I25" s="321"/>
      <c r="J25" s="321">
        <v>5423595</v>
      </c>
      <c r="K25" s="383" t="s">
        <v>145</v>
      </c>
      <c r="L25" s="383"/>
      <c r="M25" s="383"/>
      <c r="N25" s="383"/>
      <c r="O25" s="383"/>
      <c r="P25" s="383"/>
      <c r="Q25" s="383"/>
      <c r="R25" s="383"/>
      <c r="S25" s="383"/>
      <c r="T25" s="321"/>
      <c r="U25" s="321"/>
      <c r="V25" s="321"/>
      <c r="W25" s="383"/>
      <c r="X25" s="383"/>
      <c r="Y25" s="383"/>
      <c r="Z25" s="383"/>
      <c r="AA25" s="383"/>
      <c r="AB25" s="383"/>
      <c r="AC25" s="383"/>
      <c r="AD25" s="383"/>
      <c r="AE25" s="465"/>
      <c r="AF25" s="465"/>
      <c r="AG25" s="465"/>
      <c r="AH25" s="465"/>
      <c r="AI25" s="465"/>
      <c r="AJ25" s="465"/>
      <c r="AK25" s="465"/>
      <c r="AL25" s="465"/>
      <c r="AM25" s="465"/>
      <c r="AN25" s="465"/>
      <c r="AO25" s="465"/>
      <c r="AP25" s="465"/>
      <c r="AQ25" s="465"/>
      <c r="AR25" s="465"/>
      <c r="AS25" s="465"/>
      <c r="AT25" s="465"/>
      <c r="AU25" s="465"/>
      <c r="AV25" s="465"/>
      <c r="AW25" s="465"/>
      <c r="AX25" s="465"/>
      <c r="AY25" s="465"/>
      <c r="AZ25" s="465"/>
      <c r="BA25" s="465"/>
      <c r="BB25" s="465"/>
      <c r="BC25" s="465"/>
      <c r="BD25" s="465"/>
      <c r="BE25" s="465"/>
      <c r="BF25" s="465"/>
      <c r="BG25" s="465"/>
      <c r="BH25" s="465"/>
      <c r="BI25" s="465"/>
      <c r="BJ25" s="465"/>
      <c r="BK25" s="465"/>
      <c r="BL25" s="465"/>
      <c r="BM25" s="465"/>
      <c r="BN25" s="465"/>
      <c r="BO25" s="463"/>
      <c r="BP25" s="463"/>
      <c r="BQ25" s="463"/>
      <c r="BR25" s="463"/>
      <c r="BS25" s="463"/>
      <c r="BT25" s="463"/>
      <c r="BU25" s="463"/>
      <c r="BV25" s="463"/>
      <c r="BW25" s="463"/>
      <c r="BX25" s="463"/>
      <c r="BY25" s="463"/>
      <c r="BZ25" s="463"/>
      <c r="CA25" s="463"/>
      <c r="CB25" s="463"/>
      <c r="CC25" s="463"/>
      <c r="CD25" s="463"/>
      <c r="CE25" s="463"/>
      <c r="CF25" s="463"/>
      <c r="CG25" s="463"/>
      <c r="CH25" s="463"/>
      <c r="CI25" s="463"/>
      <c r="CJ25" s="463"/>
      <c r="CK25" s="463"/>
      <c r="CL25" s="463"/>
      <c r="CM25" s="463"/>
      <c r="CN25" s="463"/>
      <c r="CO25" s="463"/>
      <c r="CP25" s="463"/>
      <c r="CQ25" s="463"/>
    </row>
    <row r="26" spans="1:95" s="112" customFormat="1" x14ac:dyDescent="0.2">
      <c r="A26" s="505"/>
      <c r="B26" s="434" t="s">
        <v>139</v>
      </c>
      <c r="C26" s="323"/>
      <c r="H26" s="346"/>
      <c r="I26" s="346"/>
      <c r="J26" s="346">
        <f>J27/J25</f>
        <v>5.8899893889569552E-2</v>
      </c>
      <c r="T26" s="346"/>
      <c r="U26" s="346"/>
      <c r="V26" s="346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</row>
    <row r="27" spans="1:95" s="359" customFormat="1" ht="13.5" thickBot="1" x14ac:dyDescent="0.25">
      <c r="A27" s="505"/>
      <c r="B27" s="458" t="s">
        <v>138</v>
      </c>
      <c r="C27" s="122"/>
      <c r="D27" s="122"/>
      <c r="E27" s="122"/>
      <c r="F27" s="122"/>
      <c r="G27" s="122"/>
      <c r="H27" s="247"/>
      <c r="I27" s="324"/>
      <c r="J27" s="247">
        <v>319449.17</v>
      </c>
      <c r="K27" s="122" t="s">
        <v>145</v>
      </c>
      <c r="L27" s="122"/>
      <c r="M27" s="122"/>
      <c r="N27" s="122"/>
      <c r="O27" s="122"/>
      <c r="P27" s="122"/>
      <c r="Q27" s="122"/>
      <c r="R27" s="122"/>
      <c r="S27" s="122"/>
      <c r="T27" s="247"/>
      <c r="U27" s="324"/>
      <c r="V27" s="247"/>
      <c r="W27" s="122"/>
      <c r="X27" s="122"/>
      <c r="Y27" s="122"/>
      <c r="Z27" s="122"/>
      <c r="AA27" s="122"/>
      <c r="AB27" s="122"/>
      <c r="AC27" s="122"/>
      <c r="AD27" s="122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</row>
    <row r="28" spans="1:95" s="31" customFormat="1" ht="12" customHeight="1" x14ac:dyDescent="0.2">
      <c r="A28" s="505"/>
      <c r="B28" s="459" t="s">
        <v>142</v>
      </c>
      <c r="C28" s="323"/>
      <c r="D28" s="112"/>
      <c r="E28" s="112"/>
      <c r="F28" s="112"/>
      <c r="G28" s="112"/>
      <c r="H28" s="112"/>
      <c r="I28" s="112"/>
      <c r="J28" s="360">
        <f>J29/J24</f>
        <v>2.4044406438300771E-2</v>
      </c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360"/>
      <c r="W28" s="112"/>
      <c r="X28" s="112"/>
      <c r="Y28" s="112"/>
      <c r="Z28" s="112"/>
      <c r="AA28" s="112"/>
      <c r="AB28" s="112"/>
      <c r="AC28" s="112"/>
      <c r="AD28" s="112"/>
    </row>
    <row r="29" spans="1:95" s="319" customFormat="1" x14ac:dyDescent="0.2">
      <c r="A29" s="505"/>
      <c r="B29" s="460" t="s">
        <v>125</v>
      </c>
      <c r="C29" s="372"/>
      <c r="D29" s="91"/>
      <c r="E29" s="91"/>
      <c r="F29" s="91"/>
      <c r="G29" s="91"/>
      <c r="H29" s="91"/>
      <c r="I29" s="91"/>
      <c r="J29" s="325">
        <v>1147151.22</v>
      </c>
      <c r="K29" s="91" t="s">
        <v>145</v>
      </c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325"/>
      <c r="W29" s="91"/>
      <c r="X29" s="91"/>
      <c r="Y29" s="91"/>
      <c r="Z29" s="91"/>
      <c r="AA29" s="91"/>
      <c r="AB29" s="91"/>
      <c r="AC29" s="91"/>
      <c r="AD29" s="91"/>
    </row>
    <row r="30" spans="1:95" s="31" customFormat="1" x14ac:dyDescent="0.2">
      <c r="A30" s="505"/>
      <c r="B30" s="441" t="s">
        <v>141</v>
      </c>
      <c r="C30" s="373"/>
      <c r="D30" s="49"/>
      <c r="E30" s="49"/>
      <c r="F30" s="49"/>
      <c r="G30" s="49"/>
      <c r="H30" s="49"/>
      <c r="I30" s="49"/>
      <c r="J30" s="49">
        <f>J31/J24</f>
        <v>1.556272263413652E-2</v>
      </c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</row>
    <row r="31" spans="1:95" s="361" customFormat="1" x14ac:dyDescent="0.2">
      <c r="A31" s="505"/>
      <c r="B31" s="461" t="s">
        <v>126</v>
      </c>
      <c r="C31" s="374"/>
      <c r="D31" s="27"/>
      <c r="E31" s="27"/>
      <c r="F31" s="27"/>
      <c r="G31" s="27"/>
      <c r="H31" s="27"/>
      <c r="I31" s="27"/>
      <c r="J31" s="348">
        <v>742492.7</v>
      </c>
      <c r="K31" s="27" t="s">
        <v>145</v>
      </c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348"/>
      <c r="W31" s="27"/>
      <c r="X31" s="27"/>
      <c r="Y31" s="27"/>
      <c r="Z31" s="27"/>
      <c r="AA31" s="27"/>
      <c r="AB31" s="27"/>
      <c r="AC31" s="27"/>
      <c r="AD31" s="27"/>
      <c r="AE31" s="319"/>
      <c r="AF31" s="319"/>
      <c r="AG31" s="319"/>
      <c r="AH31" s="319"/>
      <c r="AI31" s="319"/>
      <c r="AJ31" s="319"/>
      <c r="AK31" s="319"/>
      <c r="AL31" s="319"/>
      <c r="AM31" s="319"/>
      <c r="AN31" s="319"/>
      <c r="AO31" s="319"/>
      <c r="AP31" s="319"/>
      <c r="AQ31" s="319"/>
      <c r="AR31" s="319"/>
      <c r="AS31" s="319"/>
      <c r="AT31" s="319"/>
      <c r="AU31" s="319"/>
      <c r="AV31" s="319"/>
      <c r="AW31" s="319"/>
      <c r="AX31" s="319"/>
      <c r="AY31" s="319"/>
      <c r="AZ31" s="319"/>
      <c r="BA31" s="319"/>
      <c r="BB31" s="319"/>
      <c r="BC31" s="319"/>
      <c r="BD31" s="319"/>
      <c r="BE31" s="319"/>
      <c r="BF31" s="319"/>
      <c r="BG31" s="319"/>
      <c r="BH31" s="319"/>
      <c r="BI31" s="319"/>
      <c r="BJ31" s="319"/>
      <c r="BK31" s="319"/>
      <c r="BL31" s="319"/>
      <c r="BM31" s="319"/>
      <c r="BN31" s="319"/>
      <c r="BO31" s="319"/>
      <c r="BP31" s="319"/>
      <c r="BQ31" s="319"/>
      <c r="BR31" s="319"/>
      <c r="BS31" s="319"/>
      <c r="BT31" s="319"/>
      <c r="BU31" s="319"/>
      <c r="BV31" s="319"/>
      <c r="BW31" s="319"/>
      <c r="BX31" s="319"/>
      <c r="BY31" s="319"/>
      <c r="BZ31" s="319"/>
      <c r="CA31" s="319"/>
      <c r="CB31" s="319"/>
      <c r="CC31" s="319"/>
      <c r="CD31" s="319"/>
      <c r="CE31" s="319"/>
      <c r="CF31" s="319"/>
      <c r="CG31" s="319"/>
      <c r="CH31" s="319"/>
      <c r="CI31" s="319"/>
      <c r="CJ31" s="319"/>
      <c r="CK31" s="319"/>
      <c r="CL31" s="319"/>
      <c r="CM31" s="319"/>
      <c r="CN31" s="319"/>
      <c r="CO31" s="319"/>
      <c r="CP31" s="319"/>
      <c r="CQ31" s="319"/>
    </row>
    <row r="32" spans="1:95" s="335" customFormat="1" ht="13.5" thickBot="1" x14ac:dyDescent="0.25">
      <c r="A32" s="505"/>
      <c r="B32" s="462" t="s">
        <v>128</v>
      </c>
      <c r="C32" s="376"/>
      <c r="D32" s="371"/>
      <c r="E32" s="371"/>
      <c r="F32" s="371"/>
      <c r="G32" s="371"/>
      <c r="H32" s="371"/>
      <c r="I32" s="371"/>
      <c r="J32" s="126">
        <v>50800.63</v>
      </c>
      <c r="K32" s="371" t="s">
        <v>145</v>
      </c>
      <c r="L32" s="371"/>
      <c r="M32" s="371"/>
      <c r="N32" s="371"/>
      <c r="O32" s="371"/>
      <c r="P32" s="371"/>
      <c r="Q32" s="371"/>
      <c r="R32" s="371"/>
      <c r="S32" s="371"/>
      <c r="T32" s="371"/>
      <c r="U32" s="371"/>
      <c r="V32" s="126"/>
      <c r="W32" s="371"/>
      <c r="X32" s="371"/>
      <c r="Y32" s="371"/>
      <c r="Z32" s="371"/>
      <c r="AA32" s="371"/>
      <c r="AB32" s="371"/>
      <c r="AC32" s="371"/>
      <c r="AD32" s="371"/>
      <c r="AE32" s="319"/>
      <c r="AF32" s="319"/>
      <c r="AG32" s="319"/>
      <c r="AH32" s="319"/>
      <c r="AI32" s="319"/>
      <c r="AJ32" s="319"/>
      <c r="AK32" s="319"/>
      <c r="AL32" s="319"/>
      <c r="AM32" s="319"/>
      <c r="AN32" s="319"/>
      <c r="AO32" s="319"/>
      <c r="AP32" s="319"/>
      <c r="AQ32" s="319"/>
      <c r="AR32" s="319"/>
      <c r="AS32" s="319"/>
      <c r="AT32" s="319"/>
      <c r="AU32" s="319"/>
      <c r="AV32" s="319"/>
      <c r="AW32" s="319"/>
      <c r="AX32" s="319"/>
      <c r="AY32" s="319"/>
      <c r="AZ32" s="319"/>
      <c r="BA32" s="319"/>
      <c r="BB32" s="319"/>
      <c r="BC32" s="319"/>
      <c r="BD32" s="319"/>
      <c r="BE32" s="319"/>
      <c r="BF32" s="319"/>
      <c r="BG32" s="319"/>
      <c r="BH32" s="319"/>
      <c r="BI32" s="319"/>
      <c r="BJ32" s="319"/>
      <c r="BK32" s="319"/>
      <c r="BL32" s="319"/>
      <c r="BM32" s="319"/>
      <c r="BN32" s="319"/>
      <c r="BO32" s="319"/>
      <c r="BP32" s="319"/>
      <c r="BQ32" s="319"/>
      <c r="BR32" s="319"/>
      <c r="BS32" s="319"/>
      <c r="BT32" s="319"/>
      <c r="BU32" s="319"/>
      <c r="BV32" s="319"/>
      <c r="BW32" s="319"/>
      <c r="BX32" s="319"/>
      <c r="BY32" s="319"/>
      <c r="BZ32" s="319"/>
      <c r="CA32" s="319"/>
      <c r="CB32" s="319"/>
      <c r="CC32" s="319"/>
      <c r="CD32" s="319"/>
      <c r="CE32" s="319"/>
      <c r="CF32" s="319"/>
      <c r="CG32" s="319"/>
      <c r="CH32" s="319"/>
      <c r="CI32" s="319"/>
      <c r="CJ32" s="319"/>
      <c r="CK32" s="319"/>
      <c r="CL32" s="319"/>
      <c r="CM32" s="319"/>
      <c r="CN32" s="319"/>
      <c r="CO32" s="319"/>
      <c r="CP32" s="319"/>
      <c r="CQ32" s="319"/>
    </row>
    <row r="33" spans="1:95" s="48" customFormat="1" ht="13.5" thickBot="1" x14ac:dyDescent="0.25">
      <c r="A33" s="505"/>
      <c r="B33" s="438" t="s">
        <v>51</v>
      </c>
      <c r="C33" s="73"/>
      <c r="D33" s="73"/>
      <c r="E33" s="73"/>
      <c r="F33" s="73"/>
      <c r="G33" s="73"/>
      <c r="H33" s="73"/>
      <c r="I33" s="73"/>
      <c r="J33" s="392">
        <v>20365350.84</v>
      </c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392"/>
      <c r="W33" s="73"/>
      <c r="X33" s="73"/>
      <c r="Y33" s="73"/>
      <c r="Z33" s="73"/>
      <c r="AA33" s="73"/>
      <c r="AB33" s="73"/>
      <c r="AC33" s="73"/>
      <c r="AD33" s="73"/>
    </row>
    <row r="34" spans="1:95" s="38" customFormat="1" ht="13.5" thickBot="1" x14ac:dyDescent="0.25">
      <c r="A34" s="505"/>
      <c r="B34" s="439" t="s">
        <v>59</v>
      </c>
      <c r="C34" s="37"/>
      <c r="D34" s="37"/>
      <c r="E34" s="37"/>
      <c r="F34" s="37"/>
      <c r="G34" s="37"/>
      <c r="H34" s="37"/>
      <c r="I34" s="37"/>
      <c r="J34" s="89">
        <f>J33/J24*100</f>
        <v>42.685982834551666</v>
      </c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89"/>
      <c r="W34" s="37"/>
      <c r="X34" s="37"/>
      <c r="Y34" s="37"/>
      <c r="Z34" s="37"/>
      <c r="AA34" s="37"/>
      <c r="AB34" s="37"/>
      <c r="AC34" s="37"/>
      <c r="AD34" s="37"/>
      <c r="AE34" s="390"/>
      <c r="AF34" s="390"/>
      <c r="AG34" s="390"/>
      <c r="AH34" s="390"/>
      <c r="AI34" s="390"/>
      <c r="AJ34" s="390"/>
      <c r="AK34" s="390"/>
      <c r="AL34" s="390"/>
      <c r="AM34" s="390"/>
      <c r="AN34" s="390"/>
      <c r="AO34" s="390"/>
      <c r="AP34" s="390"/>
      <c r="AQ34" s="390"/>
      <c r="AR34" s="390"/>
      <c r="AS34" s="390"/>
      <c r="AT34" s="390"/>
      <c r="AU34" s="390"/>
      <c r="AV34" s="390"/>
      <c r="AW34" s="390"/>
      <c r="AX34" s="390"/>
      <c r="AY34" s="390"/>
      <c r="AZ34" s="390"/>
      <c r="BA34" s="390"/>
      <c r="BB34" s="390"/>
      <c r="BC34" s="390"/>
      <c r="BD34" s="390"/>
      <c r="BE34" s="390"/>
      <c r="BF34" s="390"/>
      <c r="BG34" s="390"/>
      <c r="BH34" s="390"/>
      <c r="BI34" s="390"/>
      <c r="BJ34" s="390"/>
      <c r="BK34" s="390"/>
      <c r="BL34" s="390"/>
      <c r="BM34" s="390"/>
      <c r="BN34" s="390"/>
      <c r="BO34" s="390"/>
      <c r="BP34" s="390"/>
      <c r="BQ34" s="390"/>
      <c r="BR34" s="390"/>
      <c r="BS34" s="390"/>
      <c r="BT34" s="390"/>
      <c r="BU34" s="390"/>
      <c r="BV34" s="390"/>
      <c r="BW34" s="390"/>
      <c r="BX34" s="390"/>
      <c r="BY34" s="390"/>
      <c r="BZ34" s="390"/>
      <c r="CA34" s="390"/>
      <c r="CB34" s="390"/>
      <c r="CC34" s="390"/>
      <c r="CD34" s="390"/>
      <c r="CE34" s="390"/>
      <c r="CF34" s="390"/>
      <c r="CG34" s="390"/>
      <c r="CH34" s="390"/>
      <c r="CI34" s="390"/>
      <c r="CJ34" s="390"/>
      <c r="CK34" s="390"/>
      <c r="CL34" s="390"/>
      <c r="CM34" s="390"/>
      <c r="CN34" s="390"/>
      <c r="CO34" s="390"/>
      <c r="CP34" s="390"/>
      <c r="CQ34" s="390"/>
    </row>
    <row r="35" spans="1:95" s="163" customFormat="1" ht="13.5" thickBot="1" x14ac:dyDescent="0.25">
      <c r="A35" s="505"/>
      <c r="B35" s="366" t="s">
        <v>146</v>
      </c>
      <c r="C35" s="45"/>
      <c r="D35" s="45"/>
      <c r="E35" s="45"/>
      <c r="F35" s="45"/>
      <c r="G35" s="164"/>
      <c r="H35" s="164"/>
      <c r="I35" s="164"/>
      <c r="J35" s="164">
        <f>SUM(J2:J5,J12,J17,J20,J23,J27,J29,J31,J32)-J33</f>
        <v>-0.59000000357627869</v>
      </c>
      <c r="K35" s="45"/>
      <c r="L35" s="45"/>
      <c r="M35" s="45"/>
      <c r="N35" s="45"/>
      <c r="O35" s="45"/>
      <c r="P35" s="45"/>
      <c r="Q35" s="45"/>
      <c r="R35" s="45"/>
      <c r="S35" s="45"/>
      <c r="T35" s="164"/>
      <c r="U35" s="164"/>
      <c r="V35" s="164"/>
      <c r="W35" s="45"/>
      <c r="X35" s="45"/>
      <c r="Y35" s="45"/>
      <c r="Z35" s="45"/>
      <c r="AA35" s="45"/>
      <c r="AB35" s="45"/>
      <c r="AC35" s="45"/>
      <c r="AD35" s="45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0"/>
      <c r="BK35" s="100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  <c r="BX35" s="100"/>
      <c r="BY35" s="100"/>
      <c r="BZ35" s="100"/>
      <c r="CA35" s="100"/>
      <c r="CB35" s="100"/>
      <c r="CC35" s="100"/>
      <c r="CD35" s="100"/>
      <c r="CE35" s="100"/>
      <c r="CF35" s="100"/>
      <c r="CG35" s="100"/>
      <c r="CH35" s="100"/>
      <c r="CI35" s="100"/>
      <c r="CJ35" s="100"/>
      <c r="CK35" s="100"/>
      <c r="CL35" s="100"/>
      <c r="CM35" s="100"/>
      <c r="CN35" s="100"/>
      <c r="CO35" s="100"/>
      <c r="CP35" s="100"/>
      <c r="CQ35" s="100"/>
    </row>
    <row r="36" spans="1:95" s="166" customFormat="1" ht="14.25" thickTop="1" thickBot="1" x14ac:dyDescent="0.25">
      <c r="A36" s="506"/>
      <c r="B36" s="367" t="s">
        <v>72</v>
      </c>
      <c r="C36" s="167"/>
      <c r="D36" s="167"/>
      <c r="E36" s="167"/>
      <c r="F36" s="167"/>
      <c r="G36" s="167"/>
      <c r="H36" s="167"/>
      <c r="I36" s="167"/>
      <c r="J36" s="395">
        <f>J35/J33</f>
        <v>-2.8970775323813605E-8</v>
      </c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395"/>
      <c r="W36" s="167"/>
      <c r="X36" s="167"/>
      <c r="Y36" s="167"/>
      <c r="Z36" s="167"/>
      <c r="AA36" s="167"/>
      <c r="AB36" s="167"/>
      <c r="AC36" s="167"/>
      <c r="AD36" s="167"/>
      <c r="AE36" s="391"/>
      <c r="AF36" s="391"/>
      <c r="AG36" s="391"/>
      <c r="AH36" s="391"/>
      <c r="AI36" s="391"/>
      <c r="AJ36" s="391"/>
      <c r="AK36" s="391"/>
      <c r="AL36" s="391"/>
      <c r="AM36" s="391"/>
      <c r="AN36" s="391"/>
      <c r="AO36" s="391"/>
      <c r="AP36" s="391"/>
      <c r="AQ36" s="391"/>
      <c r="AR36" s="391"/>
      <c r="AS36" s="391"/>
      <c r="AT36" s="391"/>
      <c r="AU36" s="391"/>
      <c r="AV36" s="391"/>
      <c r="AW36" s="391"/>
      <c r="AX36" s="391"/>
      <c r="AY36" s="391"/>
      <c r="AZ36" s="391"/>
      <c r="BA36" s="391"/>
      <c r="BB36" s="391"/>
      <c r="BC36" s="391"/>
      <c r="BD36" s="391"/>
      <c r="BE36" s="391"/>
      <c r="BF36" s="391"/>
      <c r="BG36" s="391"/>
      <c r="BH36" s="391"/>
      <c r="BI36" s="391"/>
      <c r="BJ36" s="391"/>
      <c r="BK36" s="391"/>
      <c r="BL36" s="391"/>
      <c r="BM36" s="391"/>
      <c r="BN36" s="391"/>
      <c r="BO36" s="391"/>
      <c r="BP36" s="391"/>
      <c r="BQ36" s="391"/>
      <c r="BR36" s="391"/>
      <c r="BS36" s="391"/>
      <c r="BT36" s="391"/>
      <c r="BU36" s="391"/>
      <c r="BV36" s="391"/>
      <c r="BW36" s="391"/>
      <c r="BX36" s="391"/>
      <c r="BY36" s="391"/>
      <c r="BZ36" s="391"/>
      <c r="CA36" s="391"/>
      <c r="CB36" s="391"/>
      <c r="CC36" s="391"/>
      <c r="CD36" s="391"/>
      <c r="CE36" s="391"/>
      <c r="CF36" s="391"/>
      <c r="CG36" s="391"/>
      <c r="CH36" s="391"/>
      <c r="CI36" s="391"/>
      <c r="CJ36" s="391"/>
      <c r="CK36" s="391"/>
      <c r="CL36" s="391"/>
      <c r="CM36" s="391"/>
      <c r="CN36" s="391"/>
      <c r="CO36" s="391"/>
      <c r="CP36" s="391"/>
      <c r="CQ36" s="391"/>
    </row>
    <row r="37" spans="1:95" s="362" customFormat="1" x14ac:dyDescent="0.2">
      <c r="B37" s="394"/>
      <c r="C37" s="318"/>
      <c r="D37" s="318"/>
      <c r="E37" s="318"/>
      <c r="F37" s="318"/>
      <c r="G37" s="318"/>
      <c r="H37" s="318"/>
      <c r="I37" s="318"/>
      <c r="J37" s="466"/>
      <c r="K37" s="318"/>
      <c r="L37" s="318"/>
      <c r="M37" s="318"/>
      <c r="N37" s="318"/>
      <c r="O37" s="318"/>
      <c r="P37" s="318"/>
      <c r="Q37" s="318"/>
      <c r="R37" s="318"/>
      <c r="S37" s="318"/>
      <c r="T37" s="318"/>
      <c r="U37" s="318"/>
      <c r="V37" s="466"/>
      <c r="W37" s="318"/>
      <c r="X37" s="318"/>
      <c r="Y37" s="318"/>
      <c r="Z37" s="318"/>
      <c r="AA37" s="318"/>
      <c r="AB37" s="318"/>
      <c r="AC37" s="318"/>
      <c r="AD37" s="318"/>
    </row>
    <row r="38" spans="1:95" s="396" customFormat="1" ht="13.5" thickBot="1" x14ac:dyDescent="0.25">
      <c r="B38" s="397" t="s">
        <v>156</v>
      </c>
      <c r="C38" s="398"/>
      <c r="D38" s="398"/>
      <c r="E38" s="398"/>
      <c r="F38" s="398"/>
      <c r="G38" s="398"/>
      <c r="H38" s="398"/>
      <c r="I38" s="398"/>
      <c r="J38" s="467"/>
      <c r="K38" s="398"/>
      <c r="L38" s="398"/>
      <c r="M38" s="398"/>
      <c r="N38" s="398"/>
      <c r="O38" s="398"/>
      <c r="P38" s="398"/>
      <c r="Q38" s="398"/>
      <c r="R38" s="398"/>
      <c r="S38" s="398"/>
      <c r="T38" s="398"/>
      <c r="U38" s="398"/>
      <c r="V38" s="467"/>
      <c r="W38" s="398"/>
      <c r="X38" s="398"/>
      <c r="Y38" s="398"/>
      <c r="Z38" s="398"/>
      <c r="AA38" s="398"/>
      <c r="AB38" s="398"/>
      <c r="AC38" s="398"/>
      <c r="AD38" s="398"/>
      <c r="AE38" s="362"/>
      <c r="AF38" s="362"/>
      <c r="AG38" s="362"/>
      <c r="AH38" s="362"/>
      <c r="AI38" s="362"/>
      <c r="AJ38" s="362"/>
      <c r="AK38" s="362"/>
      <c r="AL38" s="362"/>
      <c r="AM38" s="362"/>
      <c r="AN38" s="362"/>
      <c r="AO38" s="362"/>
      <c r="AP38" s="362"/>
      <c r="AQ38" s="362"/>
      <c r="AR38" s="362"/>
      <c r="AS38" s="362"/>
      <c r="AT38" s="362"/>
      <c r="AU38" s="362"/>
      <c r="AV38" s="362"/>
      <c r="AW38" s="362"/>
      <c r="AX38" s="362"/>
      <c r="AY38" s="362"/>
      <c r="AZ38" s="362"/>
      <c r="BA38" s="362"/>
      <c r="BB38" s="362"/>
      <c r="BC38" s="362"/>
      <c r="BD38" s="362"/>
      <c r="BE38" s="362"/>
      <c r="BF38" s="362"/>
      <c r="BG38" s="362"/>
      <c r="BH38" s="362"/>
      <c r="BI38" s="362"/>
      <c r="BJ38" s="362"/>
      <c r="BK38" s="362"/>
      <c r="BL38" s="362"/>
      <c r="BM38" s="362"/>
      <c r="BN38" s="362"/>
      <c r="BO38" s="362"/>
      <c r="BP38" s="362"/>
      <c r="BQ38" s="362"/>
      <c r="BR38" s="362"/>
      <c r="BS38" s="362"/>
      <c r="BT38" s="362"/>
      <c r="BU38" s="362"/>
      <c r="BV38" s="362"/>
      <c r="BW38" s="362"/>
      <c r="BX38" s="362"/>
      <c r="BY38" s="362"/>
      <c r="BZ38" s="362"/>
      <c r="CA38" s="362"/>
      <c r="CB38" s="362"/>
      <c r="CC38" s="362"/>
      <c r="CD38" s="362"/>
      <c r="CE38" s="362"/>
      <c r="CF38" s="362"/>
      <c r="CG38" s="362"/>
      <c r="CH38" s="362"/>
      <c r="CI38" s="362"/>
      <c r="CJ38" s="362"/>
      <c r="CK38" s="362"/>
      <c r="CL38" s="362"/>
      <c r="CM38" s="362"/>
      <c r="CN38" s="362"/>
      <c r="CO38" s="362"/>
      <c r="CP38" s="362"/>
      <c r="CQ38" s="362"/>
    </row>
    <row r="39" spans="1:95" s="67" customFormat="1" ht="13.5" customHeight="1" x14ac:dyDescent="0.2">
      <c r="A39" s="507" t="s">
        <v>154</v>
      </c>
      <c r="B39" s="440" t="s">
        <v>56</v>
      </c>
      <c r="C39" s="67">
        <v>4500</v>
      </c>
      <c r="D39" s="67">
        <v>4500</v>
      </c>
      <c r="E39" s="67">
        <v>4500</v>
      </c>
      <c r="F39" s="67">
        <v>4500</v>
      </c>
      <c r="J39" s="67">
        <v>4500</v>
      </c>
      <c r="K39" s="67" t="s">
        <v>145</v>
      </c>
      <c r="AE39" s="124"/>
      <c r="AF39" s="124"/>
      <c r="AG39" s="124"/>
      <c r="AH39" s="124"/>
      <c r="AI39" s="124"/>
      <c r="AJ39" s="124"/>
      <c r="AK39" s="124"/>
      <c r="AL39" s="124"/>
      <c r="AM39" s="124"/>
      <c r="AN39" s="124"/>
      <c r="AO39" s="124"/>
      <c r="AP39" s="124"/>
      <c r="AQ39" s="124"/>
      <c r="AR39" s="124"/>
      <c r="AS39" s="124"/>
      <c r="AT39" s="124"/>
      <c r="AU39" s="124"/>
      <c r="AV39" s="124"/>
      <c r="AW39" s="124"/>
      <c r="AX39" s="124"/>
      <c r="AY39" s="124"/>
      <c r="AZ39" s="124"/>
      <c r="BA39" s="124"/>
      <c r="BB39" s="124"/>
      <c r="BC39" s="124"/>
      <c r="BD39" s="124"/>
      <c r="BE39" s="124"/>
      <c r="BF39" s="124"/>
      <c r="BG39" s="124"/>
      <c r="BH39" s="124"/>
      <c r="BI39" s="124"/>
      <c r="BJ39" s="124"/>
      <c r="BK39" s="124"/>
      <c r="BL39" s="124"/>
      <c r="BM39" s="124"/>
      <c r="BN39" s="124"/>
      <c r="BO39" s="124"/>
      <c r="BP39" s="124"/>
      <c r="BQ39" s="124"/>
      <c r="BR39" s="124"/>
      <c r="BS39" s="124"/>
      <c r="BT39" s="124"/>
      <c r="BU39" s="124"/>
      <c r="BV39" s="124"/>
      <c r="BW39" s="124"/>
      <c r="BX39" s="124"/>
      <c r="BY39" s="124"/>
      <c r="BZ39" s="124"/>
      <c r="CA39" s="124"/>
      <c r="CB39" s="124"/>
      <c r="CC39" s="124"/>
      <c r="CD39" s="124"/>
      <c r="CE39" s="124"/>
      <c r="CF39" s="124"/>
      <c r="CG39" s="124"/>
      <c r="CH39" s="124"/>
      <c r="CI39" s="124"/>
      <c r="CJ39" s="124"/>
      <c r="CK39" s="124"/>
      <c r="CL39" s="124"/>
      <c r="CM39" s="124"/>
      <c r="CN39" s="124"/>
      <c r="CO39" s="124"/>
      <c r="CP39" s="124"/>
      <c r="CQ39" s="124"/>
    </row>
    <row r="40" spans="1:95" s="75" customFormat="1" x14ac:dyDescent="0.2">
      <c r="A40" s="508"/>
      <c r="B40" s="408" t="s">
        <v>55</v>
      </c>
      <c r="C40" s="125">
        <v>4500</v>
      </c>
      <c r="D40" s="125">
        <v>4500</v>
      </c>
      <c r="E40" s="125">
        <v>4500</v>
      </c>
      <c r="F40" s="125">
        <v>4500</v>
      </c>
      <c r="G40" s="125"/>
      <c r="H40" s="125"/>
      <c r="I40" s="125"/>
      <c r="J40" s="125">
        <v>4500</v>
      </c>
      <c r="K40" s="125" t="s">
        <v>145</v>
      </c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4"/>
      <c r="AF40" s="124"/>
      <c r="AG40" s="124"/>
      <c r="AH40" s="124"/>
      <c r="AI40" s="124"/>
      <c r="AJ40" s="124"/>
      <c r="AK40" s="124"/>
      <c r="AL40" s="124"/>
      <c r="AM40" s="124"/>
      <c r="AN40" s="124"/>
      <c r="AO40" s="124"/>
      <c r="AP40" s="124"/>
      <c r="AQ40" s="124"/>
      <c r="AR40" s="124"/>
      <c r="AS40" s="124"/>
      <c r="AT40" s="124"/>
      <c r="AU40" s="124"/>
      <c r="AV40" s="124"/>
      <c r="AW40" s="124"/>
      <c r="AX40" s="124"/>
      <c r="AY40" s="124"/>
      <c r="AZ40" s="124"/>
      <c r="BA40" s="124"/>
      <c r="BB40" s="124"/>
      <c r="BC40" s="124"/>
      <c r="BD40" s="124"/>
      <c r="BE40" s="124"/>
      <c r="BF40" s="124"/>
      <c r="BG40" s="124"/>
      <c r="BH40" s="124"/>
      <c r="BI40" s="124"/>
      <c r="BJ40" s="124"/>
      <c r="BK40" s="124"/>
      <c r="BL40" s="124"/>
      <c r="BM40" s="124"/>
      <c r="BN40" s="124"/>
      <c r="BO40" s="124"/>
      <c r="BP40" s="124"/>
      <c r="BQ40" s="124"/>
      <c r="BR40" s="124"/>
      <c r="BS40" s="124"/>
      <c r="BT40" s="124"/>
      <c r="BU40" s="124"/>
      <c r="BV40" s="124"/>
      <c r="BW40" s="124"/>
      <c r="BX40" s="124"/>
      <c r="BY40" s="124"/>
      <c r="BZ40" s="124"/>
      <c r="CA40" s="124"/>
      <c r="CB40" s="124"/>
      <c r="CC40" s="124"/>
      <c r="CD40" s="124"/>
      <c r="CE40" s="124"/>
      <c r="CF40" s="124"/>
      <c r="CG40" s="124"/>
      <c r="CH40" s="124"/>
      <c r="CI40" s="124"/>
      <c r="CJ40" s="124"/>
      <c r="CK40" s="124"/>
      <c r="CL40" s="124"/>
      <c r="CM40" s="124"/>
      <c r="CN40" s="124"/>
      <c r="CO40" s="124"/>
      <c r="CP40" s="124"/>
      <c r="CQ40" s="124"/>
    </row>
    <row r="41" spans="1:95" s="76" customFormat="1" ht="12.75" customHeight="1" x14ac:dyDescent="0.2">
      <c r="A41" s="508"/>
      <c r="B41" s="409" t="s">
        <v>14</v>
      </c>
      <c r="C41" s="79">
        <v>606303</v>
      </c>
      <c r="D41" s="79"/>
      <c r="E41" s="79">
        <v>634206.24</v>
      </c>
      <c r="F41" s="79">
        <v>684285.12</v>
      </c>
      <c r="G41" s="79"/>
      <c r="H41" s="79"/>
      <c r="I41" s="79"/>
      <c r="J41" s="79">
        <v>694042.2</v>
      </c>
      <c r="K41" s="79" t="s">
        <v>145</v>
      </c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3"/>
      <c r="AR41" s="123"/>
      <c r="AS41" s="123"/>
      <c r="AT41" s="123"/>
      <c r="AU41" s="123"/>
      <c r="AV41" s="123"/>
      <c r="AW41" s="123"/>
      <c r="AX41" s="123"/>
      <c r="AY41" s="123"/>
      <c r="AZ41" s="123"/>
      <c r="BA41" s="123"/>
      <c r="BB41" s="123"/>
      <c r="BC41" s="123"/>
      <c r="BD41" s="123"/>
      <c r="BE41" s="123"/>
      <c r="BF41" s="123"/>
      <c r="BG41" s="123"/>
      <c r="BH41" s="123"/>
      <c r="BI41" s="123"/>
      <c r="BJ41" s="123"/>
      <c r="BK41" s="123"/>
      <c r="BL41" s="123"/>
      <c r="BM41" s="123"/>
      <c r="BN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  <c r="CA41" s="123"/>
      <c r="CB41" s="123"/>
      <c r="CC41" s="123"/>
      <c r="CD41" s="123"/>
      <c r="CE41" s="123"/>
      <c r="CF41" s="123"/>
      <c r="CG41" s="123"/>
      <c r="CH41" s="123"/>
      <c r="CI41" s="123"/>
      <c r="CJ41" s="123"/>
      <c r="CK41" s="123"/>
      <c r="CL41" s="123"/>
      <c r="CM41" s="123"/>
      <c r="CN41" s="123"/>
      <c r="CO41" s="123"/>
      <c r="CP41" s="123"/>
      <c r="CQ41" s="123"/>
    </row>
    <row r="42" spans="1:95" s="123" customFormat="1" x14ac:dyDescent="0.2">
      <c r="A42" s="508"/>
      <c r="B42" s="410" t="s">
        <v>15</v>
      </c>
      <c r="C42" s="237">
        <v>408277.44</v>
      </c>
      <c r="D42" s="237"/>
      <c r="E42" s="237">
        <v>500858.28</v>
      </c>
      <c r="F42" s="237">
        <v>438594.84</v>
      </c>
      <c r="G42" s="237"/>
      <c r="H42" s="237"/>
      <c r="I42" s="237"/>
      <c r="J42" s="399">
        <v>515092.32</v>
      </c>
      <c r="K42" s="237" t="s">
        <v>145</v>
      </c>
      <c r="L42" s="237"/>
      <c r="M42" s="237"/>
      <c r="N42" s="237"/>
      <c r="O42" s="237"/>
      <c r="P42" s="237"/>
      <c r="Q42" s="237"/>
      <c r="R42" s="237"/>
      <c r="S42" s="237"/>
      <c r="T42" s="237"/>
      <c r="U42" s="237"/>
      <c r="V42" s="399"/>
      <c r="W42" s="237"/>
      <c r="X42" s="237"/>
      <c r="Y42" s="237"/>
      <c r="Z42" s="237"/>
      <c r="AA42" s="237"/>
      <c r="AB42" s="237"/>
      <c r="AC42" s="237"/>
      <c r="AD42" s="237"/>
    </row>
    <row r="43" spans="1:95" s="240" customFormat="1" ht="12.75" customHeight="1" x14ac:dyDescent="0.2">
      <c r="A43" s="508"/>
      <c r="B43" s="411" t="s">
        <v>16</v>
      </c>
      <c r="C43" s="236">
        <v>162726.12</v>
      </c>
      <c r="D43" s="236"/>
      <c r="E43" s="236">
        <v>202717.08</v>
      </c>
      <c r="F43" s="236">
        <v>172180.08</v>
      </c>
      <c r="G43" s="236"/>
      <c r="H43" s="236"/>
      <c r="I43" s="236"/>
      <c r="J43" s="236">
        <v>205524.36</v>
      </c>
      <c r="K43" s="236" t="s">
        <v>145</v>
      </c>
      <c r="L43" s="236"/>
      <c r="M43" s="236"/>
      <c r="N43" s="236"/>
      <c r="O43" s="236"/>
      <c r="P43" s="236"/>
      <c r="Q43" s="236"/>
      <c r="R43" s="236"/>
      <c r="S43" s="236"/>
      <c r="T43" s="236"/>
      <c r="U43" s="236"/>
      <c r="V43" s="236"/>
      <c r="W43" s="236"/>
      <c r="X43" s="236"/>
      <c r="Y43" s="236"/>
      <c r="Z43" s="236"/>
      <c r="AA43" s="236"/>
      <c r="AB43" s="236"/>
      <c r="AC43" s="236"/>
      <c r="AD43" s="236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3"/>
      <c r="BA43" s="123"/>
      <c r="BB43" s="123"/>
      <c r="BC43" s="123"/>
      <c r="BD43" s="123"/>
      <c r="BE43" s="123"/>
      <c r="BF43" s="123"/>
      <c r="BG43" s="123"/>
      <c r="BH43" s="123"/>
      <c r="BI43" s="123"/>
      <c r="BJ43" s="123"/>
      <c r="BK43" s="123"/>
      <c r="BL43" s="123"/>
      <c r="BM43" s="123"/>
      <c r="BN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  <c r="CA43" s="123"/>
      <c r="CB43" s="123"/>
      <c r="CC43" s="123"/>
      <c r="CD43" s="123"/>
      <c r="CE43" s="123"/>
      <c r="CF43" s="123"/>
      <c r="CG43" s="123"/>
      <c r="CH43" s="123"/>
      <c r="CI43" s="123"/>
      <c r="CJ43" s="123"/>
      <c r="CK43" s="123"/>
      <c r="CL43" s="123"/>
      <c r="CM43" s="123"/>
      <c r="CN43" s="123"/>
      <c r="CO43" s="123"/>
      <c r="CP43" s="123"/>
      <c r="CQ43" s="123"/>
    </row>
    <row r="44" spans="1:95" s="111" customFormat="1" x14ac:dyDescent="0.2">
      <c r="A44" s="508"/>
      <c r="B44" s="412" t="s">
        <v>17</v>
      </c>
      <c r="C44" s="110">
        <v>1177306.56</v>
      </c>
      <c r="D44" s="110"/>
      <c r="E44" s="110">
        <v>1337781.6000000001</v>
      </c>
      <c r="F44" s="110">
        <v>1295060.04</v>
      </c>
      <c r="G44" s="110"/>
      <c r="H44" s="110"/>
      <c r="I44" s="110"/>
      <c r="J44" s="110">
        <v>1414658.88</v>
      </c>
      <c r="K44" s="110" t="s">
        <v>145</v>
      </c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</row>
    <row r="45" spans="1:95" s="82" customFormat="1" x14ac:dyDescent="0.2">
      <c r="A45" s="508"/>
      <c r="B45" s="413" t="s">
        <v>12</v>
      </c>
      <c r="C45" s="81">
        <v>2281.11</v>
      </c>
      <c r="D45" s="81"/>
      <c r="E45" s="81">
        <v>2326.23</v>
      </c>
      <c r="F45" s="81">
        <v>2326.52</v>
      </c>
      <c r="G45" s="81"/>
      <c r="H45" s="81"/>
      <c r="I45" s="81"/>
      <c r="J45" s="81">
        <v>1998.72</v>
      </c>
      <c r="K45" s="81" t="s">
        <v>145</v>
      </c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242"/>
      <c r="AF45" s="242"/>
      <c r="AG45" s="242"/>
      <c r="AH45" s="242"/>
      <c r="AI45" s="242"/>
      <c r="AJ45" s="242"/>
      <c r="AK45" s="242"/>
      <c r="AL45" s="242"/>
      <c r="AM45" s="242"/>
      <c r="AN45" s="242"/>
      <c r="AO45" s="242"/>
      <c r="AP45" s="242"/>
      <c r="AQ45" s="242"/>
      <c r="AR45" s="242"/>
      <c r="AS45" s="242"/>
      <c r="AT45" s="242"/>
      <c r="AU45" s="242"/>
      <c r="AV45" s="242"/>
      <c r="AW45" s="242"/>
      <c r="AX45" s="242"/>
      <c r="AY45" s="242"/>
      <c r="AZ45" s="242"/>
      <c r="BA45" s="242"/>
      <c r="BB45" s="242"/>
      <c r="BC45" s="242"/>
      <c r="BD45" s="242"/>
      <c r="BE45" s="242"/>
      <c r="BF45" s="242"/>
      <c r="BG45" s="242"/>
      <c r="BH45" s="242"/>
      <c r="BI45" s="242"/>
      <c r="BJ45" s="242"/>
      <c r="BK45" s="242"/>
      <c r="BL45" s="242"/>
      <c r="BM45" s="242"/>
      <c r="BN45" s="242"/>
      <c r="BO45" s="242"/>
      <c r="BP45" s="242"/>
      <c r="BQ45" s="242"/>
      <c r="BR45" s="242"/>
      <c r="BS45" s="242"/>
      <c r="BT45" s="242"/>
      <c r="BU45" s="242"/>
      <c r="BV45" s="242"/>
      <c r="BW45" s="242"/>
      <c r="BX45" s="242"/>
      <c r="BY45" s="242"/>
      <c r="BZ45" s="242"/>
      <c r="CA45" s="242"/>
      <c r="CB45" s="242"/>
      <c r="CC45" s="242"/>
      <c r="CD45" s="242"/>
      <c r="CE45" s="242"/>
      <c r="CF45" s="242"/>
      <c r="CG45" s="242"/>
      <c r="CH45" s="242"/>
      <c r="CI45" s="242"/>
      <c r="CJ45" s="242"/>
      <c r="CK45" s="242"/>
      <c r="CL45" s="242"/>
      <c r="CM45" s="242"/>
      <c r="CN45" s="242"/>
      <c r="CO45" s="242"/>
      <c r="CP45" s="242"/>
      <c r="CQ45" s="242"/>
    </row>
    <row r="46" spans="1:95" s="242" customFormat="1" x14ac:dyDescent="0.2">
      <c r="A46" s="508"/>
      <c r="B46" s="414" t="s">
        <v>6</v>
      </c>
      <c r="C46" s="93">
        <v>2336.35</v>
      </c>
      <c r="D46" s="93"/>
      <c r="E46" s="93">
        <v>2379.92</v>
      </c>
      <c r="F46" s="93">
        <v>2359.12</v>
      </c>
      <c r="G46" s="93"/>
      <c r="H46" s="93"/>
      <c r="I46" s="93"/>
      <c r="J46" s="93">
        <v>2106</v>
      </c>
      <c r="K46" s="93" t="s">
        <v>145</v>
      </c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</row>
    <row r="47" spans="1:95" s="242" customFormat="1" x14ac:dyDescent="0.2">
      <c r="A47" s="508"/>
      <c r="B47" s="415" t="s">
        <v>13</v>
      </c>
      <c r="C47" s="93">
        <v>2331.84</v>
      </c>
      <c r="D47" s="93"/>
      <c r="E47" s="93">
        <v>2366.3200000000002</v>
      </c>
      <c r="F47" s="93">
        <v>2363.6799999999998</v>
      </c>
      <c r="G47" s="93"/>
      <c r="H47" s="93"/>
      <c r="I47" s="93"/>
      <c r="J47" s="93">
        <v>2121.84</v>
      </c>
      <c r="K47" s="93" t="s">
        <v>145</v>
      </c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</row>
    <row r="48" spans="1:95" s="100" customFormat="1" ht="13.5" thickBot="1" x14ac:dyDescent="0.25">
      <c r="A48" s="508"/>
      <c r="B48" s="416" t="s">
        <v>18</v>
      </c>
      <c r="C48" s="101">
        <v>2336.35</v>
      </c>
      <c r="D48" s="101"/>
      <c r="E48" s="101">
        <v>2379.92</v>
      </c>
      <c r="F48" s="101">
        <v>2363.6799999999998</v>
      </c>
      <c r="G48" s="101"/>
      <c r="H48" s="101"/>
      <c r="I48" s="101"/>
      <c r="J48" s="101">
        <v>2121.84</v>
      </c>
      <c r="K48" s="101" t="s">
        <v>145</v>
      </c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</row>
    <row r="49" spans="1:95" s="28" customFormat="1" x14ac:dyDescent="0.2">
      <c r="A49" s="508"/>
      <c r="B49" s="417" t="s">
        <v>19</v>
      </c>
      <c r="C49" s="94">
        <v>518400</v>
      </c>
      <c r="D49" s="94"/>
      <c r="E49" s="94">
        <v>471230.64</v>
      </c>
      <c r="F49" s="94">
        <v>508679.28</v>
      </c>
      <c r="G49" s="94"/>
      <c r="H49" s="94"/>
      <c r="I49" s="94"/>
      <c r="J49" s="94">
        <v>372.96</v>
      </c>
      <c r="K49" s="94" t="s">
        <v>145</v>
      </c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</row>
    <row r="50" spans="1:95" s="29" customFormat="1" x14ac:dyDescent="0.2">
      <c r="A50" s="508"/>
      <c r="B50" s="418" t="s">
        <v>20</v>
      </c>
      <c r="C50" s="90">
        <v>346643.64</v>
      </c>
      <c r="D50" s="90"/>
      <c r="E50" s="90">
        <v>360118.36</v>
      </c>
      <c r="F50" s="90">
        <v>323278.56</v>
      </c>
      <c r="G50" s="90"/>
      <c r="H50" s="90"/>
      <c r="I50" s="90"/>
      <c r="J50" s="90">
        <v>127.44</v>
      </c>
      <c r="K50" s="90" t="s">
        <v>145</v>
      </c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</row>
    <row r="51" spans="1:95" s="29" customFormat="1" x14ac:dyDescent="0.2">
      <c r="A51" s="508"/>
      <c r="B51" s="419" t="s">
        <v>21</v>
      </c>
      <c r="C51" s="85">
        <v>137977.56</v>
      </c>
      <c r="D51" s="85"/>
      <c r="E51" s="85">
        <v>148504.32000000001</v>
      </c>
      <c r="F51" s="85">
        <v>126531</v>
      </c>
      <c r="G51" s="85"/>
      <c r="H51" s="85"/>
      <c r="I51" s="85"/>
      <c r="J51" s="85">
        <v>148.68</v>
      </c>
      <c r="K51" s="85" t="s">
        <v>145</v>
      </c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</row>
    <row r="52" spans="1:95" s="186" customFormat="1" ht="13.5" thickBot="1" x14ac:dyDescent="0.25">
      <c r="A52" s="508"/>
      <c r="B52" s="420" t="s">
        <v>28</v>
      </c>
      <c r="C52" s="184"/>
      <c r="D52" s="184"/>
      <c r="E52" s="184"/>
      <c r="F52" s="184"/>
      <c r="G52" s="184"/>
      <c r="H52" s="184"/>
      <c r="I52" s="184"/>
      <c r="J52" s="184">
        <v>0</v>
      </c>
      <c r="K52" s="184" t="s">
        <v>145</v>
      </c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  <c r="AA52" s="184"/>
      <c r="AB52" s="184"/>
      <c r="AC52" s="184"/>
      <c r="AD52" s="184"/>
      <c r="AE52" s="322"/>
      <c r="AF52" s="322"/>
      <c r="AG52" s="322"/>
      <c r="AH52" s="322"/>
      <c r="AI52" s="322"/>
      <c r="AJ52" s="322"/>
      <c r="AK52" s="322"/>
      <c r="AL52" s="322"/>
      <c r="AM52" s="322"/>
      <c r="AN52" s="322"/>
      <c r="AO52" s="322"/>
      <c r="AP52" s="322"/>
      <c r="AQ52" s="322"/>
      <c r="AR52" s="322"/>
      <c r="AS52" s="322"/>
      <c r="AT52" s="322"/>
      <c r="AU52" s="322"/>
      <c r="AV52" s="322"/>
      <c r="AW52" s="322"/>
      <c r="AX52" s="322"/>
      <c r="AY52" s="322"/>
      <c r="AZ52" s="322"/>
      <c r="BA52" s="322"/>
      <c r="BB52" s="322"/>
      <c r="BC52" s="322"/>
      <c r="BD52" s="322"/>
      <c r="BE52" s="322"/>
      <c r="BF52" s="322"/>
      <c r="BG52" s="322"/>
      <c r="BH52" s="322"/>
      <c r="BI52" s="322"/>
      <c r="BJ52" s="322"/>
      <c r="BK52" s="322"/>
      <c r="BL52" s="322"/>
      <c r="BM52" s="322"/>
      <c r="BN52" s="322"/>
      <c r="BO52" s="463"/>
      <c r="BP52" s="463"/>
      <c r="BQ52" s="463"/>
      <c r="BR52" s="463"/>
      <c r="BS52" s="463"/>
      <c r="BT52" s="463"/>
      <c r="BU52" s="463"/>
      <c r="BV52" s="463"/>
      <c r="BW52" s="463"/>
      <c r="BX52" s="463"/>
      <c r="BY52" s="463"/>
      <c r="BZ52" s="463"/>
      <c r="CA52" s="463"/>
      <c r="CB52" s="463"/>
      <c r="CC52" s="463"/>
      <c r="CD52" s="463"/>
      <c r="CE52" s="463"/>
      <c r="CF52" s="463"/>
      <c r="CG52" s="463"/>
      <c r="CH52" s="463"/>
      <c r="CI52" s="463"/>
      <c r="CJ52" s="463"/>
      <c r="CK52" s="463"/>
      <c r="CL52" s="463"/>
      <c r="CM52" s="463"/>
      <c r="CN52" s="463"/>
      <c r="CO52" s="463"/>
      <c r="CP52" s="463"/>
      <c r="CQ52" s="463"/>
    </row>
    <row r="53" spans="1:95" s="8" customFormat="1" x14ac:dyDescent="0.2">
      <c r="A53" s="508"/>
      <c r="B53" s="492" t="s">
        <v>22</v>
      </c>
      <c r="C53" s="486">
        <v>82</v>
      </c>
      <c r="D53" s="83"/>
      <c r="E53" s="83">
        <v>92</v>
      </c>
      <c r="F53" s="83">
        <v>93</v>
      </c>
      <c r="G53" s="83"/>
      <c r="H53" s="83"/>
      <c r="I53" s="83"/>
      <c r="J53" s="83">
        <v>89</v>
      </c>
      <c r="K53" s="83" t="s">
        <v>145</v>
      </c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387"/>
      <c r="AF53" s="387"/>
      <c r="AG53" s="387"/>
      <c r="AH53" s="387"/>
      <c r="AI53" s="387"/>
      <c r="AJ53" s="387"/>
      <c r="AK53" s="387"/>
      <c r="AL53" s="387"/>
      <c r="AM53" s="387"/>
      <c r="AN53" s="387"/>
      <c r="AO53" s="387"/>
      <c r="AP53" s="387"/>
      <c r="AQ53" s="387"/>
      <c r="AR53" s="387"/>
      <c r="AS53" s="387"/>
      <c r="AT53" s="387"/>
      <c r="AU53" s="387"/>
      <c r="AV53" s="387"/>
      <c r="AW53" s="387"/>
      <c r="AX53" s="387"/>
      <c r="AY53" s="387"/>
      <c r="AZ53" s="387"/>
      <c r="BA53" s="387"/>
      <c r="BB53" s="387"/>
      <c r="BC53" s="387"/>
      <c r="BD53" s="387"/>
      <c r="BE53" s="387"/>
      <c r="BF53" s="387"/>
      <c r="BG53" s="387"/>
      <c r="BH53" s="387"/>
      <c r="BI53" s="387"/>
      <c r="BJ53" s="387"/>
      <c r="BK53" s="387"/>
      <c r="BL53" s="387"/>
      <c r="BM53" s="387"/>
      <c r="BN53" s="387"/>
      <c r="BO53" s="387"/>
      <c r="BP53" s="387"/>
      <c r="BQ53" s="387"/>
      <c r="BR53" s="387"/>
      <c r="BS53" s="387"/>
      <c r="BT53" s="387"/>
      <c r="BU53" s="387"/>
      <c r="BV53" s="387"/>
      <c r="BW53" s="387"/>
      <c r="BX53" s="387"/>
      <c r="BY53" s="387"/>
      <c r="BZ53" s="387"/>
      <c r="CA53" s="387"/>
      <c r="CB53" s="387"/>
      <c r="CC53" s="387"/>
      <c r="CD53" s="387"/>
      <c r="CE53" s="387"/>
      <c r="CF53" s="387"/>
      <c r="CG53" s="387"/>
      <c r="CH53" s="387"/>
      <c r="CI53" s="387"/>
      <c r="CJ53" s="387"/>
      <c r="CK53" s="387"/>
      <c r="CL53" s="387"/>
      <c r="CM53" s="387"/>
      <c r="CN53" s="387"/>
      <c r="CO53" s="387"/>
      <c r="CP53" s="387"/>
      <c r="CQ53" s="387"/>
    </row>
    <row r="54" spans="1:95" s="5" customFormat="1" x14ac:dyDescent="0.2">
      <c r="A54" s="508"/>
      <c r="B54" s="493" t="s">
        <v>73</v>
      </c>
      <c r="C54" s="171">
        <v>31</v>
      </c>
      <c r="D54" s="30"/>
      <c r="E54" s="171">
        <v>31</v>
      </c>
      <c r="F54" s="171">
        <v>30</v>
      </c>
      <c r="G54" s="171"/>
      <c r="H54" s="171"/>
      <c r="I54" s="171"/>
      <c r="J54" s="171">
        <v>31</v>
      </c>
      <c r="K54" s="171" t="s">
        <v>145</v>
      </c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  <c r="AA54" s="171"/>
      <c r="AB54" s="171"/>
      <c r="AC54" s="171"/>
      <c r="AD54" s="171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</row>
    <row r="55" spans="1:95" s="170" customFormat="1" ht="4.5" customHeight="1" x14ac:dyDescent="0.2">
      <c r="A55" s="508"/>
      <c r="B55" s="494"/>
      <c r="C55" s="487"/>
      <c r="D55" s="169"/>
      <c r="E55" s="169"/>
      <c r="F55" s="169"/>
      <c r="G55" s="169"/>
      <c r="K55" s="169"/>
      <c r="L55" s="169"/>
      <c r="M55" s="169"/>
      <c r="N55" s="169"/>
      <c r="O55" s="169"/>
      <c r="P55" s="169"/>
      <c r="Q55" s="169"/>
      <c r="R55" s="169"/>
      <c r="S55" s="169"/>
      <c r="W55" s="169"/>
      <c r="X55" s="169"/>
      <c r="Y55" s="169"/>
      <c r="Z55" s="169"/>
      <c r="AA55" s="169"/>
      <c r="AB55" s="169"/>
      <c r="AC55" s="169"/>
      <c r="AD55" s="169"/>
      <c r="AE55" s="388"/>
      <c r="AF55" s="388"/>
      <c r="AG55" s="388"/>
      <c r="AH55" s="388"/>
      <c r="AI55" s="388"/>
      <c r="AJ55" s="388"/>
      <c r="AK55" s="388"/>
      <c r="AL55" s="388"/>
      <c r="AM55" s="388"/>
      <c r="AN55" s="388"/>
      <c r="AO55" s="388"/>
      <c r="AP55" s="388"/>
      <c r="AQ55" s="388"/>
      <c r="AR55" s="388"/>
      <c r="AS55" s="388"/>
      <c r="AT55" s="388"/>
      <c r="AU55" s="388"/>
      <c r="AV55" s="388"/>
      <c r="AW55" s="388"/>
      <c r="AX55" s="388"/>
      <c r="AY55" s="388"/>
      <c r="AZ55" s="388"/>
      <c r="BA55" s="388"/>
      <c r="BB55" s="388"/>
      <c r="BC55" s="388"/>
      <c r="BD55" s="388"/>
      <c r="BE55" s="388"/>
      <c r="BF55" s="388"/>
      <c r="BG55" s="388"/>
      <c r="BH55" s="388"/>
      <c r="BI55" s="388"/>
      <c r="BJ55" s="388"/>
      <c r="BK55" s="388"/>
      <c r="BL55" s="388"/>
      <c r="BM55" s="388"/>
      <c r="BN55" s="388"/>
      <c r="BO55" s="388"/>
      <c r="BP55" s="388"/>
      <c r="BQ55" s="388"/>
      <c r="BR55" s="388"/>
      <c r="BS55" s="388"/>
      <c r="BT55" s="388"/>
      <c r="BU55" s="388"/>
      <c r="BV55" s="388"/>
      <c r="BW55" s="388"/>
      <c r="BX55" s="388"/>
      <c r="BY55" s="388"/>
      <c r="BZ55" s="388"/>
      <c r="CA55" s="388"/>
      <c r="CB55" s="388"/>
      <c r="CC55" s="388"/>
      <c r="CD55" s="388"/>
      <c r="CE55" s="388"/>
      <c r="CF55" s="388"/>
      <c r="CG55" s="388"/>
      <c r="CH55" s="388"/>
      <c r="CI55" s="388"/>
      <c r="CJ55" s="388"/>
      <c r="CK55" s="388"/>
      <c r="CL55" s="388"/>
      <c r="CM55" s="388"/>
      <c r="CN55" s="388"/>
      <c r="CO55" s="388"/>
      <c r="CP55" s="388"/>
      <c r="CQ55" s="388"/>
    </row>
    <row r="56" spans="1:95" s="174" customFormat="1" x14ac:dyDescent="0.2">
      <c r="A56" s="508"/>
      <c r="B56" s="495" t="s">
        <v>74</v>
      </c>
      <c r="C56" s="488"/>
      <c r="D56" s="173"/>
      <c r="E56" s="173">
        <v>42.37</v>
      </c>
      <c r="F56" s="173">
        <v>52.33</v>
      </c>
      <c r="G56" s="173"/>
      <c r="H56" s="173"/>
      <c r="I56" s="173"/>
      <c r="J56" s="173">
        <v>52.33</v>
      </c>
      <c r="K56" s="173" t="s">
        <v>145</v>
      </c>
      <c r="L56" s="173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389"/>
      <c r="AF56" s="389"/>
      <c r="AG56" s="389"/>
      <c r="AH56" s="389"/>
      <c r="AI56" s="389"/>
      <c r="AJ56" s="389"/>
      <c r="AK56" s="389"/>
      <c r="AL56" s="389"/>
      <c r="AM56" s="389"/>
      <c r="AN56" s="389"/>
      <c r="AO56" s="389"/>
      <c r="AP56" s="389"/>
      <c r="AQ56" s="389"/>
      <c r="AR56" s="389"/>
      <c r="AS56" s="389"/>
      <c r="AT56" s="389"/>
      <c r="AU56" s="389"/>
      <c r="AV56" s="389"/>
      <c r="AW56" s="389"/>
      <c r="AX56" s="389"/>
      <c r="AY56" s="389"/>
      <c r="AZ56" s="389"/>
      <c r="BA56" s="389"/>
      <c r="BB56" s="389"/>
      <c r="BC56" s="389"/>
      <c r="BD56" s="389"/>
      <c r="BE56" s="389"/>
      <c r="BF56" s="389"/>
      <c r="BG56" s="389"/>
      <c r="BH56" s="389"/>
      <c r="BI56" s="389"/>
      <c r="BJ56" s="389"/>
      <c r="BK56" s="389"/>
      <c r="BL56" s="389"/>
      <c r="BM56" s="389"/>
      <c r="BN56" s="389"/>
      <c r="BO56" s="389"/>
      <c r="BP56" s="389"/>
      <c r="BQ56" s="389"/>
      <c r="BR56" s="389"/>
      <c r="BS56" s="389"/>
      <c r="BT56" s="389"/>
      <c r="BU56" s="389"/>
      <c r="BV56" s="389"/>
      <c r="BW56" s="389"/>
      <c r="BX56" s="389"/>
      <c r="BY56" s="389"/>
      <c r="BZ56" s="389"/>
      <c r="CA56" s="389"/>
      <c r="CB56" s="389"/>
      <c r="CC56" s="389"/>
      <c r="CD56" s="389"/>
      <c r="CE56" s="389"/>
      <c r="CF56" s="389"/>
      <c r="CG56" s="389"/>
      <c r="CH56" s="389"/>
      <c r="CI56" s="389"/>
      <c r="CJ56" s="389"/>
      <c r="CK56" s="389"/>
      <c r="CL56" s="389"/>
      <c r="CM56" s="389"/>
      <c r="CN56" s="389"/>
      <c r="CO56" s="389"/>
      <c r="CP56" s="389"/>
      <c r="CQ56" s="389"/>
    </row>
    <row r="57" spans="1:95" s="182" customFormat="1" x14ac:dyDescent="0.2">
      <c r="A57" s="508"/>
      <c r="B57" s="496" t="s">
        <v>75</v>
      </c>
      <c r="C57" s="489">
        <v>1313.47</v>
      </c>
      <c r="D57" s="4">
        <v>1186</v>
      </c>
      <c r="E57" s="4">
        <f t="shared" ref="E57:I57" si="0">E54*E56</f>
        <v>1313.47</v>
      </c>
      <c r="F57" s="4">
        <f t="shared" si="0"/>
        <v>1569.8999999999999</v>
      </c>
      <c r="G57" s="4">
        <f t="shared" si="0"/>
        <v>0</v>
      </c>
      <c r="H57" s="4">
        <f t="shared" si="0"/>
        <v>0</v>
      </c>
      <c r="I57" s="4">
        <f t="shared" si="0"/>
        <v>0</v>
      </c>
      <c r="J57" s="4">
        <f t="shared" ref="J57" si="1">J54*J56</f>
        <v>1622.23</v>
      </c>
      <c r="K57" s="4" t="s">
        <v>145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</row>
    <row r="58" spans="1:95" s="31" customFormat="1" x14ac:dyDescent="0.2">
      <c r="A58" s="508"/>
      <c r="B58" s="497" t="s">
        <v>24</v>
      </c>
      <c r="C58" s="356">
        <v>2.71</v>
      </c>
      <c r="D58" s="179">
        <v>2.71</v>
      </c>
      <c r="E58" s="179">
        <v>2.71</v>
      </c>
      <c r="F58" s="179">
        <v>3.35</v>
      </c>
      <c r="G58" s="179"/>
      <c r="H58" s="179"/>
      <c r="I58" s="179"/>
      <c r="J58" s="179">
        <v>3.35</v>
      </c>
      <c r="K58" s="179" t="s">
        <v>145</v>
      </c>
      <c r="L58" s="179"/>
      <c r="M58" s="179"/>
      <c r="N58" s="179"/>
      <c r="O58" s="179"/>
      <c r="P58" s="179"/>
      <c r="Q58" s="179"/>
      <c r="R58" s="179"/>
      <c r="S58" s="179"/>
      <c r="T58" s="179"/>
      <c r="U58" s="179"/>
      <c r="V58" s="179"/>
      <c r="W58" s="179"/>
      <c r="X58" s="179"/>
      <c r="Y58" s="179"/>
      <c r="Z58" s="179"/>
      <c r="AA58" s="179"/>
      <c r="AB58" s="179"/>
      <c r="AC58" s="179"/>
      <c r="AD58" s="179"/>
    </row>
    <row r="59" spans="1:95" s="177" customFormat="1" x14ac:dyDescent="0.2">
      <c r="A59" s="508"/>
      <c r="B59" s="498" t="s">
        <v>25</v>
      </c>
      <c r="C59" s="357">
        <f t="shared" ref="C59:I59" si="2">C58*C40</f>
        <v>12195</v>
      </c>
      <c r="D59" s="176">
        <f t="shared" si="2"/>
        <v>12195</v>
      </c>
      <c r="E59" s="176">
        <f t="shared" si="2"/>
        <v>12195</v>
      </c>
      <c r="F59" s="176">
        <f t="shared" si="2"/>
        <v>15075</v>
      </c>
      <c r="G59" s="176">
        <f t="shared" si="2"/>
        <v>0</v>
      </c>
      <c r="H59" s="176">
        <f t="shared" si="2"/>
        <v>0</v>
      </c>
      <c r="I59" s="176">
        <f t="shared" si="2"/>
        <v>0</v>
      </c>
      <c r="J59" s="176">
        <f t="shared" ref="J59" si="3">J58*J40</f>
        <v>15075</v>
      </c>
      <c r="K59" s="176" t="s">
        <v>145</v>
      </c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6"/>
      <c r="W59" s="176"/>
      <c r="X59" s="176"/>
      <c r="Y59" s="176"/>
      <c r="Z59" s="176"/>
      <c r="AA59" s="176"/>
      <c r="AB59" s="176"/>
      <c r="AC59" s="176"/>
      <c r="AD59" s="176"/>
    </row>
    <row r="60" spans="1:95" s="31" customFormat="1" x14ac:dyDescent="0.2">
      <c r="A60" s="508"/>
      <c r="B60" s="499" t="s">
        <v>7</v>
      </c>
      <c r="C60" s="358">
        <v>5.44</v>
      </c>
      <c r="D60" s="3">
        <v>5.44</v>
      </c>
      <c r="E60" s="3">
        <v>5.44</v>
      </c>
      <c r="F60" s="3">
        <v>6.72</v>
      </c>
      <c r="G60" s="3"/>
      <c r="H60" s="3"/>
      <c r="I60" s="3"/>
      <c r="J60" s="3">
        <v>6.72</v>
      </c>
      <c r="K60" s="3" t="s">
        <v>145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95" s="177" customFormat="1" x14ac:dyDescent="0.2">
      <c r="A61" s="508"/>
      <c r="B61" s="500" t="s">
        <v>10</v>
      </c>
      <c r="C61" s="357">
        <f t="shared" ref="C61:I61" si="4">C60*C40</f>
        <v>24480</v>
      </c>
      <c r="D61" s="176">
        <f t="shared" si="4"/>
        <v>24480</v>
      </c>
      <c r="E61" s="176">
        <f t="shared" si="4"/>
        <v>24480</v>
      </c>
      <c r="F61" s="176">
        <f t="shared" si="4"/>
        <v>30240</v>
      </c>
      <c r="G61" s="176">
        <f t="shared" si="4"/>
        <v>0</v>
      </c>
      <c r="H61" s="176">
        <f t="shared" si="4"/>
        <v>0</v>
      </c>
      <c r="I61" s="176">
        <f t="shared" si="4"/>
        <v>0</v>
      </c>
      <c r="J61" s="176">
        <f t="shared" ref="J61" si="5">J60*J40</f>
        <v>30240</v>
      </c>
      <c r="K61" s="176" t="s">
        <v>145</v>
      </c>
      <c r="L61" s="176"/>
      <c r="M61" s="176"/>
      <c r="N61" s="176"/>
      <c r="O61" s="176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  <c r="AA61" s="176"/>
      <c r="AB61" s="176"/>
      <c r="AC61" s="176"/>
      <c r="AD61" s="176"/>
    </row>
    <row r="62" spans="1:95" s="31" customFormat="1" x14ac:dyDescent="0.2">
      <c r="A62" s="508"/>
      <c r="B62" s="499" t="s">
        <v>8</v>
      </c>
      <c r="C62" s="358">
        <v>10.31</v>
      </c>
      <c r="D62" s="3">
        <v>10.31</v>
      </c>
      <c r="E62" s="3">
        <v>10.31</v>
      </c>
      <c r="F62" s="3">
        <v>12.73</v>
      </c>
      <c r="G62" s="3"/>
      <c r="H62" s="3"/>
      <c r="I62" s="3"/>
      <c r="J62" s="3">
        <v>12.73</v>
      </c>
      <c r="K62" s="3" t="s">
        <v>145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95" s="177" customFormat="1" x14ac:dyDescent="0.2">
      <c r="A63" s="508"/>
      <c r="B63" s="501" t="s">
        <v>2</v>
      </c>
      <c r="C63" s="328">
        <f t="shared" ref="C63:I63" si="6">C62*MAX(C46:C47)</f>
        <v>24087.768500000002</v>
      </c>
      <c r="D63" s="331">
        <f t="shared" si="6"/>
        <v>0</v>
      </c>
      <c r="E63" s="331">
        <f t="shared" si="6"/>
        <v>24536.975200000001</v>
      </c>
      <c r="F63" s="331">
        <f t="shared" si="6"/>
        <v>30089.646399999998</v>
      </c>
      <c r="G63" s="331">
        <f t="shared" si="6"/>
        <v>0</v>
      </c>
      <c r="H63" s="331">
        <f t="shared" si="6"/>
        <v>0</v>
      </c>
      <c r="I63" s="331">
        <f t="shared" si="6"/>
        <v>0</v>
      </c>
      <c r="J63" s="331">
        <f t="shared" ref="J63" si="7">J62*MAX(J46:J47)</f>
        <v>27011.023200000003</v>
      </c>
      <c r="K63" s="331" t="s">
        <v>145</v>
      </c>
      <c r="L63" s="331"/>
      <c r="M63" s="331"/>
      <c r="N63" s="331"/>
      <c r="O63" s="331"/>
      <c r="P63" s="331"/>
      <c r="Q63" s="331"/>
      <c r="R63" s="331"/>
      <c r="S63" s="331"/>
      <c r="T63" s="331"/>
      <c r="U63" s="331"/>
      <c r="V63" s="331"/>
      <c r="W63" s="331"/>
      <c r="X63" s="331"/>
      <c r="Y63" s="331"/>
      <c r="Z63" s="331"/>
      <c r="AA63" s="331"/>
      <c r="AB63" s="331"/>
      <c r="AC63" s="331"/>
      <c r="AD63" s="331"/>
    </row>
    <row r="64" spans="1:95" s="1" customFormat="1" x14ac:dyDescent="0.2">
      <c r="A64" s="508"/>
      <c r="B64" s="502" t="s">
        <v>150</v>
      </c>
      <c r="C64" s="490"/>
    </row>
    <row r="65" spans="1:95" s="1" customFormat="1" x14ac:dyDescent="0.2">
      <c r="A65" s="508"/>
      <c r="B65" s="502" t="s">
        <v>151</v>
      </c>
      <c r="C65" s="490"/>
    </row>
    <row r="66" spans="1:95" s="1" customFormat="1" x14ac:dyDescent="0.2">
      <c r="A66" s="508"/>
      <c r="B66" s="502" t="s">
        <v>153</v>
      </c>
      <c r="C66" s="490"/>
      <c r="J66" s="1">
        <v>10.07</v>
      </c>
    </row>
    <row r="67" spans="1:95" s="208" customFormat="1" ht="13.5" thickBot="1" x14ac:dyDescent="0.25">
      <c r="A67" s="508"/>
      <c r="B67" s="503" t="s">
        <v>152</v>
      </c>
      <c r="C67" s="491"/>
      <c r="D67" s="207"/>
      <c r="E67" s="207"/>
      <c r="F67" s="207"/>
      <c r="G67" s="207"/>
      <c r="H67" s="207"/>
      <c r="I67" s="207"/>
      <c r="J67" s="207">
        <f>J64*J65*J66</f>
        <v>0</v>
      </c>
      <c r="K67" s="207"/>
      <c r="L67" s="207"/>
      <c r="M67" s="207"/>
      <c r="N67" s="207"/>
      <c r="O67" s="207"/>
      <c r="P67" s="207"/>
      <c r="Q67" s="207"/>
      <c r="R67" s="207"/>
      <c r="S67" s="207"/>
      <c r="T67" s="207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</row>
    <row r="68" spans="1:95" s="31" customFormat="1" x14ac:dyDescent="0.2">
      <c r="A68" s="508"/>
      <c r="B68" s="426" t="s">
        <v>29</v>
      </c>
      <c r="C68" s="112">
        <v>0.13789999999999999</v>
      </c>
      <c r="D68" s="112">
        <v>0.13789999999999999</v>
      </c>
      <c r="E68" s="112">
        <v>0.13789999999999999</v>
      </c>
      <c r="F68" s="112">
        <v>0.17030000000000001</v>
      </c>
      <c r="G68" s="112"/>
      <c r="H68" s="65"/>
      <c r="I68" s="65"/>
      <c r="J68" s="65"/>
      <c r="K68" s="112" t="s">
        <v>145</v>
      </c>
      <c r="L68" s="112"/>
      <c r="M68" s="112"/>
      <c r="N68" s="112"/>
      <c r="O68" s="112"/>
      <c r="P68" s="112"/>
      <c r="Q68" s="112"/>
      <c r="R68" s="112"/>
      <c r="S68" s="112"/>
      <c r="T68" s="65"/>
      <c r="U68" s="65"/>
      <c r="V68" s="65"/>
      <c r="W68" s="112"/>
      <c r="X68" s="112"/>
      <c r="Y68" s="112"/>
      <c r="Z68" s="112"/>
      <c r="AA68" s="112"/>
      <c r="AB68" s="112"/>
      <c r="AC68" s="112"/>
      <c r="AD68" s="112"/>
    </row>
    <row r="69" spans="1:95" s="34" customFormat="1" x14ac:dyDescent="0.2">
      <c r="A69" s="508"/>
      <c r="B69" s="429" t="s">
        <v>60</v>
      </c>
      <c r="C69" s="14">
        <f>C68*C41</f>
        <v>83609.183699999994</v>
      </c>
      <c r="D69" s="14">
        <f>D68*D41</f>
        <v>0</v>
      </c>
      <c r="E69" s="14">
        <f>E68*E41</f>
        <v>87457.040496000001</v>
      </c>
      <c r="F69" s="14">
        <f>F68*F41</f>
        <v>116533.755936</v>
      </c>
      <c r="G69" s="14">
        <f>G68*G41</f>
        <v>0</v>
      </c>
      <c r="H69" s="116"/>
      <c r="I69" s="116"/>
      <c r="J69" s="116"/>
      <c r="K69" s="14" t="s">
        <v>145</v>
      </c>
      <c r="L69" s="14"/>
      <c r="M69" s="14"/>
      <c r="N69" s="14"/>
      <c r="O69" s="14"/>
      <c r="P69" s="14"/>
      <c r="Q69" s="14"/>
      <c r="R69" s="14"/>
      <c r="S69" s="14"/>
      <c r="T69" s="116"/>
      <c r="U69" s="116"/>
      <c r="V69" s="116"/>
      <c r="W69" s="14"/>
      <c r="X69" s="14"/>
      <c r="Y69" s="14"/>
      <c r="Z69" s="14"/>
      <c r="AA69" s="14"/>
      <c r="AB69" s="14"/>
      <c r="AC69" s="14"/>
      <c r="AD69" s="14"/>
    </row>
    <row r="70" spans="1:95" s="31" customFormat="1" x14ac:dyDescent="0.2">
      <c r="A70" s="508"/>
      <c r="B70" s="428" t="s">
        <v>30</v>
      </c>
      <c r="C70" s="114"/>
      <c r="D70" s="114"/>
      <c r="E70" s="114"/>
      <c r="F70" s="114"/>
      <c r="G70" s="114"/>
      <c r="H70" s="112"/>
      <c r="I70" s="112"/>
      <c r="J70" s="112">
        <v>0.19769999999999999</v>
      </c>
      <c r="K70" s="114" t="s">
        <v>145</v>
      </c>
      <c r="L70" s="114"/>
      <c r="M70" s="114"/>
      <c r="N70" s="114"/>
      <c r="O70" s="114"/>
      <c r="P70" s="114"/>
      <c r="Q70" s="114"/>
      <c r="R70" s="114"/>
      <c r="S70" s="114"/>
      <c r="T70" s="112"/>
      <c r="U70" s="112"/>
      <c r="V70" s="112"/>
      <c r="W70" s="114"/>
      <c r="X70" s="114"/>
      <c r="Y70" s="114"/>
      <c r="Z70" s="114"/>
      <c r="AA70" s="114"/>
      <c r="AB70" s="114"/>
      <c r="AC70" s="114"/>
      <c r="AD70" s="114"/>
    </row>
    <row r="71" spans="1:95" s="35" customFormat="1" x14ac:dyDescent="0.2">
      <c r="A71" s="508"/>
      <c r="B71" s="430" t="s">
        <v>61</v>
      </c>
      <c r="C71" s="115"/>
      <c r="D71" s="115"/>
      <c r="E71" s="115"/>
      <c r="F71" s="115"/>
      <c r="G71" s="115"/>
      <c r="H71" s="33">
        <f>H70*H41</f>
        <v>0</v>
      </c>
      <c r="I71" s="33">
        <f>I70*I41</f>
        <v>0</v>
      </c>
      <c r="J71" s="33">
        <f>J70*J41</f>
        <v>137212.14293999999</v>
      </c>
      <c r="K71" s="115" t="s">
        <v>145</v>
      </c>
      <c r="L71" s="115"/>
      <c r="M71" s="115"/>
      <c r="N71" s="115"/>
      <c r="O71" s="115"/>
      <c r="P71" s="115"/>
      <c r="Q71" s="115"/>
      <c r="R71" s="115"/>
      <c r="S71" s="115"/>
      <c r="T71" s="33"/>
      <c r="U71" s="33"/>
      <c r="V71" s="33"/>
      <c r="W71" s="115"/>
      <c r="X71" s="115"/>
      <c r="Y71" s="115"/>
      <c r="Z71" s="115"/>
      <c r="AA71" s="115"/>
      <c r="AB71" s="115"/>
      <c r="AC71" s="115"/>
      <c r="AD71" s="115"/>
    </row>
    <row r="72" spans="1:95" s="31" customFormat="1" x14ac:dyDescent="0.2">
      <c r="A72" s="508"/>
      <c r="B72" s="428" t="s">
        <v>31</v>
      </c>
      <c r="C72" s="112">
        <v>0.32190000000000002</v>
      </c>
      <c r="D72" s="112">
        <v>0.32190000000000002</v>
      </c>
      <c r="E72" s="112">
        <v>0.32190000000000002</v>
      </c>
      <c r="F72" s="112">
        <v>0.39750000000000002</v>
      </c>
      <c r="G72" s="112"/>
      <c r="H72" s="117"/>
      <c r="I72" s="117"/>
      <c r="J72" s="117"/>
      <c r="K72" s="112" t="s">
        <v>145</v>
      </c>
      <c r="L72" s="112"/>
      <c r="M72" s="112"/>
      <c r="N72" s="112"/>
      <c r="O72" s="112"/>
      <c r="P72" s="112"/>
      <c r="Q72" s="112"/>
      <c r="R72" s="112"/>
      <c r="S72" s="112"/>
      <c r="T72" s="117"/>
      <c r="U72" s="117"/>
      <c r="V72" s="117"/>
      <c r="W72" s="112"/>
      <c r="X72" s="112"/>
      <c r="Y72" s="112"/>
      <c r="Z72" s="112"/>
      <c r="AA72" s="112"/>
      <c r="AB72" s="112"/>
      <c r="AC72" s="112"/>
      <c r="AD72" s="112"/>
    </row>
    <row r="73" spans="1:95" s="34" customFormat="1" x14ac:dyDescent="0.2">
      <c r="A73" s="508"/>
      <c r="B73" s="429" t="s">
        <v>62</v>
      </c>
      <c r="C73" s="14">
        <f>C72*C43</f>
        <v>52381.538028000003</v>
      </c>
      <c r="D73" s="14">
        <f>D72*D43</f>
        <v>0</v>
      </c>
      <c r="E73" s="14">
        <f>E72*E43</f>
        <v>65254.628052</v>
      </c>
      <c r="F73" s="14">
        <f>F72*F43</f>
        <v>68441.5818</v>
      </c>
      <c r="G73" s="14">
        <f>G72*G43</f>
        <v>0</v>
      </c>
      <c r="H73" s="116"/>
      <c r="I73" s="116"/>
      <c r="J73" s="116"/>
      <c r="K73" s="14" t="s">
        <v>145</v>
      </c>
      <c r="L73" s="14"/>
      <c r="M73" s="14"/>
      <c r="N73" s="14"/>
      <c r="O73" s="14"/>
      <c r="P73" s="14"/>
      <c r="Q73" s="14"/>
      <c r="R73" s="14"/>
      <c r="S73" s="14"/>
      <c r="T73" s="116"/>
      <c r="U73" s="116"/>
      <c r="V73" s="116"/>
      <c r="W73" s="14"/>
      <c r="X73" s="14"/>
      <c r="Y73" s="14"/>
      <c r="Z73" s="14"/>
      <c r="AA73" s="14"/>
      <c r="AB73" s="14"/>
      <c r="AC73" s="14"/>
      <c r="AD73" s="14"/>
    </row>
    <row r="74" spans="1:95" s="31" customFormat="1" x14ac:dyDescent="0.2">
      <c r="A74" s="508"/>
      <c r="B74" s="428" t="s">
        <v>32</v>
      </c>
      <c r="C74" s="114"/>
      <c r="D74" s="114"/>
      <c r="E74" s="114"/>
      <c r="F74" s="114"/>
      <c r="G74" s="114"/>
      <c r="H74" s="1"/>
      <c r="I74" s="1"/>
      <c r="J74" s="1">
        <v>1.4238</v>
      </c>
      <c r="K74" s="114" t="s">
        <v>145</v>
      </c>
      <c r="L74" s="114"/>
      <c r="M74" s="114"/>
      <c r="N74" s="114"/>
      <c r="O74" s="114"/>
      <c r="P74" s="114"/>
      <c r="Q74" s="114"/>
      <c r="R74" s="114"/>
      <c r="S74" s="114"/>
      <c r="T74" s="1"/>
      <c r="U74" s="1"/>
      <c r="V74" s="1"/>
      <c r="W74" s="114"/>
      <c r="X74" s="114"/>
      <c r="Y74" s="114"/>
      <c r="Z74" s="114"/>
      <c r="AA74" s="114"/>
      <c r="AB74" s="114"/>
      <c r="AC74" s="114"/>
      <c r="AD74" s="114"/>
    </row>
    <row r="75" spans="1:95" s="35" customFormat="1" x14ac:dyDescent="0.2">
      <c r="A75" s="508"/>
      <c r="B75" s="430" t="s">
        <v>63</v>
      </c>
      <c r="C75" s="115"/>
      <c r="D75" s="115"/>
      <c r="E75" s="115"/>
      <c r="F75" s="115"/>
      <c r="G75" s="115"/>
      <c r="H75" s="113">
        <f>H74*H43</f>
        <v>0</v>
      </c>
      <c r="I75" s="113">
        <f>I74*I43</f>
        <v>0</v>
      </c>
      <c r="J75" s="113">
        <f>J74*J43</f>
        <v>292625.58376799995</v>
      </c>
      <c r="K75" s="115" t="s">
        <v>145</v>
      </c>
      <c r="L75" s="115"/>
      <c r="M75" s="115"/>
      <c r="N75" s="115"/>
      <c r="O75" s="115"/>
      <c r="P75" s="115"/>
      <c r="Q75" s="115"/>
      <c r="R75" s="115"/>
      <c r="S75" s="115"/>
      <c r="T75" s="113"/>
      <c r="U75" s="113"/>
      <c r="V75" s="113"/>
      <c r="W75" s="115"/>
      <c r="X75" s="115"/>
      <c r="Y75" s="115"/>
      <c r="Z75" s="115"/>
      <c r="AA75" s="115"/>
      <c r="AB75" s="115"/>
      <c r="AC75" s="115"/>
      <c r="AD75" s="115"/>
    </row>
    <row r="76" spans="1:95" s="31" customFormat="1" x14ac:dyDescent="0.2">
      <c r="A76" s="508"/>
      <c r="B76" s="428" t="s">
        <v>79</v>
      </c>
      <c r="C76" s="112">
        <v>0.19719999999999999</v>
      </c>
      <c r="D76" s="1">
        <v>0.19719999999999999</v>
      </c>
      <c r="E76" s="1">
        <v>0.19719999999999999</v>
      </c>
      <c r="F76" s="1">
        <v>0.24349999999999999</v>
      </c>
      <c r="G76" s="1"/>
      <c r="H76" s="117"/>
      <c r="I76" s="117"/>
      <c r="J76" s="117"/>
      <c r="K76" s="1" t="s">
        <v>145</v>
      </c>
      <c r="L76" s="1"/>
      <c r="M76" s="1"/>
      <c r="N76" s="1"/>
      <c r="O76" s="1"/>
      <c r="P76" s="1"/>
      <c r="Q76" s="1"/>
      <c r="R76" s="1"/>
      <c r="S76" s="1"/>
      <c r="T76" s="117"/>
      <c r="U76" s="117"/>
      <c r="V76" s="117"/>
      <c r="W76" s="1"/>
      <c r="X76" s="1"/>
      <c r="Y76" s="1"/>
      <c r="Z76" s="1"/>
      <c r="AA76" s="1"/>
      <c r="AB76" s="1"/>
      <c r="AC76" s="1"/>
      <c r="AD76" s="1"/>
    </row>
    <row r="77" spans="1:95" s="34" customFormat="1" x14ac:dyDescent="0.2">
      <c r="A77" s="508"/>
      <c r="B77" s="429" t="s">
        <v>64</v>
      </c>
      <c r="C77" s="14">
        <f>C76*C42</f>
        <v>80512.311168</v>
      </c>
      <c r="D77" s="14">
        <f>D76*D42</f>
        <v>0</v>
      </c>
      <c r="E77" s="14">
        <f>E76*E42</f>
        <v>98769.252815999993</v>
      </c>
      <c r="F77" s="14">
        <f>F76*F42</f>
        <v>106797.84354</v>
      </c>
      <c r="G77" s="14">
        <f>G76*G42</f>
        <v>0</v>
      </c>
      <c r="H77" s="118"/>
      <c r="I77" s="118"/>
      <c r="J77" s="118"/>
      <c r="K77" s="14" t="s">
        <v>145</v>
      </c>
      <c r="L77" s="14"/>
      <c r="M77" s="14"/>
      <c r="N77" s="14"/>
      <c r="O77" s="14"/>
      <c r="P77" s="14"/>
      <c r="Q77" s="14"/>
      <c r="R77" s="14"/>
      <c r="S77" s="14"/>
      <c r="T77" s="118"/>
      <c r="U77" s="118"/>
      <c r="V77" s="118"/>
      <c r="W77" s="14"/>
      <c r="X77" s="14"/>
      <c r="Y77" s="14"/>
      <c r="Z77" s="14"/>
      <c r="AA77" s="14"/>
      <c r="AB77" s="14"/>
      <c r="AC77" s="14"/>
      <c r="AD77" s="14"/>
    </row>
    <row r="78" spans="1:95" s="31" customFormat="1" x14ac:dyDescent="0.2">
      <c r="A78" s="508"/>
      <c r="B78" s="431" t="s">
        <v>33</v>
      </c>
      <c r="C78" s="114"/>
      <c r="D78" s="114"/>
      <c r="E78" s="114"/>
      <c r="F78" s="114"/>
      <c r="G78" s="114"/>
      <c r="H78" s="1"/>
      <c r="I78" s="1"/>
      <c r="J78" s="1">
        <v>0.37009999999999998</v>
      </c>
      <c r="K78" s="114" t="s">
        <v>145</v>
      </c>
      <c r="L78" s="114"/>
      <c r="M78" s="114"/>
      <c r="N78" s="114"/>
      <c r="O78" s="114"/>
      <c r="P78" s="114"/>
      <c r="Q78" s="114"/>
      <c r="R78" s="114"/>
      <c r="S78" s="114"/>
      <c r="T78" s="1"/>
      <c r="U78" s="1"/>
      <c r="V78" s="1"/>
      <c r="W78" s="114"/>
      <c r="X78" s="114"/>
      <c r="Y78" s="114"/>
      <c r="Z78" s="114"/>
      <c r="AA78" s="114"/>
      <c r="AB78" s="114"/>
      <c r="AC78" s="114"/>
      <c r="AD78" s="114"/>
    </row>
    <row r="79" spans="1:95" s="55" customFormat="1" ht="13.5" thickBot="1" x14ac:dyDescent="0.25">
      <c r="A79" s="508"/>
      <c r="B79" s="432" t="s">
        <v>65</v>
      </c>
      <c r="C79" s="122"/>
      <c r="D79" s="122"/>
      <c r="E79" s="122"/>
      <c r="F79" s="122"/>
      <c r="G79" s="122"/>
      <c r="H79" s="247">
        <f>H78*H42</f>
        <v>0</v>
      </c>
      <c r="I79" s="247">
        <f>I78*I42</f>
        <v>0</v>
      </c>
      <c r="J79" s="247">
        <f>J78*J42</f>
        <v>190635.667632</v>
      </c>
      <c r="K79" s="122" t="s">
        <v>145</v>
      </c>
      <c r="L79" s="122"/>
      <c r="M79" s="122"/>
      <c r="N79" s="122"/>
      <c r="O79" s="122"/>
      <c r="P79" s="122"/>
      <c r="Q79" s="122"/>
      <c r="R79" s="122"/>
      <c r="S79" s="122"/>
      <c r="T79" s="247"/>
      <c r="U79" s="247"/>
      <c r="V79" s="247"/>
      <c r="W79" s="122"/>
      <c r="X79" s="122"/>
      <c r="Y79" s="122"/>
      <c r="Z79" s="122"/>
      <c r="AA79" s="122"/>
      <c r="AB79" s="122"/>
      <c r="AC79" s="122"/>
      <c r="AD79" s="122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  <c r="BV79" s="35"/>
      <c r="BW79" s="35"/>
      <c r="BX79" s="35"/>
      <c r="BY79" s="35"/>
      <c r="BZ79" s="35"/>
      <c r="CA79" s="35"/>
      <c r="CB79" s="35"/>
      <c r="CC79" s="35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</row>
    <row r="80" spans="1:95" s="123" customFormat="1" x14ac:dyDescent="0.2">
      <c r="A80" s="508"/>
      <c r="B80" s="433" t="s">
        <v>104</v>
      </c>
      <c r="C80" s="248"/>
      <c r="D80" s="248"/>
      <c r="E80" s="248"/>
      <c r="F80" s="248"/>
      <c r="G80" s="248"/>
      <c r="H80" s="85"/>
      <c r="I80" s="85"/>
      <c r="J80" s="85"/>
      <c r="K80" s="248" t="s">
        <v>145</v>
      </c>
      <c r="L80" s="248"/>
      <c r="M80" s="248"/>
      <c r="N80" s="248"/>
      <c r="O80" s="248"/>
      <c r="P80" s="248"/>
      <c r="Q80" s="248"/>
      <c r="R80" s="248"/>
      <c r="S80" s="248"/>
      <c r="T80" s="85"/>
      <c r="U80" s="85"/>
      <c r="V80" s="85"/>
      <c r="W80" s="248"/>
      <c r="X80" s="248"/>
      <c r="Y80" s="248"/>
      <c r="Z80" s="248"/>
      <c r="AA80" s="248"/>
      <c r="AB80" s="248"/>
      <c r="AC80" s="248"/>
      <c r="AD80" s="248"/>
    </row>
    <row r="81" spans="1:95" s="1" customFormat="1" x14ac:dyDescent="0.2">
      <c r="A81" s="508"/>
      <c r="B81" s="434" t="s">
        <v>105</v>
      </c>
      <c r="C81" s="31"/>
      <c r="D81" s="31"/>
      <c r="E81" s="31"/>
      <c r="F81" s="31"/>
      <c r="G81" s="31"/>
      <c r="H81" s="119"/>
      <c r="I81" s="119"/>
      <c r="J81" s="119">
        <v>5.8900000000000001E-2</v>
      </c>
      <c r="K81" s="31" t="s">
        <v>145</v>
      </c>
      <c r="L81" s="31"/>
      <c r="M81" s="31"/>
      <c r="N81" s="31"/>
      <c r="O81" s="31"/>
      <c r="P81" s="31"/>
      <c r="Q81" s="31"/>
      <c r="R81" s="31"/>
      <c r="S81" s="31"/>
      <c r="T81" s="119"/>
      <c r="U81" s="119"/>
      <c r="V81" s="119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</row>
    <row r="82" spans="1:95" s="55" customFormat="1" ht="13.5" thickBot="1" x14ac:dyDescent="0.25">
      <c r="A82" s="508"/>
      <c r="B82" s="435" t="s">
        <v>106</v>
      </c>
      <c r="C82" s="122"/>
      <c r="D82" s="122"/>
      <c r="E82" s="122"/>
      <c r="F82" s="122"/>
      <c r="G82" s="122"/>
      <c r="H82" s="54">
        <f>H81*H80</f>
        <v>0</v>
      </c>
      <c r="I82" s="54">
        <f>I81*I80</f>
        <v>0</v>
      </c>
      <c r="J82" s="54">
        <f>J81*J80</f>
        <v>0</v>
      </c>
      <c r="K82" s="122" t="s">
        <v>145</v>
      </c>
      <c r="L82" s="122"/>
      <c r="M82" s="122"/>
      <c r="N82" s="122"/>
      <c r="O82" s="122"/>
      <c r="P82" s="122"/>
      <c r="Q82" s="122"/>
      <c r="R82" s="122"/>
      <c r="S82" s="122"/>
      <c r="T82" s="54"/>
      <c r="U82" s="54"/>
      <c r="V82" s="54"/>
      <c r="W82" s="122"/>
      <c r="X82" s="122"/>
      <c r="Y82" s="122"/>
      <c r="Z82" s="122"/>
      <c r="AA82" s="122"/>
      <c r="AB82" s="122"/>
      <c r="AC82" s="122"/>
      <c r="AD82" s="122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</row>
    <row r="83" spans="1:95" s="31" customFormat="1" ht="12" customHeight="1" x14ac:dyDescent="0.2">
      <c r="A83" s="508"/>
      <c r="B83" s="428" t="s">
        <v>9</v>
      </c>
      <c r="C83" s="1">
        <v>2.5000000000000001E-2</v>
      </c>
      <c r="D83" s="1">
        <v>2.5000000000000001E-2</v>
      </c>
      <c r="E83" s="1">
        <v>2.5000000000000001E-2</v>
      </c>
      <c r="F83" s="1">
        <v>3.09E-2</v>
      </c>
      <c r="G83" s="1"/>
      <c r="H83" s="1"/>
      <c r="I83" s="1"/>
      <c r="J83" s="1">
        <v>3.09E-2</v>
      </c>
      <c r="K83" s="1" t="s">
        <v>145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95" s="43" customFormat="1" x14ac:dyDescent="0.2">
      <c r="A84" s="508"/>
      <c r="B84" s="436" t="s">
        <v>11</v>
      </c>
      <c r="C84" s="4">
        <f t="shared" ref="C84:J84" si="8">C83*C44</f>
        <v>29432.664000000004</v>
      </c>
      <c r="D84" s="4">
        <f t="shared" si="8"/>
        <v>0</v>
      </c>
      <c r="E84" s="4">
        <f t="shared" si="8"/>
        <v>33444.54</v>
      </c>
      <c r="F84" s="4">
        <f t="shared" si="8"/>
        <v>40017.355236000003</v>
      </c>
      <c r="G84" s="4">
        <f t="shared" si="8"/>
        <v>0</v>
      </c>
      <c r="H84" s="4">
        <f t="shared" si="8"/>
        <v>0</v>
      </c>
      <c r="I84" s="258">
        <f t="shared" si="8"/>
        <v>0</v>
      </c>
      <c r="J84" s="258">
        <f t="shared" si="8"/>
        <v>43712.959391999997</v>
      </c>
      <c r="K84" s="4" t="s">
        <v>145</v>
      </c>
      <c r="L84" s="4"/>
      <c r="M84" s="4"/>
      <c r="N84" s="4"/>
      <c r="O84" s="4"/>
      <c r="P84" s="4"/>
      <c r="Q84" s="4"/>
      <c r="R84" s="4"/>
      <c r="S84" s="4"/>
      <c r="T84" s="4"/>
      <c r="U84" s="258"/>
      <c r="V84" s="258"/>
      <c r="W84" s="4"/>
      <c r="X84" s="4"/>
      <c r="Y84" s="4"/>
      <c r="Z84" s="4"/>
      <c r="AA84" s="4"/>
      <c r="AB84" s="4"/>
      <c r="AC84" s="4"/>
      <c r="AD84" s="4"/>
    </row>
    <row r="85" spans="1:95" s="31" customFormat="1" x14ac:dyDescent="0.2">
      <c r="A85" s="508"/>
      <c r="B85" s="428" t="s">
        <v>26</v>
      </c>
      <c r="C85" s="49">
        <v>1.9699999999999999E-2</v>
      </c>
      <c r="D85" s="49">
        <v>1.9699999999999999E-2</v>
      </c>
      <c r="E85" s="49">
        <v>1.9699999999999999E-2</v>
      </c>
      <c r="F85" s="49">
        <v>0.02</v>
      </c>
      <c r="G85" s="49"/>
      <c r="H85" s="49"/>
      <c r="I85" s="49"/>
      <c r="J85" s="49">
        <v>0.02</v>
      </c>
      <c r="K85" s="49" t="s">
        <v>145</v>
      </c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</row>
    <row r="86" spans="1:95" s="188" customFormat="1" x14ac:dyDescent="0.2">
      <c r="A86" s="508"/>
      <c r="B86" s="436" t="s">
        <v>27</v>
      </c>
      <c r="C86" s="126">
        <f t="shared" ref="C86:J86" si="9">C85*C44</f>
        <v>23192.939232000001</v>
      </c>
      <c r="D86" s="126">
        <f t="shared" si="9"/>
        <v>0</v>
      </c>
      <c r="E86" s="126">
        <f t="shared" si="9"/>
        <v>26354.29752</v>
      </c>
      <c r="F86" s="126">
        <f t="shared" si="9"/>
        <v>25901.200800000002</v>
      </c>
      <c r="G86" s="126">
        <f t="shared" si="9"/>
        <v>0</v>
      </c>
      <c r="H86" s="126">
        <f t="shared" si="9"/>
        <v>0</v>
      </c>
      <c r="I86" s="126">
        <f t="shared" si="9"/>
        <v>0</v>
      </c>
      <c r="J86" s="126">
        <f t="shared" si="9"/>
        <v>28293.177599999999</v>
      </c>
      <c r="K86" s="126" t="s">
        <v>145</v>
      </c>
      <c r="L86" s="126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</row>
    <row r="87" spans="1:95" s="43" customFormat="1" x14ac:dyDescent="0.2">
      <c r="A87" s="508"/>
      <c r="B87" s="436" t="s">
        <v>4</v>
      </c>
      <c r="C87" s="91"/>
      <c r="D87" s="91"/>
      <c r="E87" s="91"/>
      <c r="F87" s="91"/>
      <c r="G87" s="91"/>
      <c r="H87" s="91"/>
      <c r="I87" s="91"/>
      <c r="J87" s="91"/>
      <c r="K87" s="91" t="s">
        <v>145</v>
      </c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  <c r="AD87" s="91"/>
    </row>
    <row r="88" spans="1:95" s="46" customFormat="1" ht="13.5" thickBot="1" x14ac:dyDescent="0.25">
      <c r="A88" s="508"/>
      <c r="B88" s="437" t="s">
        <v>34</v>
      </c>
      <c r="C88" s="92"/>
      <c r="D88" s="92"/>
      <c r="E88" s="92"/>
      <c r="F88" s="196"/>
      <c r="G88" s="92"/>
      <c r="H88" s="92"/>
      <c r="I88" s="92"/>
      <c r="J88" s="92"/>
      <c r="K88" s="196" t="s">
        <v>145</v>
      </c>
      <c r="L88" s="196"/>
      <c r="M88" s="196"/>
      <c r="N88" s="196"/>
      <c r="O88" s="196"/>
      <c r="P88" s="196"/>
      <c r="Q88" s="196"/>
      <c r="R88" s="196"/>
      <c r="S88" s="196"/>
      <c r="T88" s="92"/>
      <c r="U88" s="92"/>
      <c r="V88" s="92"/>
      <c r="W88" s="196"/>
      <c r="X88" s="196"/>
      <c r="Y88" s="196"/>
      <c r="Z88" s="196"/>
      <c r="AA88" s="196"/>
      <c r="AB88" s="196"/>
      <c r="AC88" s="196"/>
      <c r="AD88" s="196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</row>
    <row r="89" spans="1:95" s="48" customFormat="1" ht="13.5" thickBot="1" x14ac:dyDescent="0.25">
      <c r="A89" s="508"/>
      <c r="B89" s="438" t="s">
        <v>51</v>
      </c>
      <c r="C89" s="73">
        <v>331204.77</v>
      </c>
      <c r="D89" s="73"/>
      <c r="E89" s="73">
        <v>373805.22</v>
      </c>
      <c r="F89" s="73">
        <v>434666.27</v>
      </c>
      <c r="G89" s="73"/>
      <c r="H89" s="73"/>
      <c r="I89" s="73"/>
      <c r="J89" s="400">
        <v>766427.11</v>
      </c>
      <c r="K89" s="73" t="s">
        <v>145</v>
      </c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400"/>
      <c r="W89" s="73"/>
      <c r="X89" s="73"/>
      <c r="Y89" s="73"/>
      <c r="Z89" s="73"/>
      <c r="AA89" s="73"/>
      <c r="AB89" s="73"/>
      <c r="AC89" s="73"/>
      <c r="AD89" s="73"/>
    </row>
    <row r="90" spans="1:95" s="38" customFormat="1" ht="13.5" thickBot="1" x14ac:dyDescent="0.25">
      <c r="A90" s="508"/>
      <c r="B90" s="439" t="s">
        <v>59</v>
      </c>
      <c r="C90" s="37">
        <f t="shared" ref="C90:J90" si="10">C89/C44*100</f>
        <v>28.132415230914877</v>
      </c>
      <c r="D90" s="37" t="e">
        <f t="shared" si="10"/>
        <v>#DIV/0!</v>
      </c>
      <c r="E90" s="37">
        <f t="shared" si="10"/>
        <v>27.942170829678027</v>
      </c>
      <c r="F90" s="37">
        <f t="shared" si="10"/>
        <v>33.563406836334785</v>
      </c>
      <c r="G90" s="37" t="e">
        <f t="shared" si="10"/>
        <v>#DIV/0!</v>
      </c>
      <c r="H90" s="37" t="e">
        <f t="shared" si="10"/>
        <v>#DIV/0!</v>
      </c>
      <c r="I90" s="37" t="e">
        <f t="shared" si="10"/>
        <v>#DIV/0!</v>
      </c>
      <c r="J90" s="89">
        <f t="shared" si="10"/>
        <v>54.177520873441942</v>
      </c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89"/>
      <c r="W90" s="37"/>
      <c r="X90" s="37"/>
      <c r="Y90" s="37"/>
      <c r="Z90" s="37"/>
      <c r="AA90" s="37"/>
      <c r="AB90" s="37"/>
      <c r="AC90" s="37"/>
      <c r="AD90" s="37"/>
      <c r="AE90" s="390"/>
      <c r="AF90" s="390"/>
      <c r="AG90" s="390"/>
      <c r="AH90" s="390"/>
      <c r="AI90" s="390"/>
      <c r="AJ90" s="390"/>
      <c r="AK90" s="390"/>
      <c r="AL90" s="390"/>
      <c r="AM90" s="390"/>
      <c r="AN90" s="390"/>
      <c r="AO90" s="390"/>
      <c r="AP90" s="390"/>
      <c r="AQ90" s="390"/>
      <c r="AR90" s="390"/>
      <c r="AS90" s="390"/>
      <c r="AT90" s="390"/>
      <c r="AU90" s="390"/>
      <c r="AV90" s="390"/>
      <c r="AW90" s="390"/>
      <c r="AX90" s="390"/>
      <c r="AY90" s="390"/>
      <c r="AZ90" s="390"/>
      <c r="BA90" s="390"/>
      <c r="BB90" s="390"/>
      <c r="BC90" s="390"/>
      <c r="BD90" s="390"/>
      <c r="BE90" s="390"/>
      <c r="BF90" s="390"/>
      <c r="BG90" s="390"/>
      <c r="BH90" s="390"/>
      <c r="BI90" s="390"/>
      <c r="BJ90" s="390"/>
      <c r="BK90" s="390"/>
      <c r="BL90" s="390"/>
      <c r="BM90" s="390"/>
      <c r="BN90" s="390"/>
      <c r="BO90" s="390"/>
      <c r="BP90" s="390"/>
      <c r="BQ90" s="390"/>
      <c r="BR90" s="390"/>
      <c r="BS90" s="390"/>
      <c r="BT90" s="390"/>
      <c r="BU90" s="390"/>
      <c r="BV90" s="390"/>
      <c r="BW90" s="390"/>
      <c r="BX90" s="390"/>
      <c r="BY90" s="390"/>
      <c r="BZ90" s="390"/>
      <c r="CA90" s="390"/>
      <c r="CB90" s="390"/>
      <c r="CC90" s="390"/>
      <c r="CD90" s="390"/>
      <c r="CE90" s="390"/>
      <c r="CF90" s="390"/>
      <c r="CG90" s="390"/>
      <c r="CH90" s="390"/>
      <c r="CI90" s="390"/>
      <c r="CJ90" s="390"/>
      <c r="CK90" s="390"/>
      <c r="CL90" s="390"/>
      <c r="CM90" s="390"/>
      <c r="CN90" s="390"/>
      <c r="CO90" s="390"/>
      <c r="CP90" s="390"/>
      <c r="CQ90" s="390"/>
    </row>
    <row r="91" spans="1:95" s="403" customFormat="1" ht="13.5" thickBot="1" x14ac:dyDescent="0.25">
      <c r="A91" s="508"/>
      <c r="B91" s="401" t="s">
        <v>71</v>
      </c>
      <c r="C91" s="402">
        <f t="shared" ref="C91:J91" si="11">SUM(C57,C59,C63,C61,C69,C71,C73,C75,C77,C79,C82,C84,C86,C87,C88)-C89</f>
        <v>0.10462799994274974</v>
      </c>
      <c r="D91" s="402">
        <f t="shared" si="11"/>
        <v>37861</v>
      </c>
      <c r="E91" s="402">
        <f t="shared" si="11"/>
        <v>-1.5915999945718795E-2</v>
      </c>
      <c r="F91" s="402">
        <f t="shared" si="11"/>
        <v>1.3711999985389411E-2</v>
      </c>
      <c r="G91" s="402">
        <f t="shared" si="11"/>
        <v>0</v>
      </c>
      <c r="H91" s="402">
        <f t="shared" si="11"/>
        <v>0</v>
      </c>
      <c r="I91" s="402">
        <f t="shared" si="11"/>
        <v>0</v>
      </c>
      <c r="J91" s="402">
        <f t="shared" si="11"/>
        <v>0.67453200009185821</v>
      </c>
      <c r="K91" s="402"/>
      <c r="L91" s="402"/>
      <c r="M91" s="402"/>
      <c r="N91" s="402"/>
      <c r="O91" s="402"/>
      <c r="P91" s="402"/>
      <c r="Q91" s="402"/>
      <c r="R91" s="402"/>
      <c r="S91" s="402"/>
      <c r="T91" s="402"/>
      <c r="U91" s="402"/>
      <c r="V91" s="402"/>
      <c r="W91" s="402"/>
      <c r="X91" s="402"/>
      <c r="Y91" s="402"/>
      <c r="Z91" s="402"/>
      <c r="AA91" s="402"/>
      <c r="AB91" s="402"/>
      <c r="AC91" s="402"/>
      <c r="AD91" s="402"/>
      <c r="AE91" s="100"/>
      <c r="AF91" s="100"/>
      <c r="AG91" s="100"/>
      <c r="AH91" s="100"/>
      <c r="AI91" s="100"/>
      <c r="AJ91" s="100"/>
      <c r="AK91" s="100"/>
      <c r="AL91" s="100"/>
      <c r="AM91" s="100"/>
      <c r="AN91" s="100"/>
      <c r="AO91" s="100"/>
      <c r="AP91" s="100"/>
      <c r="AQ91" s="100"/>
      <c r="AR91" s="100"/>
      <c r="AS91" s="100"/>
      <c r="AT91" s="100"/>
      <c r="AU91" s="100"/>
      <c r="AV91" s="100"/>
      <c r="AW91" s="100"/>
      <c r="AX91" s="100"/>
      <c r="AY91" s="100"/>
      <c r="AZ91" s="100"/>
      <c r="BA91" s="100"/>
      <c r="BB91" s="100"/>
      <c r="BC91" s="100"/>
      <c r="BD91" s="100"/>
      <c r="BE91" s="100"/>
      <c r="BF91" s="100"/>
      <c r="BG91" s="100"/>
      <c r="BH91" s="100"/>
      <c r="BI91" s="100"/>
      <c r="BJ91" s="100"/>
      <c r="BK91" s="100"/>
      <c r="BL91" s="100"/>
      <c r="BM91" s="100"/>
      <c r="BN91" s="100"/>
      <c r="BO91" s="100"/>
      <c r="BP91" s="100"/>
      <c r="BQ91" s="100"/>
      <c r="BR91" s="100"/>
      <c r="BS91" s="100"/>
      <c r="BT91" s="100"/>
      <c r="BU91" s="100"/>
      <c r="BV91" s="100"/>
      <c r="BW91" s="100"/>
      <c r="BX91" s="100"/>
      <c r="BY91" s="100"/>
      <c r="BZ91" s="100"/>
      <c r="CA91" s="100"/>
      <c r="CB91" s="100"/>
      <c r="CC91" s="100"/>
      <c r="CD91" s="100"/>
      <c r="CE91" s="100"/>
      <c r="CF91" s="100"/>
      <c r="CG91" s="100"/>
      <c r="CH91" s="100"/>
      <c r="CI91" s="100"/>
      <c r="CJ91" s="100"/>
      <c r="CK91" s="100"/>
      <c r="CL91" s="100"/>
      <c r="CM91" s="100"/>
      <c r="CN91" s="100"/>
      <c r="CO91" s="100"/>
      <c r="CP91" s="100"/>
      <c r="CQ91" s="100"/>
    </row>
    <row r="92" spans="1:95" s="406" customFormat="1" ht="13.5" thickBot="1" x14ac:dyDescent="0.25">
      <c r="A92" s="509"/>
      <c r="B92" s="404" t="s">
        <v>72</v>
      </c>
      <c r="C92" s="405">
        <f t="shared" ref="C92:I92" si="12">C91/C89</f>
        <v>3.1590124726388977E-7</v>
      </c>
      <c r="D92" s="405" t="e">
        <f t="shared" si="12"/>
        <v>#DIV/0!</v>
      </c>
      <c r="E92" s="405">
        <f t="shared" si="12"/>
        <v>-4.2578324469943987E-8</v>
      </c>
      <c r="F92" s="405">
        <f t="shared" si="12"/>
        <v>3.1546041024506939E-8</v>
      </c>
      <c r="G92" s="405" t="e">
        <f t="shared" si="12"/>
        <v>#DIV/0!</v>
      </c>
      <c r="H92" s="405" t="e">
        <f t="shared" si="12"/>
        <v>#DIV/0!</v>
      </c>
      <c r="I92" s="405" t="e">
        <f t="shared" si="12"/>
        <v>#DIV/0!</v>
      </c>
      <c r="J92" s="405">
        <f>J91/J89</f>
        <v>8.800993483801196E-7</v>
      </c>
      <c r="K92" s="405"/>
      <c r="L92" s="405"/>
      <c r="M92" s="405"/>
      <c r="N92" s="405"/>
      <c r="O92" s="405"/>
      <c r="P92" s="405"/>
      <c r="Q92" s="405"/>
      <c r="R92" s="405"/>
      <c r="S92" s="405"/>
      <c r="T92" s="405"/>
      <c r="U92" s="405"/>
      <c r="V92" s="405"/>
      <c r="W92" s="405"/>
      <c r="X92" s="405"/>
      <c r="Y92" s="405"/>
      <c r="Z92" s="405"/>
      <c r="AA92" s="405"/>
      <c r="AB92" s="405"/>
      <c r="AC92" s="405"/>
      <c r="AD92" s="405"/>
      <c r="AE92" s="391"/>
      <c r="AF92" s="391"/>
      <c r="AG92" s="391"/>
      <c r="AH92" s="391"/>
      <c r="AI92" s="391"/>
      <c r="AJ92" s="391"/>
      <c r="AK92" s="391"/>
      <c r="AL92" s="391"/>
      <c r="AM92" s="391"/>
      <c r="AN92" s="391"/>
      <c r="AO92" s="391"/>
      <c r="AP92" s="391"/>
      <c r="AQ92" s="391"/>
      <c r="AR92" s="391"/>
      <c r="AS92" s="391"/>
      <c r="AT92" s="391"/>
      <c r="AU92" s="391"/>
      <c r="AV92" s="391"/>
      <c r="AW92" s="391"/>
      <c r="AX92" s="391"/>
      <c r="AY92" s="391"/>
      <c r="AZ92" s="391"/>
      <c r="BA92" s="391"/>
      <c r="BB92" s="391"/>
      <c r="BC92" s="391"/>
      <c r="BD92" s="391"/>
      <c r="BE92" s="391"/>
      <c r="BF92" s="391"/>
      <c r="BG92" s="391"/>
      <c r="BH92" s="391"/>
      <c r="BI92" s="391"/>
      <c r="BJ92" s="391"/>
      <c r="BK92" s="391"/>
      <c r="BL92" s="391"/>
      <c r="BM92" s="391"/>
      <c r="BN92" s="391"/>
      <c r="BO92" s="391"/>
      <c r="BP92" s="391"/>
      <c r="BQ92" s="391"/>
      <c r="BR92" s="391"/>
      <c r="BS92" s="391"/>
      <c r="BT92" s="391"/>
      <c r="BU92" s="391"/>
      <c r="BV92" s="391"/>
      <c r="BW92" s="391"/>
      <c r="BX92" s="391"/>
      <c r="BY92" s="391"/>
      <c r="BZ92" s="391"/>
      <c r="CA92" s="391"/>
      <c r="CB92" s="391"/>
      <c r="CC92" s="391"/>
      <c r="CD92" s="391"/>
      <c r="CE92" s="391"/>
      <c r="CF92" s="391"/>
      <c r="CG92" s="391"/>
      <c r="CH92" s="391"/>
      <c r="CI92" s="391"/>
      <c r="CJ92" s="391"/>
      <c r="CK92" s="391"/>
      <c r="CL92" s="391"/>
      <c r="CM92" s="391"/>
      <c r="CN92" s="391"/>
      <c r="CO92" s="391"/>
      <c r="CP92" s="391"/>
      <c r="CQ92" s="391"/>
    </row>
    <row r="93" spans="1:95" s="362" customFormat="1" x14ac:dyDescent="0.2">
      <c r="B93" s="394"/>
      <c r="C93" s="318"/>
      <c r="D93" s="318"/>
      <c r="E93" s="318"/>
      <c r="F93" s="318"/>
      <c r="G93" s="318"/>
      <c r="H93" s="318"/>
      <c r="I93" s="318"/>
      <c r="J93" s="466"/>
      <c r="K93" s="318"/>
      <c r="L93" s="318"/>
      <c r="M93" s="318"/>
      <c r="N93" s="318"/>
      <c r="O93" s="318"/>
      <c r="P93" s="318"/>
      <c r="Q93" s="318"/>
      <c r="R93" s="318"/>
      <c r="S93" s="318"/>
      <c r="T93" s="318"/>
      <c r="U93" s="318"/>
      <c r="V93" s="466"/>
      <c r="W93" s="318"/>
      <c r="X93" s="318"/>
      <c r="Y93" s="318"/>
      <c r="Z93" s="318"/>
      <c r="AA93" s="318"/>
      <c r="AB93" s="318"/>
      <c r="AC93" s="318"/>
      <c r="AD93" s="318"/>
    </row>
    <row r="94" spans="1:95" s="396" customFormat="1" ht="13.5" thickBot="1" x14ac:dyDescent="0.25">
      <c r="B94" s="397" t="s">
        <v>157</v>
      </c>
      <c r="C94" s="398"/>
      <c r="D94" s="398"/>
      <c r="E94" s="398"/>
      <c r="F94" s="398"/>
      <c r="G94" s="398"/>
      <c r="H94" s="398"/>
      <c r="I94" s="398"/>
      <c r="J94" s="467"/>
      <c r="K94" s="398"/>
      <c r="L94" s="398"/>
      <c r="M94" s="398"/>
      <c r="N94" s="398"/>
      <c r="O94" s="398"/>
      <c r="P94" s="398"/>
      <c r="Q94" s="398"/>
      <c r="R94" s="398"/>
      <c r="S94" s="398"/>
      <c r="T94" s="398"/>
      <c r="U94" s="398"/>
      <c r="V94" s="467"/>
      <c r="W94" s="398"/>
      <c r="X94" s="398"/>
      <c r="Y94" s="398"/>
      <c r="Z94" s="398"/>
      <c r="AA94" s="398"/>
      <c r="AB94" s="398"/>
      <c r="AC94" s="398"/>
      <c r="AD94" s="398"/>
      <c r="AE94" s="362"/>
      <c r="AF94" s="362"/>
      <c r="AG94" s="362"/>
      <c r="AH94" s="362"/>
      <c r="AI94" s="362"/>
      <c r="AJ94" s="362"/>
      <c r="AK94" s="362"/>
      <c r="AL94" s="362"/>
      <c r="AM94" s="362"/>
      <c r="AN94" s="362"/>
      <c r="AO94" s="362"/>
      <c r="AP94" s="362"/>
      <c r="AQ94" s="362"/>
      <c r="AR94" s="362"/>
      <c r="AS94" s="362"/>
      <c r="AT94" s="362"/>
      <c r="AU94" s="362"/>
      <c r="AV94" s="362"/>
      <c r="AW94" s="362"/>
      <c r="AX94" s="362"/>
      <c r="AY94" s="362"/>
      <c r="AZ94" s="362"/>
      <c r="BA94" s="362"/>
      <c r="BB94" s="362"/>
      <c r="BC94" s="362"/>
      <c r="BD94" s="362"/>
      <c r="BE94" s="362"/>
      <c r="BF94" s="362"/>
      <c r="BG94" s="362"/>
      <c r="BH94" s="362"/>
      <c r="BI94" s="362"/>
      <c r="BJ94" s="362"/>
      <c r="BK94" s="362"/>
      <c r="BL94" s="362"/>
      <c r="BM94" s="362"/>
      <c r="BN94" s="362"/>
      <c r="BO94" s="362"/>
      <c r="BP94" s="362"/>
      <c r="BQ94" s="362"/>
      <c r="BR94" s="362"/>
      <c r="BS94" s="362"/>
      <c r="BT94" s="362"/>
      <c r="BU94" s="362"/>
      <c r="BV94" s="362"/>
      <c r="BW94" s="362"/>
      <c r="BX94" s="362"/>
      <c r="BY94" s="362"/>
      <c r="BZ94" s="362"/>
      <c r="CA94" s="362"/>
      <c r="CB94" s="362"/>
      <c r="CC94" s="362"/>
      <c r="CD94" s="362"/>
      <c r="CE94" s="362"/>
      <c r="CF94" s="362"/>
      <c r="CG94" s="362"/>
      <c r="CH94" s="362"/>
      <c r="CI94" s="362"/>
      <c r="CJ94" s="362"/>
      <c r="CK94" s="362"/>
      <c r="CL94" s="362"/>
      <c r="CM94" s="362"/>
      <c r="CN94" s="362"/>
      <c r="CO94" s="362"/>
      <c r="CP94" s="362"/>
      <c r="CQ94" s="362"/>
    </row>
    <row r="95" spans="1:95" s="67" customFormat="1" ht="13.5" customHeight="1" x14ac:dyDescent="0.2">
      <c r="A95" s="510" t="s">
        <v>155</v>
      </c>
      <c r="B95" s="440" t="s">
        <v>56</v>
      </c>
      <c r="AE95" s="124"/>
      <c r="AF95" s="124"/>
      <c r="AG95" s="124"/>
      <c r="AH95" s="124"/>
      <c r="AI95" s="124"/>
      <c r="AJ95" s="124"/>
      <c r="AK95" s="124"/>
      <c r="AL95" s="124"/>
      <c r="AM95" s="124"/>
      <c r="AN95" s="124"/>
      <c r="AO95" s="124"/>
      <c r="AP95" s="124"/>
      <c r="AQ95" s="124"/>
      <c r="AR95" s="124"/>
      <c r="AS95" s="124"/>
      <c r="AT95" s="124"/>
      <c r="AU95" s="124"/>
      <c r="AV95" s="124"/>
      <c r="AW95" s="124"/>
      <c r="AX95" s="124"/>
      <c r="AY95" s="124"/>
      <c r="AZ95" s="124"/>
      <c r="BA95" s="124"/>
      <c r="BB95" s="124"/>
      <c r="BC95" s="124"/>
      <c r="BD95" s="124"/>
      <c r="BE95" s="124"/>
      <c r="BF95" s="124"/>
      <c r="BG95" s="124"/>
      <c r="BH95" s="124"/>
      <c r="BI95" s="124"/>
      <c r="BJ95" s="124"/>
      <c r="BK95" s="124"/>
      <c r="BL95" s="124"/>
      <c r="BM95" s="124"/>
      <c r="BN95" s="124"/>
      <c r="BO95" s="124"/>
      <c r="BP95" s="124"/>
      <c r="BQ95" s="124"/>
      <c r="BR95" s="124"/>
      <c r="BS95" s="124"/>
      <c r="BT95" s="124"/>
      <c r="BU95" s="124"/>
      <c r="BV95" s="124"/>
      <c r="BW95" s="124"/>
      <c r="BX95" s="124"/>
      <c r="BY95" s="124"/>
      <c r="BZ95" s="124"/>
      <c r="CA95" s="124"/>
      <c r="CB95" s="124"/>
      <c r="CC95" s="124"/>
      <c r="CD95" s="124"/>
      <c r="CE95" s="124"/>
      <c r="CF95" s="124"/>
      <c r="CG95" s="124"/>
      <c r="CH95" s="124"/>
      <c r="CI95" s="124"/>
      <c r="CJ95" s="124"/>
      <c r="CK95" s="124"/>
      <c r="CL95" s="124"/>
      <c r="CM95" s="124"/>
      <c r="CN95" s="124"/>
      <c r="CO95" s="124"/>
      <c r="CP95" s="124"/>
      <c r="CQ95" s="124"/>
    </row>
    <row r="96" spans="1:95" s="75" customFormat="1" x14ac:dyDescent="0.2">
      <c r="A96" s="511"/>
      <c r="B96" s="408" t="s">
        <v>55</v>
      </c>
      <c r="C96" s="125"/>
      <c r="D96" s="125"/>
      <c r="E96" s="125"/>
      <c r="F96" s="125"/>
      <c r="G96" s="125"/>
      <c r="H96" s="125"/>
      <c r="I96" s="125"/>
      <c r="J96" s="125"/>
      <c r="K96" s="125"/>
      <c r="L96" s="125"/>
      <c r="M96" s="125"/>
      <c r="N96" s="125"/>
      <c r="O96" s="125"/>
      <c r="P96" s="125"/>
      <c r="Q96" s="125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4"/>
      <c r="AF96" s="124"/>
      <c r="AG96" s="124"/>
      <c r="AH96" s="124"/>
      <c r="AI96" s="124"/>
      <c r="AJ96" s="124"/>
      <c r="AK96" s="124"/>
      <c r="AL96" s="124"/>
      <c r="AM96" s="124"/>
      <c r="AN96" s="124"/>
      <c r="AO96" s="124"/>
      <c r="AP96" s="124"/>
      <c r="AQ96" s="124"/>
      <c r="AR96" s="124"/>
      <c r="AS96" s="124"/>
      <c r="AT96" s="124"/>
      <c r="AU96" s="124"/>
      <c r="AV96" s="124"/>
      <c r="AW96" s="124"/>
      <c r="AX96" s="124"/>
      <c r="AY96" s="124"/>
      <c r="AZ96" s="124"/>
      <c r="BA96" s="124"/>
      <c r="BB96" s="124"/>
      <c r="BC96" s="124"/>
      <c r="BD96" s="124"/>
      <c r="BE96" s="124"/>
      <c r="BF96" s="124"/>
      <c r="BG96" s="124"/>
      <c r="BH96" s="124"/>
      <c r="BI96" s="124"/>
      <c r="BJ96" s="124"/>
      <c r="BK96" s="124"/>
      <c r="BL96" s="124"/>
      <c r="BM96" s="124"/>
      <c r="BN96" s="124"/>
      <c r="BO96" s="124"/>
      <c r="BP96" s="124"/>
      <c r="BQ96" s="124"/>
      <c r="BR96" s="124"/>
      <c r="BS96" s="124"/>
      <c r="BT96" s="124"/>
      <c r="BU96" s="124"/>
      <c r="BV96" s="124"/>
      <c r="BW96" s="124"/>
      <c r="BX96" s="124"/>
      <c r="BY96" s="124"/>
      <c r="BZ96" s="124"/>
      <c r="CA96" s="124"/>
      <c r="CB96" s="124"/>
      <c r="CC96" s="124"/>
      <c r="CD96" s="124"/>
      <c r="CE96" s="124"/>
      <c r="CF96" s="124"/>
      <c r="CG96" s="124"/>
      <c r="CH96" s="124"/>
      <c r="CI96" s="124"/>
      <c r="CJ96" s="124"/>
      <c r="CK96" s="124"/>
      <c r="CL96" s="124"/>
      <c r="CM96" s="124"/>
      <c r="CN96" s="124"/>
      <c r="CO96" s="124"/>
      <c r="CP96" s="124"/>
      <c r="CQ96" s="124"/>
    </row>
    <row r="97" spans="1:95" s="76" customFormat="1" ht="12.75" customHeight="1" x14ac:dyDescent="0.2">
      <c r="A97" s="511"/>
      <c r="B97" s="409" t="s">
        <v>14</v>
      </c>
      <c r="C97" s="79"/>
      <c r="D97" s="79"/>
      <c r="E97" s="79"/>
      <c r="F97" s="79"/>
      <c r="G97" s="79"/>
      <c r="H97" s="79"/>
      <c r="I97" s="237"/>
      <c r="J97" s="237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237"/>
      <c r="V97" s="237"/>
      <c r="W97" s="79"/>
      <c r="X97" s="79"/>
      <c r="Y97" s="79"/>
      <c r="Z97" s="79"/>
      <c r="AA97" s="79"/>
      <c r="AB97" s="79"/>
      <c r="AC97" s="79"/>
      <c r="AD97" s="79"/>
      <c r="AE97" s="123"/>
      <c r="AF97" s="123"/>
      <c r="AG97" s="123"/>
      <c r="AH97" s="123"/>
      <c r="AI97" s="123"/>
      <c r="AJ97" s="123"/>
      <c r="AK97" s="123"/>
      <c r="AL97" s="123"/>
      <c r="AM97" s="123"/>
      <c r="AN97" s="123"/>
      <c r="AO97" s="123"/>
      <c r="AP97" s="123"/>
      <c r="AQ97" s="123"/>
      <c r="AR97" s="123"/>
      <c r="AS97" s="123"/>
      <c r="AT97" s="123"/>
      <c r="AU97" s="123"/>
      <c r="AV97" s="123"/>
      <c r="AW97" s="123"/>
      <c r="AX97" s="123"/>
      <c r="AY97" s="123"/>
      <c r="AZ97" s="123"/>
      <c r="BA97" s="123"/>
      <c r="BB97" s="123"/>
      <c r="BC97" s="123"/>
      <c r="BD97" s="123"/>
      <c r="BE97" s="123"/>
      <c r="BF97" s="123"/>
      <c r="BG97" s="123"/>
      <c r="BH97" s="123"/>
      <c r="BI97" s="123"/>
      <c r="BJ97" s="123"/>
      <c r="BK97" s="123"/>
      <c r="BL97" s="123"/>
      <c r="BM97" s="123"/>
      <c r="BN97" s="123"/>
      <c r="BO97" s="123"/>
      <c r="BP97" s="123"/>
      <c r="BQ97" s="123"/>
      <c r="BR97" s="123"/>
      <c r="BS97" s="123"/>
      <c r="BT97" s="123"/>
      <c r="BU97" s="123"/>
      <c r="BV97" s="123"/>
      <c r="BW97" s="123"/>
      <c r="BX97" s="123"/>
      <c r="BY97" s="123"/>
      <c r="BZ97" s="123"/>
      <c r="CA97" s="123"/>
      <c r="CB97" s="123"/>
      <c r="CC97" s="123"/>
      <c r="CD97" s="123"/>
      <c r="CE97" s="123"/>
      <c r="CF97" s="123"/>
      <c r="CG97" s="123"/>
      <c r="CH97" s="123"/>
      <c r="CI97" s="123"/>
      <c r="CJ97" s="123"/>
      <c r="CK97" s="123"/>
      <c r="CL97" s="123"/>
      <c r="CM97" s="123"/>
      <c r="CN97" s="123"/>
      <c r="CO97" s="123"/>
      <c r="CP97" s="123"/>
      <c r="CQ97" s="123"/>
    </row>
    <row r="98" spans="1:95" s="123" customFormat="1" x14ac:dyDescent="0.2">
      <c r="A98" s="511"/>
      <c r="B98" s="410" t="s">
        <v>15</v>
      </c>
      <c r="C98" s="237"/>
      <c r="D98" s="237"/>
      <c r="E98" s="237"/>
      <c r="F98" s="237"/>
      <c r="G98" s="237"/>
      <c r="H98" s="237"/>
      <c r="I98" s="237"/>
      <c r="J98" s="237"/>
      <c r="K98" s="237"/>
      <c r="L98" s="237"/>
      <c r="M98" s="237"/>
      <c r="N98" s="237"/>
      <c r="O98" s="237"/>
      <c r="P98" s="237"/>
      <c r="Q98" s="237"/>
      <c r="R98" s="237"/>
      <c r="S98" s="237"/>
      <c r="T98" s="237"/>
      <c r="U98" s="237"/>
      <c r="V98" s="237"/>
      <c r="W98" s="237"/>
      <c r="X98" s="237"/>
      <c r="Y98" s="237"/>
      <c r="Z98" s="237"/>
      <c r="AA98" s="237"/>
      <c r="AB98" s="237"/>
      <c r="AC98" s="237"/>
      <c r="AD98" s="237"/>
    </row>
    <row r="99" spans="1:95" s="240" customFormat="1" ht="12.75" customHeight="1" x14ac:dyDescent="0.2">
      <c r="A99" s="511"/>
      <c r="B99" s="411" t="s">
        <v>16</v>
      </c>
      <c r="C99" s="236"/>
      <c r="D99" s="236"/>
      <c r="E99" s="236"/>
      <c r="F99" s="236"/>
      <c r="G99" s="236"/>
      <c r="H99" s="236"/>
      <c r="I99" s="236"/>
      <c r="J99" s="236"/>
      <c r="K99" s="236"/>
      <c r="L99" s="236"/>
      <c r="M99" s="236"/>
      <c r="N99" s="236"/>
      <c r="O99" s="236"/>
      <c r="P99" s="236"/>
      <c r="Q99" s="236"/>
      <c r="R99" s="236"/>
      <c r="S99" s="236"/>
      <c r="T99" s="236"/>
      <c r="U99" s="236"/>
      <c r="V99" s="236"/>
      <c r="W99" s="236"/>
      <c r="X99" s="236"/>
      <c r="Y99" s="236"/>
      <c r="Z99" s="236"/>
      <c r="AA99" s="236"/>
      <c r="AB99" s="236"/>
      <c r="AC99" s="236"/>
      <c r="AD99" s="236"/>
      <c r="AE99" s="123"/>
      <c r="AF99" s="123"/>
      <c r="AG99" s="123"/>
      <c r="AH99" s="123"/>
      <c r="AI99" s="123"/>
      <c r="AJ99" s="123"/>
      <c r="AK99" s="123"/>
      <c r="AL99" s="123"/>
      <c r="AM99" s="123"/>
      <c r="AN99" s="123"/>
      <c r="AO99" s="123"/>
      <c r="AP99" s="123"/>
      <c r="AQ99" s="123"/>
      <c r="AR99" s="123"/>
      <c r="AS99" s="123"/>
      <c r="AT99" s="123"/>
      <c r="AU99" s="123"/>
      <c r="AV99" s="123"/>
      <c r="AW99" s="123"/>
      <c r="AX99" s="123"/>
      <c r="AY99" s="123"/>
      <c r="AZ99" s="123"/>
      <c r="BA99" s="123"/>
      <c r="BB99" s="123"/>
      <c r="BC99" s="123"/>
      <c r="BD99" s="123"/>
      <c r="BE99" s="123"/>
      <c r="BF99" s="123"/>
      <c r="BG99" s="123"/>
      <c r="BH99" s="123"/>
      <c r="BI99" s="123"/>
      <c r="BJ99" s="123"/>
      <c r="BK99" s="123"/>
      <c r="BL99" s="123"/>
      <c r="BM99" s="123"/>
      <c r="BN99" s="123"/>
      <c r="BO99" s="123"/>
      <c r="BP99" s="123"/>
      <c r="BQ99" s="123"/>
      <c r="BR99" s="123"/>
      <c r="BS99" s="123"/>
      <c r="BT99" s="123"/>
      <c r="BU99" s="123"/>
      <c r="BV99" s="123"/>
      <c r="BW99" s="123"/>
      <c r="BX99" s="123"/>
      <c r="BY99" s="123"/>
      <c r="BZ99" s="123"/>
      <c r="CA99" s="123"/>
      <c r="CB99" s="123"/>
      <c r="CC99" s="123"/>
      <c r="CD99" s="123"/>
      <c r="CE99" s="123"/>
      <c r="CF99" s="123"/>
      <c r="CG99" s="123"/>
      <c r="CH99" s="123"/>
      <c r="CI99" s="123"/>
      <c r="CJ99" s="123"/>
      <c r="CK99" s="123"/>
      <c r="CL99" s="123"/>
      <c r="CM99" s="123"/>
      <c r="CN99" s="123"/>
      <c r="CO99" s="123"/>
      <c r="CP99" s="123"/>
      <c r="CQ99" s="123"/>
    </row>
    <row r="100" spans="1:95" s="111" customFormat="1" x14ac:dyDescent="0.2">
      <c r="A100" s="511"/>
      <c r="B100" s="412" t="s">
        <v>17</v>
      </c>
      <c r="C100" s="110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  <c r="AA100" s="110"/>
      <c r="AB100" s="110"/>
      <c r="AC100" s="110"/>
      <c r="AD100" s="110"/>
    </row>
    <row r="101" spans="1:95" s="82" customFormat="1" x14ac:dyDescent="0.2">
      <c r="A101" s="511"/>
      <c r="B101" s="413" t="s">
        <v>12</v>
      </c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242"/>
      <c r="AF101" s="242"/>
      <c r="AG101" s="242"/>
      <c r="AH101" s="242"/>
      <c r="AI101" s="242"/>
      <c r="AJ101" s="242"/>
      <c r="AK101" s="242"/>
      <c r="AL101" s="242"/>
      <c r="AM101" s="242"/>
      <c r="AN101" s="242"/>
      <c r="AO101" s="242"/>
      <c r="AP101" s="242"/>
      <c r="AQ101" s="242"/>
      <c r="AR101" s="242"/>
      <c r="AS101" s="242"/>
      <c r="AT101" s="242"/>
      <c r="AU101" s="242"/>
      <c r="AV101" s="242"/>
      <c r="AW101" s="242"/>
      <c r="AX101" s="242"/>
      <c r="AY101" s="242"/>
      <c r="AZ101" s="242"/>
      <c r="BA101" s="242"/>
      <c r="BB101" s="242"/>
      <c r="BC101" s="242"/>
      <c r="BD101" s="242"/>
      <c r="BE101" s="242"/>
      <c r="BF101" s="242"/>
      <c r="BG101" s="242"/>
      <c r="BH101" s="242"/>
      <c r="BI101" s="242"/>
      <c r="BJ101" s="242"/>
      <c r="BK101" s="242"/>
      <c r="BL101" s="242"/>
      <c r="BM101" s="242"/>
      <c r="BN101" s="242"/>
      <c r="BO101" s="242"/>
      <c r="BP101" s="242"/>
      <c r="BQ101" s="242"/>
      <c r="BR101" s="242"/>
      <c r="BS101" s="242"/>
      <c r="BT101" s="242"/>
      <c r="BU101" s="242"/>
      <c r="BV101" s="242"/>
      <c r="BW101" s="242"/>
      <c r="BX101" s="242"/>
      <c r="BY101" s="242"/>
      <c r="BZ101" s="242"/>
      <c r="CA101" s="242"/>
      <c r="CB101" s="242"/>
      <c r="CC101" s="242"/>
      <c r="CD101" s="242"/>
      <c r="CE101" s="242"/>
      <c r="CF101" s="242"/>
      <c r="CG101" s="242"/>
      <c r="CH101" s="242"/>
      <c r="CI101" s="242"/>
      <c r="CJ101" s="242"/>
      <c r="CK101" s="242"/>
      <c r="CL101" s="242"/>
      <c r="CM101" s="242"/>
      <c r="CN101" s="242"/>
      <c r="CO101" s="242"/>
      <c r="CP101" s="242"/>
      <c r="CQ101" s="242"/>
    </row>
    <row r="102" spans="1:95" s="242" customFormat="1" x14ac:dyDescent="0.2">
      <c r="A102" s="511"/>
      <c r="B102" s="414" t="s">
        <v>6</v>
      </c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</row>
    <row r="103" spans="1:95" s="242" customFormat="1" x14ac:dyDescent="0.2">
      <c r="A103" s="511"/>
      <c r="B103" s="415" t="s">
        <v>13</v>
      </c>
      <c r="C103" s="93"/>
      <c r="D103" s="93"/>
      <c r="E103" s="93"/>
      <c r="F103" s="93"/>
      <c r="G103" s="93"/>
      <c r="H103" s="16"/>
      <c r="I103" s="16"/>
      <c r="J103" s="16"/>
      <c r="K103" s="93"/>
      <c r="L103" s="93"/>
      <c r="M103" s="93"/>
      <c r="N103" s="93"/>
      <c r="O103" s="93"/>
      <c r="P103" s="93"/>
      <c r="Q103" s="93"/>
      <c r="R103" s="93"/>
      <c r="S103" s="93"/>
      <c r="T103" s="16"/>
      <c r="U103" s="16"/>
      <c r="V103" s="16"/>
      <c r="W103" s="93"/>
      <c r="X103" s="93"/>
      <c r="Y103" s="93"/>
      <c r="Z103" s="93"/>
      <c r="AA103" s="93"/>
      <c r="AB103" s="93"/>
      <c r="AC103" s="93"/>
      <c r="AD103" s="93"/>
    </row>
    <row r="104" spans="1:95" s="100" customFormat="1" ht="13.5" thickBot="1" x14ac:dyDescent="0.25">
      <c r="A104" s="511"/>
      <c r="B104" s="416" t="s">
        <v>18</v>
      </c>
      <c r="C104" s="101"/>
      <c r="D104" s="101"/>
      <c r="E104" s="101"/>
      <c r="F104" s="101"/>
      <c r="G104" s="101"/>
      <c r="H104" s="245"/>
      <c r="I104" s="245"/>
      <c r="J104" s="245"/>
      <c r="K104" s="101"/>
      <c r="L104" s="101"/>
      <c r="M104" s="101"/>
      <c r="N104" s="101"/>
      <c r="O104" s="101"/>
      <c r="P104" s="101"/>
      <c r="Q104" s="101"/>
      <c r="R104" s="101"/>
      <c r="S104" s="101"/>
      <c r="T104" s="245"/>
      <c r="U104" s="245"/>
      <c r="V104" s="245"/>
      <c r="W104" s="101"/>
      <c r="X104" s="101"/>
      <c r="Y104" s="101"/>
      <c r="Z104" s="101"/>
      <c r="AA104" s="101"/>
      <c r="AB104" s="101"/>
      <c r="AC104" s="101"/>
      <c r="AD104" s="101"/>
    </row>
    <row r="105" spans="1:95" s="28" customFormat="1" x14ac:dyDescent="0.2">
      <c r="A105" s="511"/>
      <c r="B105" s="417" t="s">
        <v>19</v>
      </c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  <c r="CP105" s="29"/>
      <c r="CQ105" s="29"/>
    </row>
    <row r="106" spans="1:95" s="29" customFormat="1" x14ac:dyDescent="0.2">
      <c r="A106" s="511"/>
      <c r="B106" s="418" t="s">
        <v>20</v>
      </c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</row>
    <row r="107" spans="1:95" s="29" customFormat="1" x14ac:dyDescent="0.2">
      <c r="A107" s="511"/>
      <c r="B107" s="419" t="s">
        <v>21</v>
      </c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</row>
    <row r="108" spans="1:95" s="186" customFormat="1" ht="13.5" thickBot="1" x14ac:dyDescent="0.25">
      <c r="A108" s="511"/>
      <c r="B108" s="420" t="s">
        <v>28</v>
      </c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  <c r="AA108" s="184"/>
      <c r="AB108" s="184"/>
      <c r="AC108" s="184"/>
      <c r="AD108" s="184"/>
      <c r="AE108" s="322"/>
      <c r="AF108" s="322"/>
      <c r="AG108" s="322"/>
      <c r="AH108" s="322"/>
      <c r="AI108" s="322"/>
      <c r="AJ108" s="322"/>
      <c r="AK108" s="322"/>
      <c r="AL108" s="322"/>
      <c r="AM108" s="322"/>
      <c r="AN108" s="322"/>
      <c r="AO108" s="322"/>
      <c r="AP108" s="322"/>
      <c r="AQ108" s="322"/>
      <c r="AR108" s="322"/>
      <c r="AS108" s="322"/>
      <c r="AT108" s="322"/>
      <c r="AU108" s="322"/>
      <c r="AV108" s="322"/>
      <c r="AW108" s="322"/>
      <c r="AX108" s="322"/>
      <c r="AY108" s="322"/>
      <c r="AZ108" s="322"/>
      <c r="BA108" s="322"/>
      <c r="BB108" s="322"/>
      <c r="BC108" s="322"/>
      <c r="BD108" s="322"/>
      <c r="BE108" s="322"/>
      <c r="BF108" s="322"/>
      <c r="BG108" s="322"/>
      <c r="BH108" s="322"/>
      <c r="BI108" s="322"/>
      <c r="BJ108" s="322"/>
      <c r="BK108" s="322"/>
      <c r="BL108" s="322"/>
      <c r="BM108" s="322"/>
      <c r="BN108" s="322"/>
      <c r="BO108" s="463"/>
      <c r="BP108" s="463"/>
      <c r="BQ108" s="463"/>
      <c r="BR108" s="463"/>
      <c r="BS108" s="463"/>
      <c r="BT108" s="463"/>
      <c r="BU108" s="463"/>
      <c r="BV108" s="463"/>
      <c r="BW108" s="463"/>
      <c r="BX108" s="463"/>
      <c r="BY108" s="463"/>
      <c r="BZ108" s="463"/>
      <c r="CA108" s="463"/>
      <c r="CB108" s="463"/>
      <c r="CC108" s="463"/>
      <c r="CD108" s="463"/>
      <c r="CE108" s="463"/>
      <c r="CF108" s="463"/>
      <c r="CG108" s="463"/>
      <c r="CH108" s="463"/>
      <c r="CI108" s="463"/>
      <c r="CJ108" s="463"/>
      <c r="CK108" s="463"/>
      <c r="CL108" s="463"/>
      <c r="CM108" s="463"/>
      <c r="CN108" s="463"/>
      <c r="CO108" s="463"/>
      <c r="CP108" s="463"/>
      <c r="CQ108" s="463"/>
    </row>
    <row r="109" spans="1:95" s="8" customFormat="1" x14ac:dyDescent="0.2">
      <c r="A109" s="511"/>
      <c r="B109" s="421" t="s">
        <v>22</v>
      </c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387"/>
      <c r="AF109" s="387"/>
      <c r="AG109" s="387"/>
      <c r="AH109" s="387"/>
      <c r="AI109" s="387"/>
      <c r="AJ109" s="387"/>
      <c r="AK109" s="387"/>
      <c r="AL109" s="387"/>
      <c r="AM109" s="387"/>
      <c r="AN109" s="387"/>
      <c r="AO109" s="387"/>
      <c r="AP109" s="387"/>
      <c r="AQ109" s="387"/>
      <c r="AR109" s="387"/>
      <c r="AS109" s="387"/>
      <c r="AT109" s="387"/>
      <c r="AU109" s="387"/>
      <c r="AV109" s="387"/>
      <c r="AW109" s="387"/>
      <c r="AX109" s="387"/>
      <c r="AY109" s="387"/>
      <c r="AZ109" s="387"/>
      <c r="BA109" s="387"/>
      <c r="BB109" s="387"/>
      <c r="BC109" s="387"/>
      <c r="BD109" s="387"/>
      <c r="BE109" s="387"/>
      <c r="BF109" s="387"/>
      <c r="BG109" s="387"/>
      <c r="BH109" s="387"/>
      <c r="BI109" s="387"/>
      <c r="BJ109" s="387"/>
      <c r="BK109" s="387"/>
      <c r="BL109" s="387"/>
      <c r="BM109" s="387"/>
      <c r="BN109" s="387"/>
      <c r="BO109" s="387"/>
      <c r="BP109" s="387"/>
      <c r="BQ109" s="387"/>
      <c r="BR109" s="387"/>
      <c r="BS109" s="387"/>
      <c r="BT109" s="387"/>
      <c r="BU109" s="387"/>
      <c r="BV109" s="387"/>
      <c r="BW109" s="387"/>
      <c r="BX109" s="387"/>
      <c r="BY109" s="387"/>
      <c r="BZ109" s="387"/>
      <c r="CA109" s="387"/>
      <c r="CB109" s="387"/>
      <c r="CC109" s="387"/>
      <c r="CD109" s="387"/>
      <c r="CE109" s="387"/>
      <c r="CF109" s="387"/>
      <c r="CG109" s="387"/>
      <c r="CH109" s="387"/>
      <c r="CI109" s="387"/>
      <c r="CJ109" s="387"/>
      <c r="CK109" s="387"/>
      <c r="CL109" s="387"/>
      <c r="CM109" s="387"/>
      <c r="CN109" s="387"/>
      <c r="CO109" s="387"/>
      <c r="CP109" s="387"/>
      <c r="CQ109" s="387"/>
    </row>
    <row r="110" spans="1:95" s="5" customFormat="1" x14ac:dyDescent="0.2">
      <c r="A110" s="511"/>
      <c r="B110" s="422" t="s">
        <v>73</v>
      </c>
      <c r="C110" s="30"/>
      <c r="D110" s="30"/>
      <c r="E110" s="171"/>
      <c r="F110" s="171"/>
      <c r="G110" s="171"/>
      <c r="H110" s="171"/>
      <c r="I110" s="171"/>
      <c r="J110" s="171"/>
      <c r="K110" s="171"/>
      <c r="L110" s="171"/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Y110" s="171"/>
      <c r="Z110" s="171"/>
      <c r="AA110" s="171"/>
      <c r="AB110" s="171"/>
      <c r="AC110" s="171"/>
      <c r="AD110" s="171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</row>
    <row r="111" spans="1:95" s="170" customFormat="1" ht="4.5" customHeight="1" x14ac:dyDescent="0.2">
      <c r="A111" s="511"/>
      <c r="B111" s="423"/>
      <c r="C111" s="169"/>
      <c r="D111" s="169"/>
      <c r="E111" s="169"/>
      <c r="F111" s="169"/>
      <c r="G111" s="169"/>
      <c r="K111" s="169"/>
      <c r="L111" s="169"/>
      <c r="M111" s="169"/>
      <c r="N111" s="169"/>
      <c r="O111" s="169"/>
      <c r="P111" s="169"/>
      <c r="Q111" s="169"/>
      <c r="R111" s="169"/>
      <c r="S111" s="169"/>
      <c r="W111" s="169"/>
      <c r="X111" s="169"/>
      <c r="Y111" s="169"/>
      <c r="Z111" s="169"/>
      <c r="AA111" s="169"/>
      <c r="AB111" s="169"/>
      <c r="AC111" s="169"/>
      <c r="AD111" s="169"/>
      <c r="AE111" s="388"/>
      <c r="AF111" s="388"/>
      <c r="AG111" s="388"/>
      <c r="AH111" s="388"/>
      <c r="AI111" s="388"/>
      <c r="AJ111" s="388"/>
      <c r="AK111" s="388"/>
      <c r="AL111" s="388"/>
      <c r="AM111" s="388"/>
      <c r="AN111" s="388"/>
      <c r="AO111" s="388"/>
      <c r="AP111" s="388"/>
      <c r="AQ111" s="388"/>
      <c r="AR111" s="388"/>
      <c r="AS111" s="388"/>
      <c r="AT111" s="388"/>
      <c r="AU111" s="388"/>
      <c r="AV111" s="388"/>
      <c r="AW111" s="388"/>
      <c r="AX111" s="388"/>
      <c r="AY111" s="388"/>
      <c r="AZ111" s="388"/>
      <c r="BA111" s="388"/>
      <c r="BB111" s="388"/>
      <c r="BC111" s="388"/>
      <c r="BD111" s="388"/>
      <c r="BE111" s="388"/>
      <c r="BF111" s="388"/>
      <c r="BG111" s="388"/>
      <c r="BH111" s="388"/>
      <c r="BI111" s="388"/>
      <c r="BJ111" s="388"/>
      <c r="BK111" s="388"/>
      <c r="BL111" s="388"/>
      <c r="BM111" s="388"/>
      <c r="BN111" s="388"/>
      <c r="BO111" s="388"/>
      <c r="BP111" s="388"/>
      <c r="BQ111" s="388"/>
      <c r="BR111" s="388"/>
      <c r="BS111" s="388"/>
      <c r="BT111" s="388"/>
      <c r="BU111" s="388"/>
      <c r="BV111" s="388"/>
      <c r="BW111" s="388"/>
      <c r="BX111" s="388"/>
      <c r="BY111" s="388"/>
      <c r="BZ111" s="388"/>
      <c r="CA111" s="388"/>
      <c r="CB111" s="388"/>
      <c r="CC111" s="388"/>
      <c r="CD111" s="388"/>
      <c r="CE111" s="388"/>
      <c r="CF111" s="388"/>
      <c r="CG111" s="388"/>
      <c r="CH111" s="388"/>
      <c r="CI111" s="388"/>
      <c r="CJ111" s="388"/>
      <c r="CK111" s="388"/>
      <c r="CL111" s="388"/>
      <c r="CM111" s="388"/>
      <c r="CN111" s="388"/>
      <c r="CO111" s="388"/>
      <c r="CP111" s="388"/>
      <c r="CQ111" s="388"/>
    </row>
    <row r="112" spans="1:95" s="174" customFormat="1" x14ac:dyDescent="0.2">
      <c r="A112" s="511"/>
      <c r="B112" s="424" t="s">
        <v>74</v>
      </c>
      <c r="C112" s="173">
        <v>42.37</v>
      </c>
      <c r="D112" s="173">
        <v>42.37</v>
      </c>
      <c r="E112" s="173">
        <v>42.37</v>
      </c>
      <c r="F112" s="173" t="e">
        <f>#REF!</f>
        <v>#REF!</v>
      </c>
      <c r="G112" s="173"/>
      <c r="H112" s="173"/>
      <c r="I112" s="173"/>
      <c r="J112" s="173" t="e">
        <f>#REF!</f>
        <v>#REF!</v>
      </c>
      <c r="K112" s="173"/>
      <c r="L112" s="173"/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389"/>
      <c r="AF112" s="389"/>
      <c r="AG112" s="389"/>
      <c r="AH112" s="389"/>
      <c r="AI112" s="389"/>
      <c r="AJ112" s="389"/>
      <c r="AK112" s="389"/>
      <c r="AL112" s="389"/>
      <c r="AM112" s="389"/>
      <c r="AN112" s="389"/>
      <c r="AO112" s="389"/>
      <c r="AP112" s="389"/>
      <c r="AQ112" s="389"/>
      <c r="AR112" s="389"/>
      <c r="AS112" s="389"/>
      <c r="AT112" s="389"/>
      <c r="AU112" s="389"/>
      <c r="AV112" s="389"/>
      <c r="AW112" s="389"/>
      <c r="AX112" s="389"/>
      <c r="AY112" s="389"/>
      <c r="AZ112" s="389"/>
      <c r="BA112" s="389"/>
      <c r="BB112" s="389"/>
      <c r="BC112" s="389"/>
      <c r="BD112" s="389"/>
      <c r="BE112" s="389"/>
      <c r="BF112" s="389"/>
      <c r="BG112" s="389"/>
      <c r="BH112" s="389"/>
      <c r="BI112" s="389"/>
      <c r="BJ112" s="389"/>
      <c r="BK112" s="389"/>
      <c r="BL112" s="389"/>
      <c r="BM112" s="389"/>
      <c r="BN112" s="389"/>
      <c r="BO112" s="389"/>
      <c r="BP112" s="389"/>
      <c r="BQ112" s="389"/>
      <c r="BR112" s="389"/>
      <c r="BS112" s="389"/>
      <c r="BT112" s="389"/>
      <c r="BU112" s="389"/>
      <c r="BV112" s="389"/>
      <c r="BW112" s="389"/>
      <c r="BX112" s="389"/>
      <c r="BY112" s="389"/>
      <c r="BZ112" s="389"/>
      <c r="CA112" s="389"/>
      <c r="CB112" s="389"/>
      <c r="CC112" s="389"/>
      <c r="CD112" s="389"/>
      <c r="CE112" s="389"/>
      <c r="CF112" s="389"/>
      <c r="CG112" s="389"/>
      <c r="CH112" s="389"/>
      <c r="CI112" s="389"/>
      <c r="CJ112" s="389"/>
      <c r="CK112" s="389"/>
      <c r="CL112" s="389"/>
      <c r="CM112" s="389"/>
      <c r="CN112" s="389"/>
      <c r="CO112" s="389"/>
      <c r="CP112" s="389"/>
      <c r="CQ112" s="389"/>
    </row>
    <row r="113" spans="1:95" s="182" customFormat="1" x14ac:dyDescent="0.2">
      <c r="A113" s="511"/>
      <c r="B113" s="425" t="s">
        <v>75</v>
      </c>
      <c r="C113" s="4">
        <f t="shared" ref="C113:J113" si="13">C110*C112</f>
        <v>0</v>
      </c>
      <c r="D113" s="4">
        <f t="shared" si="13"/>
        <v>0</v>
      </c>
      <c r="E113" s="4">
        <f t="shared" si="13"/>
        <v>0</v>
      </c>
      <c r="F113" s="4" t="e">
        <f t="shared" si="13"/>
        <v>#REF!</v>
      </c>
      <c r="G113" s="4">
        <f t="shared" si="13"/>
        <v>0</v>
      </c>
      <c r="H113" s="4">
        <f t="shared" si="13"/>
        <v>0</v>
      </c>
      <c r="I113" s="4">
        <f t="shared" si="13"/>
        <v>0</v>
      </c>
      <c r="J113" s="4" t="e">
        <f t="shared" si="13"/>
        <v>#REF!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</row>
    <row r="114" spans="1:95" s="31" customFormat="1" x14ac:dyDescent="0.2">
      <c r="A114" s="511"/>
      <c r="B114" s="426" t="s">
        <v>24</v>
      </c>
      <c r="C114" s="179">
        <v>2.71</v>
      </c>
      <c r="D114" s="179">
        <v>2.71</v>
      </c>
      <c r="E114" s="179">
        <v>2.71</v>
      </c>
      <c r="F114" s="179" t="e">
        <f>#REF!</f>
        <v>#REF!</v>
      </c>
      <c r="G114" s="179"/>
      <c r="H114" s="179"/>
      <c r="I114" s="179"/>
      <c r="J114" s="179" t="e">
        <f>#REF!</f>
        <v>#REF!</v>
      </c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  <c r="AA114" s="179"/>
      <c r="AB114" s="179"/>
      <c r="AC114" s="179"/>
      <c r="AD114" s="179"/>
    </row>
    <row r="115" spans="1:95" s="177" customFormat="1" x14ac:dyDescent="0.2">
      <c r="A115" s="511"/>
      <c r="B115" s="427" t="s">
        <v>25</v>
      </c>
      <c r="C115" s="176">
        <f t="shared" ref="C115:J115" si="14">C114*C96</f>
        <v>0</v>
      </c>
      <c r="D115" s="176">
        <f t="shared" si="14"/>
        <v>0</v>
      </c>
      <c r="E115" s="176">
        <f t="shared" si="14"/>
        <v>0</v>
      </c>
      <c r="F115" s="176" t="e">
        <f t="shared" si="14"/>
        <v>#REF!</v>
      </c>
      <c r="G115" s="176">
        <f t="shared" si="14"/>
        <v>0</v>
      </c>
      <c r="H115" s="176">
        <f t="shared" si="14"/>
        <v>0</v>
      </c>
      <c r="I115" s="176">
        <f t="shared" si="14"/>
        <v>0</v>
      </c>
      <c r="J115" s="176" t="e">
        <f t="shared" si="14"/>
        <v>#REF!</v>
      </c>
      <c r="K115" s="176"/>
      <c r="L115" s="176"/>
      <c r="M115" s="176"/>
      <c r="N115" s="176"/>
      <c r="O115" s="176"/>
      <c r="P115" s="176"/>
      <c r="Q115" s="176"/>
      <c r="R115" s="176"/>
      <c r="S115" s="176"/>
      <c r="T115" s="176"/>
      <c r="U115" s="176"/>
      <c r="V115" s="176"/>
      <c r="W115" s="176"/>
      <c r="X115" s="176"/>
      <c r="Y115" s="176"/>
      <c r="Z115" s="176"/>
      <c r="AA115" s="176"/>
      <c r="AB115" s="176"/>
      <c r="AC115" s="176"/>
      <c r="AD115" s="176"/>
    </row>
    <row r="116" spans="1:95" s="31" customFormat="1" x14ac:dyDescent="0.2">
      <c r="A116" s="511"/>
      <c r="B116" s="428" t="s">
        <v>7</v>
      </c>
      <c r="C116" s="3">
        <v>5.44</v>
      </c>
      <c r="D116" s="3">
        <v>5.44</v>
      </c>
      <c r="E116" s="3">
        <v>5.44</v>
      </c>
      <c r="F116" s="3" t="e">
        <f>#REF!</f>
        <v>#REF!</v>
      </c>
      <c r="G116" s="3"/>
      <c r="H116" s="3"/>
      <c r="I116" s="3"/>
      <c r="J116" s="3" t="e">
        <f>#REF!</f>
        <v>#REF!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95" s="177" customFormat="1" x14ac:dyDescent="0.2">
      <c r="A117" s="511"/>
      <c r="B117" s="427" t="s">
        <v>10</v>
      </c>
      <c r="C117" s="176">
        <f t="shared" ref="C117:J117" si="15">C116*C96</f>
        <v>0</v>
      </c>
      <c r="D117" s="176">
        <f t="shared" si="15"/>
        <v>0</v>
      </c>
      <c r="E117" s="176">
        <f t="shared" si="15"/>
        <v>0</v>
      </c>
      <c r="F117" s="176" t="e">
        <f t="shared" si="15"/>
        <v>#REF!</v>
      </c>
      <c r="G117" s="176">
        <f t="shared" si="15"/>
        <v>0</v>
      </c>
      <c r="H117" s="176">
        <f t="shared" si="15"/>
        <v>0</v>
      </c>
      <c r="I117" s="176">
        <f t="shared" si="15"/>
        <v>0</v>
      </c>
      <c r="J117" s="176" t="e">
        <f t="shared" si="15"/>
        <v>#REF!</v>
      </c>
      <c r="K117" s="176"/>
      <c r="L117" s="176"/>
      <c r="M117" s="176"/>
      <c r="N117" s="176"/>
      <c r="O117" s="176"/>
      <c r="P117" s="176"/>
      <c r="Q117" s="176"/>
      <c r="R117" s="176"/>
      <c r="S117" s="176"/>
      <c r="T117" s="176"/>
      <c r="U117" s="176"/>
      <c r="V117" s="176"/>
      <c r="W117" s="176"/>
      <c r="X117" s="176"/>
      <c r="Y117" s="176"/>
      <c r="Z117" s="176"/>
      <c r="AA117" s="176"/>
      <c r="AB117" s="176"/>
      <c r="AC117" s="176"/>
      <c r="AD117" s="176"/>
    </row>
    <row r="118" spans="1:95" s="31" customFormat="1" x14ac:dyDescent="0.2">
      <c r="A118" s="511"/>
      <c r="B118" s="428" t="s">
        <v>8</v>
      </c>
      <c r="C118" s="3">
        <v>10.31</v>
      </c>
      <c r="D118" s="3">
        <v>10.31</v>
      </c>
      <c r="E118" s="3">
        <v>10.31</v>
      </c>
      <c r="F118" s="3" t="e">
        <f>#REF!</f>
        <v>#REF!</v>
      </c>
      <c r="G118" s="3"/>
      <c r="H118" s="3"/>
      <c r="I118" s="3"/>
      <c r="J118" s="3" t="e">
        <f>#REF!</f>
        <v>#REF!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95" s="177" customFormat="1" x14ac:dyDescent="0.2">
      <c r="A119" s="511"/>
      <c r="B119" s="427" t="s">
        <v>2</v>
      </c>
      <c r="C119" s="176">
        <f t="shared" ref="C119:I119" si="16">C118*MAX(C102:C103)</f>
        <v>0</v>
      </c>
      <c r="D119" s="176">
        <f t="shared" si="16"/>
        <v>0</v>
      </c>
      <c r="E119" s="176">
        <f t="shared" si="16"/>
        <v>0</v>
      </c>
      <c r="F119" s="176" t="e">
        <f t="shared" si="16"/>
        <v>#REF!</v>
      </c>
      <c r="G119" s="176">
        <f t="shared" si="16"/>
        <v>0</v>
      </c>
      <c r="H119" s="176">
        <f t="shared" si="16"/>
        <v>0</v>
      </c>
      <c r="I119" s="176">
        <f t="shared" si="16"/>
        <v>0</v>
      </c>
      <c r="J119" s="176" t="e">
        <f>J118*MAX(J102:J103)</f>
        <v>#REF!</v>
      </c>
      <c r="K119" s="176"/>
      <c r="L119" s="176"/>
      <c r="M119" s="176"/>
      <c r="N119" s="176"/>
      <c r="O119" s="176"/>
      <c r="P119" s="176"/>
      <c r="Q119" s="176"/>
      <c r="R119" s="176"/>
      <c r="S119" s="176"/>
      <c r="T119" s="176"/>
      <c r="U119" s="176"/>
      <c r="V119" s="176"/>
      <c r="W119" s="176"/>
      <c r="X119" s="176"/>
      <c r="Y119" s="176"/>
      <c r="Z119" s="176"/>
      <c r="AA119" s="176"/>
      <c r="AB119" s="176"/>
      <c r="AC119" s="176"/>
      <c r="AD119" s="176"/>
    </row>
    <row r="120" spans="1:95" s="1" customFormat="1" x14ac:dyDescent="0.2">
      <c r="A120" s="511"/>
      <c r="B120" s="502" t="s">
        <v>150</v>
      </c>
      <c r="C120" s="490"/>
    </row>
    <row r="121" spans="1:95" s="1" customFormat="1" x14ac:dyDescent="0.2">
      <c r="A121" s="511"/>
      <c r="B121" s="502" t="s">
        <v>151</v>
      </c>
      <c r="C121" s="490"/>
    </row>
    <row r="122" spans="1:95" s="1" customFormat="1" x14ac:dyDescent="0.2">
      <c r="A122" s="511"/>
      <c r="B122" s="502" t="s">
        <v>153</v>
      </c>
      <c r="C122" s="490"/>
      <c r="J122" s="1">
        <v>10.07</v>
      </c>
    </row>
    <row r="123" spans="1:95" s="208" customFormat="1" ht="13.5" thickBot="1" x14ac:dyDescent="0.25">
      <c r="A123" s="511"/>
      <c r="B123" s="503" t="s">
        <v>152</v>
      </c>
      <c r="C123" s="491"/>
      <c r="D123" s="207"/>
      <c r="E123" s="207"/>
      <c r="F123" s="207"/>
      <c r="G123" s="207"/>
      <c r="H123" s="207"/>
      <c r="I123" s="207"/>
      <c r="J123" s="207">
        <f>J120*J121*J122</f>
        <v>0</v>
      </c>
      <c r="K123" s="207"/>
      <c r="L123" s="207"/>
      <c r="M123" s="207"/>
      <c r="N123" s="207"/>
      <c r="O123" s="207"/>
      <c r="P123" s="207"/>
      <c r="Q123" s="207"/>
      <c r="R123" s="207"/>
      <c r="S123" s="207"/>
      <c r="T123" s="207"/>
      <c r="U123" s="207"/>
      <c r="V123" s="207"/>
      <c r="W123" s="207"/>
      <c r="X123" s="207"/>
      <c r="Y123" s="207"/>
      <c r="Z123" s="207"/>
      <c r="AA123" s="207"/>
      <c r="AB123" s="207"/>
      <c r="AC123" s="207"/>
      <c r="AD123" s="207"/>
    </row>
    <row r="124" spans="1:95" s="31" customFormat="1" x14ac:dyDescent="0.2">
      <c r="A124" s="511"/>
      <c r="B124" s="426" t="s">
        <v>29</v>
      </c>
      <c r="C124" s="112">
        <v>0.13789999999999999</v>
      </c>
      <c r="D124" s="112">
        <v>0.13789999999999999</v>
      </c>
      <c r="E124" s="112">
        <v>0.13789999999999999</v>
      </c>
      <c r="F124" s="112">
        <v>0.17030000000000001</v>
      </c>
      <c r="G124" s="112"/>
      <c r="H124" s="65"/>
      <c r="I124" s="65"/>
      <c r="J124" s="65"/>
      <c r="K124" s="112" t="s">
        <v>145</v>
      </c>
      <c r="L124" s="112"/>
      <c r="M124" s="112"/>
      <c r="N124" s="112"/>
      <c r="O124" s="112"/>
      <c r="P124" s="112"/>
      <c r="Q124" s="112"/>
      <c r="R124" s="112"/>
      <c r="S124" s="112"/>
      <c r="T124" s="65"/>
      <c r="U124" s="65"/>
      <c r="V124" s="65"/>
      <c r="W124" s="112"/>
      <c r="X124" s="112"/>
      <c r="Y124" s="112"/>
      <c r="Z124" s="112"/>
      <c r="AA124" s="112"/>
      <c r="AB124" s="112"/>
      <c r="AC124" s="112"/>
      <c r="AD124" s="112"/>
    </row>
    <row r="125" spans="1:95" s="34" customFormat="1" x14ac:dyDescent="0.2">
      <c r="A125" s="511"/>
      <c r="B125" s="429" t="s">
        <v>60</v>
      </c>
      <c r="C125" s="14" t="e">
        <f>#REF!*C97</f>
        <v>#REF!</v>
      </c>
      <c r="D125" s="14" t="e">
        <f>#REF!*D97</f>
        <v>#REF!</v>
      </c>
      <c r="E125" s="14" t="e">
        <f>#REF!*E97</f>
        <v>#REF!</v>
      </c>
      <c r="F125" s="14" t="e">
        <f>#REF!*F97</f>
        <v>#REF!</v>
      </c>
      <c r="G125" s="14" t="e">
        <f>#REF!*G97</f>
        <v>#REF!</v>
      </c>
      <c r="H125" s="116"/>
      <c r="I125" s="116"/>
      <c r="J125" s="116"/>
      <c r="K125" s="14"/>
      <c r="L125" s="14"/>
      <c r="M125" s="14"/>
      <c r="N125" s="14"/>
      <c r="O125" s="14"/>
      <c r="P125" s="14"/>
      <c r="Q125" s="14"/>
      <c r="R125" s="14"/>
      <c r="S125" s="14"/>
      <c r="T125" s="116"/>
      <c r="U125" s="116"/>
      <c r="V125" s="116"/>
      <c r="W125" s="14"/>
      <c r="X125" s="14"/>
      <c r="Y125" s="14"/>
      <c r="Z125" s="14"/>
      <c r="AA125" s="14"/>
      <c r="AB125" s="14"/>
      <c r="AC125" s="14"/>
      <c r="AD125" s="14"/>
    </row>
    <row r="126" spans="1:95" s="31" customFormat="1" x14ac:dyDescent="0.2">
      <c r="A126" s="511"/>
      <c r="B126" s="428" t="s">
        <v>30</v>
      </c>
      <c r="C126" s="114"/>
      <c r="D126" s="114"/>
      <c r="E126" s="114"/>
      <c r="F126" s="114"/>
      <c r="G126" s="114"/>
      <c r="H126" s="112"/>
      <c r="I126" s="112"/>
      <c r="J126" s="112">
        <v>0.19769999999999999</v>
      </c>
      <c r="K126" s="114"/>
      <c r="L126" s="114"/>
      <c r="M126" s="114"/>
      <c r="N126" s="114"/>
      <c r="O126" s="114"/>
      <c r="P126" s="114"/>
      <c r="Q126" s="114"/>
      <c r="R126" s="114"/>
      <c r="S126" s="114"/>
      <c r="T126" s="112"/>
      <c r="U126" s="112"/>
      <c r="V126" s="112"/>
      <c r="W126" s="114"/>
      <c r="X126" s="114"/>
      <c r="Y126" s="114"/>
      <c r="Z126" s="114"/>
      <c r="AA126" s="114"/>
      <c r="AB126" s="114"/>
      <c r="AC126" s="114"/>
      <c r="AD126" s="114"/>
    </row>
    <row r="127" spans="1:95" s="35" customFormat="1" x14ac:dyDescent="0.2">
      <c r="A127" s="511"/>
      <c r="B127" s="430" t="s">
        <v>61</v>
      </c>
      <c r="C127" s="115"/>
      <c r="D127" s="115"/>
      <c r="E127" s="115"/>
      <c r="F127" s="115"/>
      <c r="G127" s="115"/>
      <c r="H127" s="33">
        <f>H126*H97</f>
        <v>0</v>
      </c>
      <c r="I127" s="33">
        <f>I126*I97</f>
        <v>0</v>
      </c>
      <c r="J127" s="33">
        <f>J126*J97</f>
        <v>0</v>
      </c>
      <c r="K127" s="115"/>
      <c r="L127" s="115"/>
      <c r="M127" s="115"/>
      <c r="N127" s="115"/>
      <c r="O127" s="115"/>
      <c r="P127" s="115"/>
      <c r="Q127" s="115"/>
      <c r="R127" s="115"/>
      <c r="S127" s="115"/>
      <c r="T127" s="33"/>
      <c r="U127" s="33"/>
      <c r="V127" s="33"/>
      <c r="W127" s="115"/>
      <c r="X127" s="115"/>
      <c r="Y127" s="115"/>
      <c r="Z127" s="115"/>
      <c r="AA127" s="115"/>
      <c r="AB127" s="115"/>
      <c r="AC127" s="115"/>
      <c r="AD127" s="115"/>
    </row>
    <row r="128" spans="1:95" s="31" customFormat="1" x14ac:dyDescent="0.2">
      <c r="A128" s="511"/>
      <c r="B128" s="428" t="s">
        <v>31</v>
      </c>
      <c r="C128" s="112">
        <v>0.32190000000000002</v>
      </c>
      <c r="D128" s="112">
        <v>0.32190000000000002</v>
      </c>
      <c r="E128" s="112">
        <v>0.32190000000000002</v>
      </c>
      <c r="F128" s="112" t="e">
        <f>#REF!</f>
        <v>#REF!</v>
      </c>
      <c r="G128" s="112"/>
      <c r="H128" s="117"/>
      <c r="I128" s="117"/>
      <c r="J128" s="117"/>
      <c r="K128" s="112"/>
      <c r="L128" s="112"/>
      <c r="M128" s="112"/>
      <c r="N128" s="112"/>
      <c r="O128" s="112"/>
      <c r="P128" s="112"/>
      <c r="Q128" s="112"/>
      <c r="R128" s="112"/>
      <c r="S128" s="112"/>
      <c r="T128" s="117"/>
      <c r="U128" s="117"/>
      <c r="V128" s="117"/>
      <c r="W128" s="112"/>
      <c r="X128" s="112"/>
      <c r="Y128" s="112"/>
      <c r="Z128" s="112"/>
      <c r="AA128" s="112"/>
      <c r="AB128" s="112"/>
      <c r="AC128" s="112"/>
      <c r="AD128" s="112"/>
    </row>
    <row r="129" spans="1:95" s="34" customFormat="1" x14ac:dyDescent="0.2">
      <c r="A129" s="511"/>
      <c r="B129" s="429" t="s">
        <v>62</v>
      </c>
      <c r="C129" s="14">
        <f>C128*C99</f>
        <v>0</v>
      </c>
      <c r="D129" s="14">
        <f>D128*D99</f>
        <v>0</v>
      </c>
      <c r="E129" s="14">
        <f>E128*E99</f>
        <v>0</v>
      </c>
      <c r="F129" s="14" t="e">
        <f>F128*F99</f>
        <v>#REF!</v>
      </c>
      <c r="G129" s="14">
        <f>G128*G99</f>
        <v>0</v>
      </c>
      <c r="H129" s="116"/>
      <c r="I129" s="116"/>
      <c r="J129" s="116"/>
      <c r="K129" s="14"/>
      <c r="L129" s="14"/>
      <c r="M129" s="14"/>
      <c r="N129" s="14"/>
      <c r="O129" s="14"/>
      <c r="P129" s="14"/>
      <c r="Q129" s="14"/>
      <c r="R129" s="14"/>
      <c r="S129" s="14"/>
      <c r="T129" s="116"/>
      <c r="U129" s="116"/>
      <c r="V129" s="116"/>
      <c r="W129" s="14"/>
      <c r="X129" s="14"/>
      <c r="Y129" s="14"/>
      <c r="Z129" s="14"/>
      <c r="AA129" s="14"/>
      <c r="AB129" s="14"/>
      <c r="AC129" s="14"/>
      <c r="AD129" s="14"/>
    </row>
    <row r="130" spans="1:95" s="31" customFormat="1" x14ac:dyDescent="0.2">
      <c r="A130" s="511"/>
      <c r="B130" s="428" t="s">
        <v>32</v>
      </c>
      <c r="C130" s="114"/>
      <c r="D130" s="114"/>
      <c r="E130" s="114"/>
      <c r="F130" s="114"/>
      <c r="G130" s="114"/>
      <c r="H130" s="1"/>
      <c r="I130" s="1"/>
      <c r="J130" s="1">
        <v>1.4238</v>
      </c>
      <c r="K130" s="114"/>
      <c r="L130" s="114"/>
      <c r="M130" s="114"/>
      <c r="N130" s="114"/>
      <c r="O130" s="114"/>
      <c r="P130" s="114"/>
      <c r="Q130" s="114"/>
      <c r="R130" s="114"/>
      <c r="S130" s="114"/>
      <c r="T130" s="1"/>
      <c r="U130" s="1"/>
      <c r="V130" s="1"/>
      <c r="W130" s="114"/>
      <c r="X130" s="114"/>
      <c r="Y130" s="114"/>
      <c r="Z130" s="114"/>
      <c r="AA130" s="114"/>
      <c r="AB130" s="114"/>
      <c r="AC130" s="114"/>
      <c r="AD130" s="114"/>
    </row>
    <row r="131" spans="1:95" s="35" customFormat="1" x14ac:dyDescent="0.2">
      <c r="A131" s="511"/>
      <c r="B131" s="430" t="s">
        <v>63</v>
      </c>
      <c r="C131" s="115"/>
      <c r="D131" s="115"/>
      <c r="E131" s="115"/>
      <c r="F131" s="115"/>
      <c r="G131" s="115"/>
      <c r="H131" s="113">
        <f>H130*H99</f>
        <v>0</v>
      </c>
      <c r="I131" s="113">
        <f>I130*I99</f>
        <v>0</v>
      </c>
      <c r="J131" s="113">
        <f>J130*J99</f>
        <v>0</v>
      </c>
      <c r="K131" s="115"/>
      <c r="L131" s="115"/>
      <c r="M131" s="115"/>
      <c r="N131" s="115"/>
      <c r="O131" s="115"/>
      <c r="P131" s="115"/>
      <c r="Q131" s="115"/>
      <c r="R131" s="115"/>
      <c r="S131" s="115"/>
      <c r="T131" s="113"/>
      <c r="U131" s="113"/>
      <c r="V131" s="113"/>
      <c r="W131" s="115"/>
      <c r="X131" s="115"/>
      <c r="Y131" s="115"/>
      <c r="Z131" s="115"/>
      <c r="AA131" s="115"/>
      <c r="AB131" s="115"/>
      <c r="AC131" s="115"/>
      <c r="AD131" s="115"/>
    </row>
    <row r="132" spans="1:95" s="31" customFormat="1" x14ac:dyDescent="0.2">
      <c r="A132" s="511"/>
      <c r="B132" s="428" t="s">
        <v>79</v>
      </c>
      <c r="C132" s="1">
        <v>0.19719999999999999</v>
      </c>
      <c r="D132" s="1">
        <v>0.19719999999999999</v>
      </c>
      <c r="E132" s="1">
        <v>0.19719999999999999</v>
      </c>
      <c r="F132" s="1" t="e">
        <f>#REF!</f>
        <v>#REF!</v>
      </c>
      <c r="G132" s="1"/>
      <c r="H132" s="117"/>
      <c r="I132" s="117"/>
      <c r="J132" s="117"/>
      <c r="K132" s="1"/>
      <c r="L132" s="1"/>
      <c r="M132" s="1"/>
      <c r="N132" s="1"/>
      <c r="O132" s="1"/>
      <c r="P132" s="1"/>
      <c r="Q132" s="1"/>
      <c r="R132" s="1"/>
      <c r="S132" s="1"/>
      <c r="T132" s="117"/>
      <c r="U132" s="117"/>
      <c r="V132" s="117"/>
      <c r="W132" s="1"/>
      <c r="X132" s="1"/>
      <c r="Y132" s="1"/>
      <c r="Z132" s="1"/>
      <c r="AA132" s="1"/>
      <c r="AB132" s="1"/>
      <c r="AC132" s="1"/>
      <c r="AD132" s="1"/>
    </row>
    <row r="133" spans="1:95" s="34" customFormat="1" x14ac:dyDescent="0.2">
      <c r="A133" s="511"/>
      <c r="B133" s="429" t="s">
        <v>64</v>
      </c>
      <c r="C133" s="14">
        <f>C132*C98</f>
        <v>0</v>
      </c>
      <c r="D133" s="14">
        <f>D132*D98</f>
        <v>0</v>
      </c>
      <c r="E133" s="14">
        <f>E132*E98</f>
        <v>0</v>
      </c>
      <c r="F133" s="14" t="e">
        <f>F132*F98</f>
        <v>#REF!</v>
      </c>
      <c r="G133" s="14">
        <f>G132*G98</f>
        <v>0</v>
      </c>
      <c r="H133" s="118"/>
      <c r="I133" s="118"/>
      <c r="J133" s="118"/>
      <c r="K133" s="14"/>
      <c r="L133" s="14"/>
      <c r="M133" s="14"/>
      <c r="N133" s="14"/>
      <c r="O133" s="14"/>
      <c r="P133" s="14"/>
      <c r="Q133" s="14"/>
      <c r="R133" s="14"/>
      <c r="S133" s="14"/>
      <c r="T133" s="118"/>
      <c r="U133" s="118"/>
      <c r="V133" s="118"/>
      <c r="W133" s="14"/>
      <c r="X133" s="14"/>
      <c r="Y133" s="14"/>
      <c r="Z133" s="14"/>
      <c r="AA133" s="14"/>
      <c r="AB133" s="14"/>
      <c r="AC133" s="14"/>
      <c r="AD133" s="14"/>
    </row>
    <row r="134" spans="1:95" s="31" customFormat="1" x14ac:dyDescent="0.2">
      <c r="A134" s="511"/>
      <c r="B134" s="431" t="s">
        <v>33</v>
      </c>
      <c r="C134" s="114"/>
      <c r="D134" s="114"/>
      <c r="E134" s="114"/>
      <c r="F134" s="114"/>
      <c r="G134" s="114"/>
      <c r="H134" s="1"/>
      <c r="I134" s="1"/>
      <c r="J134" s="1">
        <v>0.37009999999999998</v>
      </c>
      <c r="K134" s="114"/>
      <c r="L134" s="114"/>
      <c r="M134" s="114"/>
      <c r="N134" s="114"/>
      <c r="O134" s="114"/>
      <c r="P134" s="114"/>
      <c r="Q134" s="114"/>
      <c r="R134" s="114"/>
      <c r="S134" s="114"/>
      <c r="T134" s="1"/>
      <c r="U134" s="1"/>
      <c r="V134" s="1"/>
      <c r="W134" s="114"/>
      <c r="X134" s="114"/>
      <c r="Y134" s="114"/>
      <c r="Z134" s="114"/>
      <c r="AA134" s="114"/>
      <c r="AB134" s="114"/>
      <c r="AC134" s="114"/>
      <c r="AD134" s="114"/>
    </row>
    <row r="135" spans="1:95" s="55" customFormat="1" ht="13.5" thickBot="1" x14ac:dyDescent="0.25">
      <c r="A135" s="511"/>
      <c r="B135" s="432" t="s">
        <v>65</v>
      </c>
      <c r="C135" s="122"/>
      <c r="D135" s="122"/>
      <c r="E135" s="122"/>
      <c r="F135" s="122"/>
      <c r="G135" s="122"/>
      <c r="H135" s="247">
        <f>H134*H98</f>
        <v>0</v>
      </c>
      <c r="I135" s="247">
        <f>I134*I98</f>
        <v>0</v>
      </c>
      <c r="J135" s="247">
        <f>J134*J98</f>
        <v>0</v>
      </c>
      <c r="K135" s="122"/>
      <c r="L135" s="122"/>
      <c r="M135" s="122"/>
      <c r="N135" s="122"/>
      <c r="O135" s="122"/>
      <c r="P135" s="122"/>
      <c r="Q135" s="122"/>
      <c r="R135" s="122"/>
      <c r="S135" s="122"/>
      <c r="T135" s="247"/>
      <c r="U135" s="247"/>
      <c r="V135" s="247"/>
      <c r="W135" s="122"/>
      <c r="X135" s="122"/>
      <c r="Y135" s="122"/>
      <c r="Z135" s="122"/>
      <c r="AA135" s="122"/>
      <c r="AB135" s="122"/>
      <c r="AC135" s="122"/>
      <c r="AD135" s="122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  <c r="BH135" s="35"/>
      <c r="BI135" s="35"/>
      <c r="BJ135" s="35"/>
      <c r="BK135" s="35"/>
      <c r="BL135" s="35"/>
      <c r="BM135" s="35"/>
      <c r="BN135" s="35"/>
      <c r="BO135" s="35"/>
      <c r="BP135" s="35"/>
      <c r="BQ135" s="35"/>
      <c r="BR135" s="35"/>
      <c r="BS135" s="35"/>
      <c r="BT135" s="35"/>
      <c r="BU135" s="35"/>
      <c r="BV135" s="35"/>
      <c r="BW135" s="35"/>
      <c r="BX135" s="35"/>
      <c r="BY135" s="35"/>
      <c r="BZ135" s="35"/>
      <c r="CA135" s="35"/>
      <c r="CB135" s="35"/>
      <c r="CC135" s="35"/>
      <c r="CD135" s="35"/>
      <c r="CE135" s="35"/>
      <c r="CF135" s="35"/>
      <c r="CG135" s="35"/>
      <c r="CH135" s="35"/>
      <c r="CI135" s="35"/>
      <c r="CJ135" s="35"/>
      <c r="CK135" s="35"/>
      <c r="CL135" s="35"/>
      <c r="CM135" s="35"/>
      <c r="CN135" s="35"/>
      <c r="CO135" s="35"/>
      <c r="CP135" s="35"/>
      <c r="CQ135" s="35"/>
    </row>
    <row r="136" spans="1:95" s="123" customFormat="1" x14ac:dyDescent="0.2">
      <c r="A136" s="511"/>
      <c r="B136" s="433" t="s">
        <v>104</v>
      </c>
      <c r="C136" s="248"/>
      <c r="D136" s="248"/>
      <c r="E136" s="248"/>
      <c r="F136" s="248"/>
      <c r="G136" s="248"/>
      <c r="H136" s="85"/>
      <c r="I136" s="85"/>
      <c r="J136" s="85"/>
      <c r="K136" s="248"/>
      <c r="L136" s="248"/>
      <c r="M136" s="248"/>
      <c r="N136" s="248"/>
      <c r="O136" s="248"/>
      <c r="P136" s="248"/>
      <c r="Q136" s="248"/>
      <c r="R136" s="248"/>
      <c r="S136" s="248"/>
      <c r="T136" s="85"/>
      <c r="U136" s="85"/>
      <c r="V136" s="85"/>
      <c r="W136" s="248"/>
      <c r="X136" s="248"/>
      <c r="Y136" s="248"/>
      <c r="Z136" s="248"/>
      <c r="AA136" s="248"/>
      <c r="AB136" s="248"/>
      <c r="AC136" s="248"/>
      <c r="AD136" s="248"/>
    </row>
    <row r="137" spans="1:95" s="1" customFormat="1" x14ac:dyDescent="0.2">
      <c r="A137" s="511"/>
      <c r="B137" s="434" t="s">
        <v>105</v>
      </c>
      <c r="C137" s="31"/>
      <c r="D137" s="31"/>
      <c r="E137" s="31"/>
      <c r="F137" s="31"/>
      <c r="G137" s="31"/>
      <c r="H137" s="407"/>
      <c r="I137" s="407"/>
      <c r="J137" s="407">
        <v>5.8900000000000001E-2</v>
      </c>
      <c r="K137" s="31"/>
      <c r="L137" s="31"/>
      <c r="M137" s="31"/>
      <c r="N137" s="31"/>
      <c r="O137" s="31"/>
      <c r="P137" s="31"/>
      <c r="Q137" s="31"/>
      <c r="R137" s="31"/>
      <c r="S137" s="31"/>
      <c r="T137" s="407"/>
      <c r="U137" s="407"/>
      <c r="V137" s="407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</row>
    <row r="138" spans="1:95" s="55" customFormat="1" ht="13.5" thickBot="1" x14ac:dyDescent="0.25">
      <c r="A138" s="511"/>
      <c r="B138" s="435" t="s">
        <v>106</v>
      </c>
      <c r="C138" s="122"/>
      <c r="D138" s="122"/>
      <c r="E138" s="122"/>
      <c r="F138" s="122"/>
      <c r="G138" s="122"/>
      <c r="H138" s="54">
        <f>H137*H136</f>
        <v>0</v>
      </c>
      <c r="I138" s="54">
        <f>I136*I137</f>
        <v>0</v>
      </c>
      <c r="J138" s="54">
        <f>J136*J137</f>
        <v>0</v>
      </c>
      <c r="K138" s="122"/>
      <c r="L138" s="122"/>
      <c r="M138" s="122"/>
      <c r="N138" s="122"/>
      <c r="O138" s="122"/>
      <c r="P138" s="122"/>
      <c r="Q138" s="122"/>
      <c r="R138" s="122"/>
      <c r="S138" s="122"/>
      <c r="T138" s="54"/>
      <c r="U138" s="54"/>
      <c r="V138" s="54"/>
      <c r="W138" s="122"/>
      <c r="X138" s="122"/>
      <c r="Y138" s="122"/>
      <c r="Z138" s="122"/>
      <c r="AA138" s="122"/>
      <c r="AB138" s="122"/>
      <c r="AC138" s="122"/>
      <c r="AD138" s="122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  <c r="BP138" s="35"/>
      <c r="BQ138" s="35"/>
      <c r="BR138" s="35"/>
      <c r="BS138" s="35"/>
      <c r="BT138" s="35"/>
      <c r="BU138" s="35"/>
      <c r="BV138" s="35"/>
      <c r="BW138" s="35"/>
      <c r="BX138" s="35"/>
      <c r="BY138" s="35"/>
      <c r="BZ138" s="35"/>
      <c r="CA138" s="35"/>
      <c r="CB138" s="35"/>
      <c r="CC138" s="35"/>
      <c r="CD138" s="35"/>
      <c r="CE138" s="35"/>
      <c r="CF138" s="35"/>
      <c r="CG138" s="35"/>
      <c r="CH138" s="35"/>
      <c r="CI138" s="35"/>
      <c r="CJ138" s="35"/>
      <c r="CK138" s="35"/>
      <c r="CL138" s="35"/>
      <c r="CM138" s="35"/>
      <c r="CN138" s="35"/>
      <c r="CO138" s="35"/>
      <c r="CP138" s="35"/>
      <c r="CQ138" s="35"/>
    </row>
    <row r="139" spans="1:95" s="31" customFormat="1" ht="12" customHeight="1" x14ac:dyDescent="0.2">
      <c r="A139" s="511"/>
      <c r="B139" s="428" t="s">
        <v>9</v>
      </c>
      <c r="C139" s="1">
        <v>2.5000000000000001E-2</v>
      </c>
      <c r="D139" s="1">
        <v>2.5000000000000001E-2</v>
      </c>
      <c r="E139" s="1">
        <v>2.5000000000000001E-2</v>
      </c>
      <c r="F139" s="1" t="e">
        <f>#REF!</f>
        <v>#REF!</v>
      </c>
      <c r="G139" s="1" t="e">
        <f>#REF!</f>
        <v>#REF!</v>
      </c>
      <c r="H139" s="1" t="e">
        <f>#REF!</f>
        <v>#REF!</v>
      </c>
      <c r="I139" s="1" t="e">
        <f>#REF!</f>
        <v>#REF!</v>
      </c>
      <c r="J139" s="1" t="e">
        <f>#REF!</f>
        <v>#REF!</v>
      </c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95" s="43" customFormat="1" x14ac:dyDescent="0.2">
      <c r="A140" s="511"/>
      <c r="B140" s="436" t="s">
        <v>11</v>
      </c>
      <c r="C140" s="4">
        <f t="shared" ref="C140:J140" si="17">C139*C100</f>
        <v>0</v>
      </c>
      <c r="D140" s="4">
        <f t="shared" si="17"/>
        <v>0</v>
      </c>
      <c r="E140" s="4">
        <f t="shared" si="17"/>
        <v>0</v>
      </c>
      <c r="F140" s="4" t="e">
        <f t="shared" si="17"/>
        <v>#REF!</v>
      </c>
      <c r="G140" s="4" t="e">
        <f t="shared" si="17"/>
        <v>#REF!</v>
      </c>
      <c r="H140" s="4" t="e">
        <f t="shared" si="17"/>
        <v>#REF!</v>
      </c>
      <c r="I140" s="4" t="e">
        <f t="shared" si="17"/>
        <v>#REF!</v>
      </c>
      <c r="J140" s="4" t="e">
        <f t="shared" si="17"/>
        <v>#REF!</v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95" s="31" customFormat="1" x14ac:dyDescent="0.2">
      <c r="A141" s="511"/>
      <c r="B141" s="428" t="s">
        <v>26</v>
      </c>
      <c r="C141" s="49">
        <v>1.9699999999999999E-2</v>
      </c>
      <c r="D141" s="49">
        <v>1.9699999999999999E-2</v>
      </c>
      <c r="E141" s="49">
        <v>1.9699999999999999E-2</v>
      </c>
      <c r="F141" s="49" t="e">
        <f>#REF!</f>
        <v>#REF!</v>
      </c>
      <c r="G141" s="49" t="e">
        <f>#REF!</f>
        <v>#REF!</v>
      </c>
      <c r="H141" s="49" t="e">
        <f>#REF!</f>
        <v>#REF!</v>
      </c>
      <c r="I141" s="49" t="e">
        <f>#REF!</f>
        <v>#REF!</v>
      </c>
      <c r="J141" s="49" t="e">
        <f>#REF!</f>
        <v>#REF!</v>
      </c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</row>
    <row r="142" spans="1:95" s="188" customFormat="1" x14ac:dyDescent="0.2">
      <c r="A142" s="511"/>
      <c r="B142" s="436" t="s">
        <v>27</v>
      </c>
      <c r="C142" s="126">
        <f t="shared" ref="C142:J142" si="18">C141*C100</f>
        <v>0</v>
      </c>
      <c r="D142" s="126">
        <f t="shared" si="18"/>
        <v>0</v>
      </c>
      <c r="E142" s="126">
        <f t="shared" si="18"/>
        <v>0</v>
      </c>
      <c r="F142" s="126" t="e">
        <f t="shared" si="18"/>
        <v>#REF!</v>
      </c>
      <c r="G142" s="126" t="e">
        <f t="shared" si="18"/>
        <v>#REF!</v>
      </c>
      <c r="H142" s="126" t="e">
        <f t="shared" si="18"/>
        <v>#REF!</v>
      </c>
      <c r="I142" s="126" t="e">
        <f t="shared" si="18"/>
        <v>#REF!</v>
      </c>
      <c r="J142" s="126" t="e">
        <f t="shared" si="18"/>
        <v>#REF!</v>
      </c>
      <c r="K142" s="126"/>
      <c r="L142" s="126"/>
      <c r="M142" s="126"/>
      <c r="N142" s="126"/>
      <c r="O142" s="126"/>
      <c r="P142" s="126"/>
      <c r="Q142" s="126"/>
      <c r="R142" s="126"/>
      <c r="S142" s="126"/>
      <c r="T142" s="126"/>
      <c r="U142" s="126"/>
      <c r="V142" s="126"/>
      <c r="W142" s="126"/>
      <c r="X142" s="126"/>
      <c r="Y142" s="126"/>
      <c r="Z142" s="126"/>
      <c r="AA142" s="126"/>
      <c r="AB142" s="126"/>
      <c r="AC142" s="126"/>
      <c r="AD142" s="126"/>
    </row>
    <row r="143" spans="1:95" s="43" customFormat="1" x14ac:dyDescent="0.2">
      <c r="A143" s="511"/>
      <c r="B143" s="436" t="s">
        <v>4</v>
      </c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  <c r="AC143" s="91"/>
      <c r="AD143" s="91"/>
    </row>
    <row r="144" spans="1:95" s="46" customFormat="1" ht="13.5" thickBot="1" x14ac:dyDescent="0.25">
      <c r="A144" s="511"/>
      <c r="B144" s="437" t="s">
        <v>34</v>
      </c>
      <c r="C144" s="92"/>
      <c r="D144" s="92"/>
      <c r="E144" s="92"/>
      <c r="F144" s="196"/>
      <c r="G144" s="92"/>
      <c r="H144" s="92"/>
      <c r="I144" s="92"/>
      <c r="J144" s="92"/>
      <c r="K144" s="196"/>
      <c r="L144" s="196"/>
      <c r="M144" s="196"/>
      <c r="N144" s="196"/>
      <c r="O144" s="196"/>
      <c r="P144" s="196"/>
      <c r="Q144" s="196"/>
      <c r="R144" s="196"/>
      <c r="S144" s="196"/>
      <c r="T144" s="92"/>
      <c r="U144" s="92"/>
      <c r="V144" s="92"/>
      <c r="W144" s="196"/>
      <c r="X144" s="196"/>
      <c r="Y144" s="196"/>
      <c r="Z144" s="196"/>
      <c r="AA144" s="196"/>
      <c r="AB144" s="196"/>
      <c r="AC144" s="196"/>
      <c r="AD144" s="196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</row>
    <row r="145" spans="1:95" s="48" customFormat="1" ht="13.5" thickBot="1" x14ac:dyDescent="0.25">
      <c r="A145" s="511"/>
      <c r="B145" s="438" t="s">
        <v>51</v>
      </c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</row>
    <row r="146" spans="1:95" s="38" customFormat="1" ht="13.5" thickBot="1" x14ac:dyDescent="0.25">
      <c r="A146" s="511"/>
      <c r="B146" s="439" t="s">
        <v>59</v>
      </c>
      <c r="C146" s="37" t="e">
        <f t="shared" ref="C146:J146" si="19">C145/C100*100</f>
        <v>#DIV/0!</v>
      </c>
      <c r="D146" s="37" t="e">
        <f t="shared" si="19"/>
        <v>#DIV/0!</v>
      </c>
      <c r="E146" s="37" t="e">
        <f t="shared" si="19"/>
        <v>#DIV/0!</v>
      </c>
      <c r="F146" s="37" t="e">
        <f t="shared" si="19"/>
        <v>#DIV/0!</v>
      </c>
      <c r="G146" s="37" t="e">
        <f t="shared" si="19"/>
        <v>#DIV/0!</v>
      </c>
      <c r="H146" s="37" t="e">
        <f t="shared" si="19"/>
        <v>#DIV/0!</v>
      </c>
      <c r="I146" s="37" t="e">
        <f t="shared" si="19"/>
        <v>#DIV/0!</v>
      </c>
      <c r="J146" s="89" t="e">
        <f t="shared" si="19"/>
        <v>#DIV/0!</v>
      </c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89"/>
      <c r="W146" s="37"/>
      <c r="X146" s="37"/>
      <c r="Y146" s="37"/>
      <c r="Z146" s="37"/>
      <c r="AA146" s="37"/>
      <c r="AB146" s="37"/>
      <c r="AC146" s="37"/>
      <c r="AD146" s="37"/>
      <c r="AE146" s="390"/>
      <c r="AF146" s="390"/>
      <c r="AG146" s="390"/>
      <c r="AH146" s="390"/>
      <c r="AI146" s="390"/>
      <c r="AJ146" s="390"/>
      <c r="AK146" s="390"/>
      <c r="AL146" s="390"/>
      <c r="AM146" s="390"/>
      <c r="AN146" s="390"/>
      <c r="AO146" s="390"/>
      <c r="AP146" s="390"/>
      <c r="AQ146" s="390"/>
      <c r="AR146" s="390"/>
      <c r="AS146" s="390"/>
      <c r="AT146" s="390"/>
      <c r="AU146" s="390"/>
      <c r="AV146" s="390"/>
      <c r="AW146" s="390"/>
      <c r="AX146" s="390"/>
      <c r="AY146" s="390"/>
      <c r="AZ146" s="390"/>
      <c r="BA146" s="390"/>
      <c r="BB146" s="390"/>
      <c r="BC146" s="390"/>
      <c r="BD146" s="390"/>
      <c r="BE146" s="390"/>
      <c r="BF146" s="390"/>
      <c r="BG146" s="390"/>
      <c r="BH146" s="390"/>
      <c r="BI146" s="390"/>
      <c r="BJ146" s="390"/>
      <c r="BK146" s="390"/>
      <c r="BL146" s="390"/>
      <c r="BM146" s="390"/>
      <c r="BN146" s="390"/>
      <c r="BO146" s="390"/>
      <c r="BP146" s="390"/>
      <c r="BQ146" s="390"/>
      <c r="BR146" s="390"/>
      <c r="BS146" s="390"/>
      <c r="BT146" s="390"/>
      <c r="BU146" s="390"/>
      <c r="BV146" s="390"/>
      <c r="BW146" s="390"/>
      <c r="BX146" s="390"/>
      <c r="BY146" s="390"/>
      <c r="BZ146" s="390"/>
      <c r="CA146" s="390"/>
      <c r="CB146" s="390"/>
      <c r="CC146" s="390"/>
      <c r="CD146" s="390"/>
      <c r="CE146" s="390"/>
      <c r="CF146" s="390"/>
      <c r="CG146" s="390"/>
      <c r="CH146" s="390"/>
      <c r="CI146" s="390"/>
      <c r="CJ146" s="390"/>
      <c r="CK146" s="390"/>
      <c r="CL146" s="390"/>
      <c r="CM146" s="390"/>
      <c r="CN146" s="390"/>
      <c r="CO146" s="390"/>
      <c r="CP146" s="390"/>
      <c r="CQ146" s="390"/>
    </row>
    <row r="147" spans="1:95" s="403" customFormat="1" ht="13.5" thickBot="1" x14ac:dyDescent="0.25">
      <c r="A147" s="511"/>
      <c r="B147" s="401" t="s">
        <v>71</v>
      </c>
      <c r="C147" s="402" t="e">
        <f t="shared" ref="C147:J147" si="20">SUM(C113,C115,C119,C117,C125,C127,C129,C131,C133,C135,C138,C140,C142,C143,C144)-C145</f>
        <v>#REF!</v>
      </c>
      <c r="D147" s="402" t="e">
        <f t="shared" si="20"/>
        <v>#REF!</v>
      </c>
      <c r="E147" s="402" t="e">
        <f t="shared" si="20"/>
        <v>#REF!</v>
      </c>
      <c r="F147" s="402" t="e">
        <f t="shared" si="20"/>
        <v>#REF!</v>
      </c>
      <c r="G147" s="402" t="e">
        <f t="shared" si="20"/>
        <v>#REF!</v>
      </c>
      <c r="H147" s="402" t="e">
        <f t="shared" si="20"/>
        <v>#REF!</v>
      </c>
      <c r="I147" s="402" t="e">
        <f t="shared" si="20"/>
        <v>#REF!</v>
      </c>
      <c r="J147" s="402" t="e">
        <f t="shared" si="20"/>
        <v>#REF!</v>
      </c>
      <c r="K147" s="402"/>
      <c r="L147" s="402"/>
      <c r="M147" s="402"/>
      <c r="N147" s="402"/>
      <c r="O147" s="402"/>
      <c r="P147" s="402"/>
      <c r="Q147" s="402"/>
      <c r="R147" s="402"/>
      <c r="S147" s="402"/>
      <c r="T147" s="402"/>
      <c r="U147" s="402"/>
      <c r="V147" s="402"/>
      <c r="W147" s="402"/>
      <c r="X147" s="402"/>
      <c r="Y147" s="402"/>
      <c r="Z147" s="402"/>
      <c r="AA147" s="402"/>
      <c r="AB147" s="402"/>
      <c r="AC147" s="402"/>
      <c r="AD147" s="402"/>
      <c r="AE147" s="100"/>
      <c r="AF147" s="100"/>
      <c r="AG147" s="100"/>
      <c r="AH147" s="100"/>
      <c r="AI147" s="100"/>
      <c r="AJ147" s="100"/>
      <c r="AK147" s="100"/>
      <c r="AL147" s="100"/>
      <c r="AM147" s="100"/>
      <c r="AN147" s="100"/>
      <c r="AO147" s="100"/>
      <c r="AP147" s="100"/>
      <c r="AQ147" s="100"/>
      <c r="AR147" s="100"/>
      <c r="AS147" s="100"/>
      <c r="AT147" s="100"/>
      <c r="AU147" s="100"/>
      <c r="AV147" s="100"/>
      <c r="AW147" s="100"/>
      <c r="AX147" s="100"/>
      <c r="AY147" s="100"/>
      <c r="AZ147" s="100"/>
      <c r="BA147" s="100"/>
      <c r="BB147" s="100"/>
      <c r="BC147" s="100"/>
      <c r="BD147" s="100"/>
      <c r="BE147" s="100"/>
      <c r="BF147" s="100"/>
      <c r="BG147" s="100"/>
      <c r="BH147" s="100"/>
      <c r="BI147" s="100"/>
      <c r="BJ147" s="100"/>
      <c r="BK147" s="100"/>
      <c r="BL147" s="100"/>
      <c r="BM147" s="100"/>
      <c r="BN147" s="100"/>
      <c r="BO147" s="100"/>
      <c r="BP147" s="100"/>
      <c r="BQ147" s="100"/>
      <c r="BR147" s="100"/>
      <c r="BS147" s="100"/>
      <c r="BT147" s="100"/>
      <c r="BU147" s="100"/>
      <c r="BV147" s="100"/>
      <c r="BW147" s="100"/>
      <c r="BX147" s="100"/>
      <c r="BY147" s="100"/>
      <c r="BZ147" s="100"/>
      <c r="CA147" s="100"/>
      <c r="CB147" s="100"/>
      <c r="CC147" s="100"/>
      <c r="CD147" s="100"/>
      <c r="CE147" s="100"/>
      <c r="CF147" s="100"/>
      <c r="CG147" s="100"/>
      <c r="CH147" s="100"/>
      <c r="CI147" s="100"/>
      <c r="CJ147" s="100"/>
      <c r="CK147" s="100"/>
      <c r="CL147" s="100"/>
      <c r="CM147" s="100"/>
      <c r="CN147" s="100"/>
      <c r="CO147" s="100"/>
      <c r="CP147" s="100"/>
      <c r="CQ147" s="100"/>
    </row>
    <row r="148" spans="1:95" s="406" customFormat="1" ht="13.5" thickBot="1" x14ac:dyDescent="0.25">
      <c r="A148" s="512"/>
      <c r="B148" s="404" t="s">
        <v>72</v>
      </c>
      <c r="C148" s="405" t="e">
        <f t="shared" ref="C148" si="21">C147/C145</f>
        <v>#REF!</v>
      </c>
      <c r="D148" s="405" t="e">
        <f t="shared" ref="D148" si="22">D147/D145</f>
        <v>#REF!</v>
      </c>
      <c r="E148" s="405" t="e">
        <f t="shared" ref="E148" si="23">E147/E145</f>
        <v>#REF!</v>
      </c>
      <c r="F148" s="405" t="e">
        <f t="shared" ref="F148" si="24">F147/F145</f>
        <v>#REF!</v>
      </c>
      <c r="G148" s="405" t="e">
        <f t="shared" ref="G148" si="25">G147/G145</f>
        <v>#REF!</v>
      </c>
      <c r="H148" s="405" t="e">
        <f t="shared" ref="H148" si="26">H147/H145</f>
        <v>#REF!</v>
      </c>
      <c r="I148" s="405" t="e">
        <f t="shared" ref="I148" si="27">I147/I145</f>
        <v>#REF!</v>
      </c>
      <c r="J148" s="405" t="e">
        <f>J147/J145</f>
        <v>#REF!</v>
      </c>
      <c r="K148" s="405"/>
      <c r="L148" s="405"/>
      <c r="M148" s="405"/>
      <c r="N148" s="405"/>
      <c r="O148" s="405"/>
      <c r="P148" s="405"/>
      <c r="Q148" s="405"/>
      <c r="R148" s="405"/>
      <c r="S148" s="405"/>
      <c r="T148" s="405"/>
      <c r="U148" s="405"/>
      <c r="V148" s="405"/>
      <c r="W148" s="405"/>
      <c r="X148" s="405"/>
      <c r="Y148" s="405"/>
      <c r="Z148" s="405"/>
      <c r="AA148" s="405"/>
      <c r="AB148" s="405"/>
      <c r="AC148" s="405"/>
      <c r="AD148" s="405"/>
      <c r="AE148" s="391"/>
      <c r="AF148" s="391"/>
      <c r="AG148" s="391"/>
      <c r="AH148" s="391"/>
      <c r="AI148" s="391"/>
      <c r="AJ148" s="391"/>
      <c r="AK148" s="391"/>
      <c r="AL148" s="391"/>
      <c r="AM148" s="391"/>
      <c r="AN148" s="391"/>
      <c r="AO148" s="391"/>
      <c r="AP148" s="391"/>
      <c r="AQ148" s="391"/>
      <c r="AR148" s="391"/>
      <c r="AS148" s="391"/>
      <c r="AT148" s="391"/>
      <c r="AU148" s="391"/>
      <c r="AV148" s="391"/>
      <c r="AW148" s="391"/>
      <c r="AX148" s="391"/>
      <c r="AY148" s="391"/>
      <c r="AZ148" s="391"/>
      <c r="BA148" s="391"/>
      <c r="BB148" s="391"/>
      <c r="BC148" s="391"/>
      <c r="BD148" s="391"/>
      <c r="BE148" s="391"/>
      <c r="BF148" s="391"/>
      <c r="BG148" s="391"/>
      <c r="BH148" s="391"/>
      <c r="BI148" s="391"/>
      <c r="BJ148" s="391"/>
      <c r="BK148" s="391"/>
      <c r="BL148" s="391"/>
      <c r="BM148" s="391"/>
      <c r="BN148" s="391"/>
      <c r="BO148" s="391"/>
      <c r="BP148" s="391"/>
      <c r="BQ148" s="391"/>
      <c r="BR148" s="391"/>
      <c r="BS148" s="391"/>
      <c r="BT148" s="391"/>
      <c r="BU148" s="391"/>
      <c r="BV148" s="391"/>
      <c r="BW148" s="391"/>
      <c r="BX148" s="391"/>
      <c r="BY148" s="391"/>
      <c r="BZ148" s="391"/>
      <c r="CA148" s="391"/>
      <c r="CB148" s="391"/>
      <c r="CC148" s="391"/>
      <c r="CD148" s="391"/>
      <c r="CE148" s="391"/>
      <c r="CF148" s="391"/>
      <c r="CG148" s="391"/>
      <c r="CH148" s="391"/>
      <c r="CI148" s="391"/>
      <c r="CJ148" s="391"/>
      <c r="CK148" s="391"/>
      <c r="CL148" s="391"/>
      <c r="CM148" s="391"/>
      <c r="CN148" s="391"/>
      <c r="CO148" s="391"/>
      <c r="CP148" s="391"/>
      <c r="CQ148" s="391"/>
    </row>
    <row r="149" spans="1:95" s="64" customFormat="1" x14ac:dyDescent="0.2">
      <c r="B149" s="464"/>
    </row>
  </sheetData>
  <mergeCells count="3">
    <mergeCell ref="A2:A36"/>
    <mergeCell ref="A39:A92"/>
    <mergeCell ref="A95:A148"/>
  </mergeCells>
  <phoneticPr fontId="2" type="noConversion"/>
  <conditionalFormatting sqref="B52 BO52:GY52">
    <cfRule type="cellIs" dxfId="81" priority="276" stopIfTrue="1" operator="equal">
      <formula>""""""</formula>
    </cfRule>
  </conditionalFormatting>
  <conditionalFormatting sqref="C52:G52">
    <cfRule type="cellIs" dxfId="80" priority="277" stopIfTrue="1" operator="greaterThan">
      <formula>0</formula>
    </cfRule>
  </conditionalFormatting>
  <conditionalFormatting sqref="C48:G48 BO48:XFD48">
    <cfRule type="expression" dxfId="79" priority="232" stopIfTrue="1">
      <formula>C48&lt;&gt;MAX(C46:C47)</formula>
    </cfRule>
  </conditionalFormatting>
  <conditionalFormatting sqref="H48:I48">
    <cfRule type="expression" dxfId="78" priority="229" stopIfTrue="1">
      <formula>H48&lt;&gt;MAX(H46:H47)</formula>
    </cfRule>
  </conditionalFormatting>
  <conditionalFormatting sqref="B25 BO25:GY25">
    <cfRule type="cellIs" dxfId="77" priority="222" stopIfTrue="1" operator="equal">
      <formula>""""""</formula>
    </cfRule>
  </conditionalFormatting>
  <conditionalFormatting sqref="C25:G25">
    <cfRule type="cellIs" dxfId="76" priority="223" stopIfTrue="1" operator="greaterThan">
      <formula>0</formula>
    </cfRule>
  </conditionalFormatting>
  <conditionalFormatting sqref="H25:I25">
    <cfRule type="cellIs" dxfId="75" priority="221" stopIfTrue="1" operator="greaterThan">
      <formula>0</formula>
    </cfRule>
  </conditionalFormatting>
  <conditionalFormatting sqref="J25">
    <cfRule type="cellIs" dxfId="74" priority="220" stopIfTrue="1" operator="greaterThan">
      <formula>0</formula>
    </cfRule>
  </conditionalFormatting>
  <conditionalFormatting sqref="J52">
    <cfRule type="cellIs" dxfId="73" priority="216" stopIfTrue="1" operator="greaterThan">
      <formula>0</formula>
    </cfRule>
  </conditionalFormatting>
  <conditionalFormatting sqref="J48">
    <cfRule type="expression" dxfId="72" priority="215" stopIfTrue="1">
      <formula>J48&lt;&gt;MAX(J45:J47)</formula>
    </cfRule>
  </conditionalFormatting>
  <conditionalFormatting sqref="H52:I52">
    <cfRule type="cellIs" dxfId="71" priority="213" stopIfTrue="1" operator="greaterThan">
      <formula>0</formula>
    </cfRule>
  </conditionalFormatting>
  <conditionalFormatting sqref="C108:G108">
    <cfRule type="cellIs" dxfId="70" priority="209" stopIfTrue="1" operator="greaterThan">
      <formula>0</formula>
    </cfRule>
  </conditionalFormatting>
  <conditionalFormatting sqref="B108 BO108:GY108">
    <cfRule type="cellIs" dxfId="69" priority="208" stopIfTrue="1" operator="equal">
      <formula>""""""</formula>
    </cfRule>
  </conditionalFormatting>
  <conditionalFormatting sqref="C104:I104 BO104:XFD104">
    <cfRule type="expression" dxfId="68" priority="207" stopIfTrue="1">
      <formula>C104&lt;&gt;MAX(C101:C103)</formula>
    </cfRule>
  </conditionalFormatting>
  <conditionalFormatting sqref="J104">
    <cfRule type="expression" dxfId="67" priority="204" stopIfTrue="1">
      <formula>J104&lt;&gt;MAX(J101:J103)</formula>
    </cfRule>
  </conditionalFormatting>
  <conditionalFormatting sqref="J108">
    <cfRule type="cellIs" dxfId="66" priority="139" stopIfTrue="1" operator="greaterThan">
      <formula>0</formula>
    </cfRule>
  </conditionalFormatting>
  <conditionalFormatting sqref="H108:I108">
    <cfRule type="cellIs" dxfId="65" priority="138" stopIfTrue="1" operator="greaterThan">
      <formula>0</formula>
    </cfRule>
  </conditionalFormatting>
  <conditionalFormatting sqref="AE52:BN52">
    <cfRule type="cellIs" dxfId="64" priority="136" stopIfTrue="1" operator="equal">
      <formula>""""""</formula>
    </cfRule>
  </conditionalFormatting>
  <conditionalFormatting sqref="AE48:BN48">
    <cfRule type="expression" dxfId="63" priority="132" stopIfTrue="1">
      <formula>AE48&lt;&gt;MAX(AE46:AE47)</formula>
    </cfRule>
  </conditionalFormatting>
  <conditionalFormatting sqref="AE25:BN25">
    <cfRule type="cellIs" dxfId="62" priority="131" stopIfTrue="1" operator="equal">
      <formula>""""""</formula>
    </cfRule>
  </conditionalFormatting>
  <conditionalFormatting sqref="AE108:BN108">
    <cfRule type="cellIs" dxfId="61" priority="130" stopIfTrue="1" operator="equal">
      <formula>""""""</formula>
    </cfRule>
  </conditionalFormatting>
  <conditionalFormatting sqref="AE104:BN104">
    <cfRule type="expression" dxfId="60" priority="129" stopIfTrue="1">
      <formula>AE104&lt;&gt;MAX(AE101:AE103)</formula>
    </cfRule>
  </conditionalFormatting>
  <conditionalFormatting sqref="K52:S52">
    <cfRule type="cellIs" dxfId="59" priority="108" stopIfTrue="1" operator="greaterThan">
      <formula>0</formula>
    </cfRule>
  </conditionalFormatting>
  <conditionalFormatting sqref="K48:S48">
    <cfRule type="expression" dxfId="58" priority="104" stopIfTrue="1">
      <formula>K48&lt;&gt;MAX(K46:K47)</formula>
    </cfRule>
  </conditionalFormatting>
  <conditionalFormatting sqref="K108:S108">
    <cfRule type="cellIs" dxfId="57" priority="102" stopIfTrue="1" operator="greaterThan">
      <formula>0</formula>
    </cfRule>
  </conditionalFormatting>
  <conditionalFormatting sqref="K104:S104">
    <cfRule type="expression" dxfId="56" priority="101" stopIfTrue="1">
      <formula>K104&lt;&gt;MAX(K101:K103)</formula>
    </cfRule>
  </conditionalFormatting>
  <conditionalFormatting sqref="T48:U48">
    <cfRule type="expression" dxfId="55" priority="77" stopIfTrue="1">
      <formula>T48&lt;&gt;MAX(T46:T47)</formula>
    </cfRule>
  </conditionalFormatting>
  <conditionalFormatting sqref="T25:U25">
    <cfRule type="cellIs" dxfId="54" priority="76" stopIfTrue="1" operator="greaterThan">
      <formula>0</formula>
    </cfRule>
  </conditionalFormatting>
  <conditionalFormatting sqref="V25">
    <cfRule type="cellIs" dxfId="53" priority="75" stopIfTrue="1" operator="greaterThan">
      <formula>0</formula>
    </cfRule>
  </conditionalFormatting>
  <conditionalFormatting sqref="V52">
    <cfRule type="cellIs" dxfId="52" priority="74" stopIfTrue="1" operator="greaterThan">
      <formula>0</formula>
    </cfRule>
  </conditionalFormatting>
  <conditionalFormatting sqref="V48">
    <cfRule type="expression" dxfId="51" priority="73" stopIfTrue="1">
      <formula>V48&lt;&gt;MAX(V45:V47)</formula>
    </cfRule>
  </conditionalFormatting>
  <conditionalFormatting sqref="T52:U52">
    <cfRule type="cellIs" dxfId="50" priority="72" stopIfTrue="1" operator="greaterThan">
      <formula>0</formula>
    </cfRule>
  </conditionalFormatting>
  <conditionalFormatting sqref="T104:U104">
    <cfRule type="expression" dxfId="49" priority="70" stopIfTrue="1">
      <formula>T104&lt;&gt;MAX(T101:T103)</formula>
    </cfRule>
  </conditionalFormatting>
  <conditionalFormatting sqref="V104">
    <cfRule type="expression" dxfId="48" priority="69" stopIfTrue="1">
      <formula>V104&lt;&gt;MAX(V101:V103)</formula>
    </cfRule>
  </conditionalFormatting>
  <conditionalFormatting sqref="V108">
    <cfRule type="cellIs" dxfId="47" priority="30" stopIfTrue="1" operator="greaterThan">
      <formula>0</formula>
    </cfRule>
  </conditionalFormatting>
  <conditionalFormatting sqref="T108:U108">
    <cfRule type="cellIs" dxfId="46" priority="29" stopIfTrue="1" operator="greaterThan">
      <formula>0</formula>
    </cfRule>
  </conditionalFormatting>
  <conditionalFormatting sqref="W52:AD52">
    <cfRule type="cellIs" dxfId="45" priority="27" stopIfTrue="1" operator="greaterThan">
      <formula>0</formula>
    </cfRule>
  </conditionalFormatting>
  <conditionalFormatting sqref="W48:AD48">
    <cfRule type="expression" dxfId="44" priority="23" stopIfTrue="1">
      <formula>W48&lt;&gt;MAX(W46:W47)</formula>
    </cfRule>
  </conditionalFormatting>
  <conditionalFormatting sqref="W25:AD25">
    <cfRule type="cellIs" dxfId="43" priority="22" stopIfTrue="1" operator="greaterThan">
      <formula>0</formula>
    </cfRule>
  </conditionalFormatting>
  <conditionalFormatting sqref="W108:AD108">
    <cfRule type="cellIs" dxfId="42" priority="21" stopIfTrue="1" operator="greaterThan">
      <formula>0</formula>
    </cfRule>
  </conditionalFormatting>
  <conditionalFormatting sqref="W104:AD104">
    <cfRule type="expression" dxfId="41" priority="20" stopIfTrue="1">
      <formula>W104&lt;&gt;MAX(W101:W103)</formula>
    </cfRule>
  </conditionalFormatting>
  <conditionalFormatting sqref="C44:XFD44 C100:XFD100 C24:XFD24">
    <cfRule type="expression" dxfId="0" priority="279">
      <formula>#REF!&lt;&gt;SUM(#REF!)</formula>
    </cfRule>
  </conditionalFormatting>
  <pageMargins left="0.75" right="0.75" top="1" bottom="1" header="0.5" footer="0.5"/>
  <pageSetup paperSize="9" orientation="portrait" horizontalDpi="4294967293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0"/>
  </sheetPr>
  <dimension ref="A1:W65"/>
  <sheetViews>
    <sheetView zoomScale="70" zoomScaleNormal="70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Q14" sqref="Q14"/>
    </sheetView>
  </sheetViews>
  <sheetFormatPr defaultColWidth="12.42578125" defaultRowHeight="12.75" x14ac:dyDescent="0.2"/>
  <sheetData>
    <row r="1" spans="1:14" ht="13.5" thickBot="1" x14ac:dyDescent="0.25">
      <c r="A1" s="10" t="s">
        <v>37</v>
      </c>
      <c r="B1" s="11"/>
    </row>
    <row r="2" spans="1:14" ht="13.5" thickBot="1" x14ac:dyDescent="0.25">
      <c r="A2" s="21" t="s">
        <v>38</v>
      </c>
      <c r="B2" s="133"/>
      <c r="C2" s="12">
        <v>40185</v>
      </c>
      <c r="D2" s="12">
        <v>40216</v>
      </c>
      <c r="E2" s="12">
        <v>40244</v>
      </c>
      <c r="F2" s="12">
        <v>40275</v>
      </c>
      <c r="G2" s="12">
        <v>40305</v>
      </c>
      <c r="H2" s="12">
        <v>40336</v>
      </c>
      <c r="I2" s="12">
        <v>40366</v>
      </c>
      <c r="J2" s="12">
        <v>40397</v>
      </c>
      <c r="K2" s="12">
        <v>40428</v>
      </c>
      <c r="L2" s="12">
        <v>40458</v>
      </c>
      <c r="M2" s="12">
        <v>40489</v>
      </c>
      <c r="N2" s="12">
        <v>40519</v>
      </c>
    </row>
    <row r="3" spans="1:14" s="104" customFormat="1" x14ac:dyDescent="0.2">
      <c r="A3" s="102"/>
      <c r="B3" s="103"/>
      <c r="C3" s="104">
        <f>Eskom!C39</f>
        <v>4500</v>
      </c>
      <c r="D3" s="104">
        <f>Eskom!D39</f>
        <v>4500</v>
      </c>
      <c r="E3" s="104">
        <f>Eskom!E39</f>
        <v>4500</v>
      </c>
      <c r="F3" s="104">
        <f>Eskom!F39</f>
        <v>4500</v>
      </c>
      <c r="G3" s="104">
        <f>Eskom!G39</f>
        <v>0</v>
      </c>
      <c r="H3" s="104">
        <f>Eskom!H39</f>
        <v>0</v>
      </c>
      <c r="I3" s="104">
        <f>Eskom!I39</f>
        <v>0</v>
      </c>
      <c r="J3" s="104">
        <f>Eskom!J39</f>
        <v>4500</v>
      </c>
      <c r="K3" s="104" t="str">
        <f>Eskom!K39</f>
        <v>x</v>
      </c>
      <c r="L3" s="104">
        <f>Eskom!L39</f>
        <v>0</v>
      </c>
      <c r="M3" s="104">
        <f>Eskom!M39</f>
        <v>0</v>
      </c>
      <c r="N3" s="104">
        <f>Eskom!N39</f>
        <v>0</v>
      </c>
    </row>
    <row r="4" spans="1:14" s="59" customFormat="1" ht="13.5" thickBot="1" x14ac:dyDescent="0.25">
      <c r="A4" s="61"/>
      <c r="B4" s="62"/>
      <c r="C4" s="60">
        <f>Eskom!C40</f>
        <v>4500</v>
      </c>
      <c r="D4" s="60">
        <f>Eskom!D40</f>
        <v>4500</v>
      </c>
      <c r="E4" s="60">
        <f>Eskom!E40</f>
        <v>4500</v>
      </c>
      <c r="F4" s="60">
        <f>Eskom!F40</f>
        <v>4500</v>
      </c>
      <c r="G4" s="60">
        <f>Eskom!G40</f>
        <v>0</v>
      </c>
      <c r="H4" s="60">
        <f>Eskom!H40</f>
        <v>0</v>
      </c>
      <c r="I4" s="60">
        <f>Eskom!I40</f>
        <v>0</v>
      </c>
      <c r="J4" s="60">
        <f>Eskom!J40</f>
        <v>4500</v>
      </c>
      <c r="K4" s="60" t="str">
        <f>Eskom!K40</f>
        <v>x</v>
      </c>
      <c r="L4" s="60">
        <f>Eskom!L40</f>
        <v>0</v>
      </c>
      <c r="M4" s="60">
        <f>Eskom!M40</f>
        <v>0</v>
      </c>
      <c r="N4" s="60">
        <f>Eskom!N40</f>
        <v>0</v>
      </c>
    </row>
    <row r="5" spans="1:14" ht="12.75" customHeight="1" x14ac:dyDescent="0.2">
      <c r="A5" s="513" t="s">
        <v>39</v>
      </c>
      <c r="B5" s="17" t="s">
        <v>40</v>
      </c>
      <c r="C5" s="6">
        <f>Eskom!C41</f>
        <v>606303</v>
      </c>
      <c r="D5" s="6">
        <f>Eskom!D41</f>
        <v>0</v>
      </c>
      <c r="E5" s="6">
        <f>Eskom!E41</f>
        <v>634206.24</v>
      </c>
      <c r="F5" s="6">
        <f>Eskom!F41</f>
        <v>684285.12</v>
      </c>
      <c r="G5" s="6">
        <f>Eskom!G41</f>
        <v>0</v>
      </c>
      <c r="H5" s="6">
        <f>Eskom!H41</f>
        <v>0</v>
      </c>
      <c r="I5" s="6">
        <f>Eskom!I41</f>
        <v>0</v>
      </c>
      <c r="J5" s="6">
        <f>Eskom!J41</f>
        <v>694042.2</v>
      </c>
      <c r="K5" s="6" t="str">
        <f>Eskom!K41</f>
        <v>x</v>
      </c>
      <c r="L5" s="6">
        <f>Eskom!L41</f>
        <v>0</v>
      </c>
      <c r="M5" s="6">
        <f>Eskom!M41</f>
        <v>0</v>
      </c>
      <c r="N5" s="6">
        <f>Eskom!N41</f>
        <v>0</v>
      </c>
    </row>
    <row r="6" spans="1:14" x14ac:dyDescent="0.2">
      <c r="A6" s="514"/>
      <c r="B6" s="18" t="s">
        <v>1</v>
      </c>
      <c r="C6" s="6">
        <f>Eskom!C42</f>
        <v>408277.44</v>
      </c>
      <c r="D6" s="6">
        <f>Eskom!D42</f>
        <v>0</v>
      </c>
      <c r="E6" s="6">
        <f>Eskom!E42</f>
        <v>500858.28</v>
      </c>
      <c r="F6" s="6">
        <f>Eskom!F42</f>
        <v>438594.84</v>
      </c>
      <c r="G6" s="6">
        <f>Eskom!G42</f>
        <v>0</v>
      </c>
      <c r="H6" s="6">
        <f>Eskom!H42</f>
        <v>0</v>
      </c>
      <c r="I6" s="6">
        <f>Eskom!I42</f>
        <v>0</v>
      </c>
      <c r="J6" s="6">
        <f>Eskom!J42</f>
        <v>515092.32</v>
      </c>
      <c r="K6" s="6" t="str">
        <f>Eskom!K42</f>
        <v>x</v>
      </c>
      <c r="L6" s="6">
        <f>Eskom!L42</f>
        <v>0</v>
      </c>
      <c r="M6" s="6">
        <f>Eskom!M42</f>
        <v>0</v>
      </c>
      <c r="N6" s="6">
        <f>Eskom!N42</f>
        <v>0</v>
      </c>
    </row>
    <row r="7" spans="1:14" x14ac:dyDescent="0.2">
      <c r="A7" s="514"/>
      <c r="B7" s="18" t="s">
        <v>0</v>
      </c>
      <c r="C7" s="6">
        <f>Eskom!C43</f>
        <v>162726.12</v>
      </c>
      <c r="D7" s="6">
        <f>Eskom!D43</f>
        <v>0</v>
      </c>
      <c r="E7" s="6">
        <f>Eskom!E43</f>
        <v>202717.08</v>
      </c>
      <c r="F7" s="6">
        <f>Eskom!F43</f>
        <v>172180.08</v>
      </c>
      <c r="G7" s="6">
        <f>Eskom!G43</f>
        <v>0</v>
      </c>
      <c r="H7" s="6">
        <f>Eskom!H43</f>
        <v>0</v>
      </c>
      <c r="I7" s="6">
        <f>Eskom!I43</f>
        <v>0</v>
      </c>
      <c r="J7" s="6">
        <f>Eskom!J43</f>
        <v>205524.36</v>
      </c>
      <c r="K7" s="6" t="str">
        <f>Eskom!K43</f>
        <v>x</v>
      </c>
      <c r="L7" s="6">
        <f>Eskom!L43</f>
        <v>0</v>
      </c>
      <c r="M7" s="6">
        <f>Eskom!M43</f>
        <v>0</v>
      </c>
      <c r="N7" s="6">
        <f>Eskom!N43</f>
        <v>0</v>
      </c>
    </row>
    <row r="8" spans="1:14" s="107" customFormat="1" ht="13.5" thickBot="1" x14ac:dyDescent="0.25">
      <c r="A8" s="515"/>
      <c r="B8" s="157" t="s">
        <v>41</v>
      </c>
      <c r="C8" s="106">
        <f>Eskom!C44</f>
        <v>1177306.56</v>
      </c>
      <c r="D8" s="106">
        <f>Eskom!D44</f>
        <v>0</v>
      </c>
      <c r="E8" s="106">
        <f>Eskom!E44</f>
        <v>1337781.6000000001</v>
      </c>
      <c r="F8" s="106">
        <f>Eskom!F44</f>
        <v>1295060.04</v>
      </c>
      <c r="G8" s="106">
        <f>Eskom!G44</f>
        <v>0</v>
      </c>
      <c r="H8" s="106">
        <f>Eskom!H44</f>
        <v>0</v>
      </c>
      <c r="I8" s="106">
        <f>Eskom!I44</f>
        <v>0</v>
      </c>
      <c r="J8" s="106">
        <f>Eskom!J44</f>
        <v>1414658.88</v>
      </c>
      <c r="K8" s="106" t="str">
        <f>Eskom!K44</f>
        <v>x</v>
      </c>
      <c r="L8" s="106">
        <f>Eskom!L44</f>
        <v>0</v>
      </c>
      <c r="M8" s="106">
        <f>Eskom!M44</f>
        <v>0</v>
      </c>
      <c r="N8" s="106">
        <f>Eskom!N44</f>
        <v>0</v>
      </c>
    </row>
    <row r="9" spans="1:14" ht="12.75" customHeight="1" x14ac:dyDescent="0.2">
      <c r="A9" s="513" t="s">
        <v>42</v>
      </c>
      <c r="B9" s="19" t="s">
        <v>43</v>
      </c>
      <c r="C9" s="16">
        <f>Eskom!C45</f>
        <v>2281.11</v>
      </c>
      <c r="D9" s="16">
        <f>Eskom!D45</f>
        <v>0</v>
      </c>
      <c r="E9" s="16">
        <f>Eskom!E45</f>
        <v>2326.23</v>
      </c>
      <c r="F9" s="16">
        <f>Eskom!F45</f>
        <v>2326.52</v>
      </c>
      <c r="G9" s="16">
        <f>Eskom!G45</f>
        <v>0</v>
      </c>
      <c r="H9" s="16">
        <f>Eskom!H45</f>
        <v>0</v>
      </c>
      <c r="I9" s="16">
        <f>Eskom!I45</f>
        <v>0</v>
      </c>
      <c r="J9" s="16">
        <f>Eskom!J45</f>
        <v>1998.72</v>
      </c>
      <c r="K9" s="16" t="str">
        <f>Eskom!K45</f>
        <v>x</v>
      </c>
      <c r="L9" s="16">
        <f>Eskom!L45</f>
        <v>0</v>
      </c>
      <c r="M9" s="16">
        <f>Eskom!M45</f>
        <v>0</v>
      </c>
      <c r="N9" s="16">
        <f>Eskom!N45</f>
        <v>0</v>
      </c>
    </row>
    <row r="10" spans="1:14" x14ac:dyDescent="0.2">
      <c r="A10" s="514"/>
      <c r="B10" s="18" t="s">
        <v>44</v>
      </c>
      <c r="C10" s="7">
        <f>Eskom!C46</f>
        <v>2336.35</v>
      </c>
      <c r="D10" s="7">
        <f>Eskom!D46</f>
        <v>0</v>
      </c>
      <c r="E10" s="7">
        <f>Eskom!E46</f>
        <v>2379.92</v>
      </c>
      <c r="F10" s="7">
        <f>Eskom!F46</f>
        <v>2359.12</v>
      </c>
      <c r="G10" s="7">
        <f>Eskom!G46</f>
        <v>0</v>
      </c>
      <c r="H10" s="7">
        <f>Eskom!H46</f>
        <v>0</v>
      </c>
      <c r="I10" s="7">
        <f>Eskom!I46</f>
        <v>0</v>
      </c>
      <c r="J10" s="7">
        <f>Eskom!J46</f>
        <v>2106</v>
      </c>
      <c r="K10" s="7" t="str">
        <f>Eskom!K46</f>
        <v>x</v>
      </c>
      <c r="L10" s="7">
        <f>Eskom!L46</f>
        <v>0</v>
      </c>
      <c r="M10" s="7">
        <f>Eskom!M46</f>
        <v>0</v>
      </c>
      <c r="N10" s="7">
        <f>Eskom!N46</f>
        <v>0</v>
      </c>
    </row>
    <row r="11" spans="1:14" x14ac:dyDescent="0.2">
      <c r="A11" s="514"/>
      <c r="B11" s="18" t="s">
        <v>45</v>
      </c>
      <c r="C11" s="7">
        <f>Eskom!C47</f>
        <v>2331.84</v>
      </c>
      <c r="D11" s="7">
        <f>Eskom!D47</f>
        <v>0</v>
      </c>
      <c r="E11" s="7">
        <f>Eskom!E47</f>
        <v>2366.3200000000002</v>
      </c>
      <c r="F11" s="7">
        <f>Eskom!F47</f>
        <v>2363.6799999999998</v>
      </c>
      <c r="G11" s="7">
        <f>Eskom!G47</f>
        <v>0</v>
      </c>
      <c r="H11" s="7">
        <f>Eskom!H47</f>
        <v>0</v>
      </c>
      <c r="I11" s="7">
        <f>Eskom!I47</f>
        <v>0</v>
      </c>
      <c r="J11" s="7">
        <f>Eskom!J47</f>
        <v>2121.84</v>
      </c>
      <c r="K11" s="7" t="str">
        <f>Eskom!K47</f>
        <v>x</v>
      </c>
      <c r="L11" s="7">
        <f>Eskom!L47</f>
        <v>0</v>
      </c>
      <c r="M11" s="7">
        <f>Eskom!M47</f>
        <v>0</v>
      </c>
      <c r="N11" s="7">
        <f>Eskom!N47</f>
        <v>0</v>
      </c>
    </row>
    <row r="12" spans="1:14" s="108" customFormat="1" ht="13.5" thickBot="1" x14ac:dyDescent="0.25">
      <c r="A12" s="515"/>
      <c r="B12" s="105" t="s">
        <v>42</v>
      </c>
      <c r="C12" s="129">
        <f>Eskom!C48</f>
        <v>2336.35</v>
      </c>
      <c r="D12" s="129">
        <f>Eskom!D48</f>
        <v>0</v>
      </c>
      <c r="E12" s="129">
        <f>Eskom!E48</f>
        <v>2379.92</v>
      </c>
      <c r="F12" s="129">
        <f>Eskom!F48</f>
        <v>2363.6799999999998</v>
      </c>
      <c r="G12" s="129">
        <f>Eskom!G48</f>
        <v>0</v>
      </c>
      <c r="H12" s="129">
        <f>Eskom!H48</f>
        <v>0</v>
      </c>
      <c r="I12" s="129">
        <f>Eskom!I48</f>
        <v>0</v>
      </c>
      <c r="J12" s="129">
        <f>Eskom!J48</f>
        <v>2121.84</v>
      </c>
      <c r="K12" s="129" t="str">
        <f>Eskom!K48</f>
        <v>x</v>
      </c>
      <c r="L12" s="129">
        <f>Eskom!L48</f>
        <v>0</v>
      </c>
      <c r="M12" s="129">
        <f>Eskom!M48</f>
        <v>0</v>
      </c>
      <c r="N12" s="129">
        <f>Eskom!N48</f>
        <v>0</v>
      </c>
    </row>
    <row r="13" spans="1:14" ht="12.75" customHeight="1" x14ac:dyDescent="0.2">
      <c r="A13" s="516" t="s">
        <v>66</v>
      </c>
      <c r="B13" s="17" t="s">
        <v>43</v>
      </c>
      <c r="C13" s="85">
        <f>Eskom!C49</f>
        <v>518400</v>
      </c>
      <c r="D13" s="85">
        <f>Eskom!D49</f>
        <v>0</v>
      </c>
      <c r="E13" s="85">
        <f>Eskom!E49</f>
        <v>471230.64</v>
      </c>
      <c r="F13" s="85">
        <f>Eskom!F49</f>
        <v>508679.28</v>
      </c>
      <c r="G13" s="85">
        <f>Eskom!G49</f>
        <v>0</v>
      </c>
      <c r="H13" s="85">
        <f>Eskom!H49</f>
        <v>0</v>
      </c>
      <c r="I13" s="85">
        <f>Eskom!I49</f>
        <v>0</v>
      </c>
      <c r="J13" s="85">
        <f>Eskom!J49</f>
        <v>372.96</v>
      </c>
      <c r="K13" s="85" t="str">
        <f>Eskom!K49</f>
        <v>x</v>
      </c>
      <c r="L13" s="85">
        <f>Eskom!L49</f>
        <v>0</v>
      </c>
      <c r="M13" s="85">
        <f>Eskom!M49</f>
        <v>0</v>
      </c>
      <c r="N13" s="85">
        <f>Eskom!N49</f>
        <v>0</v>
      </c>
    </row>
    <row r="14" spans="1:14" x14ac:dyDescent="0.2">
      <c r="A14" s="517"/>
      <c r="B14" s="18" t="s">
        <v>44</v>
      </c>
      <c r="C14" s="9">
        <f>Eskom!C50</f>
        <v>346643.64</v>
      </c>
      <c r="D14" s="9">
        <f>Eskom!D50</f>
        <v>0</v>
      </c>
      <c r="E14" s="9">
        <f>Eskom!E50</f>
        <v>360118.36</v>
      </c>
      <c r="F14" s="9">
        <f>Eskom!F50</f>
        <v>323278.56</v>
      </c>
      <c r="G14" s="9">
        <f>Eskom!G50</f>
        <v>0</v>
      </c>
      <c r="H14" s="9">
        <f>Eskom!H50</f>
        <v>0</v>
      </c>
      <c r="I14" s="9">
        <f>Eskom!I50</f>
        <v>0</v>
      </c>
      <c r="J14" s="9">
        <f>Eskom!J50</f>
        <v>127.44</v>
      </c>
      <c r="K14" s="9" t="str">
        <f>Eskom!K50</f>
        <v>x</v>
      </c>
      <c r="L14" s="9">
        <f>Eskom!L50</f>
        <v>0</v>
      </c>
      <c r="M14" s="9">
        <f>Eskom!M50</f>
        <v>0</v>
      </c>
      <c r="N14" s="9">
        <f>Eskom!N50</f>
        <v>0</v>
      </c>
    </row>
    <row r="15" spans="1:14" x14ac:dyDescent="0.2">
      <c r="A15" s="517"/>
      <c r="B15" s="18" t="s">
        <v>45</v>
      </c>
      <c r="C15" s="9">
        <f>Eskom!C51</f>
        <v>137977.56</v>
      </c>
      <c r="D15" s="9">
        <f>Eskom!D51</f>
        <v>0</v>
      </c>
      <c r="E15" s="9">
        <f>Eskom!E51</f>
        <v>148504.32000000001</v>
      </c>
      <c r="F15" s="9">
        <f>Eskom!F51</f>
        <v>126531</v>
      </c>
      <c r="G15" s="9">
        <f>Eskom!G51</f>
        <v>0</v>
      </c>
      <c r="H15" s="9">
        <f>Eskom!H51</f>
        <v>0</v>
      </c>
      <c r="I15" s="9">
        <f>Eskom!I51</f>
        <v>0</v>
      </c>
      <c r="J15" s="9">
        <f>Eskom!J51</f>
        <v>148.68</v>
      </c>
      <c r="K15" s="9" t="str">
        <f>Eskom!K51</f>
        <v>x</v>
      </c>
      <c r="L15" s="9">
        <f>Eskom!L51</f>
        <v>0</v>
      </c>
      <c r="M15" s="9">
        <f>Eskom!M51</f>
        <v>0</v>
      </c>
      <c r="N15" s="9">
        <f>Eskom!N51</f>
        <v>0</v>
      </c>
    </row>
    <row r="16" spans="1:14" s="63" customFormat="1" ht="13.5" thickBot="1" x14ac:dyDescent="0.25">
      <c r="A16" s="518"/>
      <c r="B16" s="20" t="s">
        <v>47</v>
      </c>
      <c r="C16" s="15">
        <f>Eskom!C52</f>
        <v>0</v>
      </c>
      <c r="D16" s="15">
        <f>Eskom!D52</f>
        <v>0</v>
      </c>
      <c r="E16" s="15">
        <f>Eskom!E52</f>
        <v>0</v>
      </c>
      <c r="F16" s="15">
        <f>Eskom!F52</f>
        <v>0</v>
      </c>
      <c r="G16" s="15">
        <f>Eskom!G52</f>
        <v>0</v>
      </c>
      <c r="H16" s="15">
        <f>Eskom!H52</f>
        <v>0</v>
      </c>
      <c r="I16" s="15">
        <f>Eskom!I52</f>
        <v>0</v>
      </c>
      <c r="J16" s="15">
        <f>Eskom!J52</f>
        <v>0</v>
      </c>
      <c r="K16" s="15" t="str">
        <f>Eskom!K52</f>
        <v>x</v>
      </c>
      <c r="L16" s="15">
        <f>Eskom!L52</f>
        <v>0</v>
      </c>
      <c r="M16" s="15">
        <f>Eskom!M52</f>
        <v>0</v>
      </c>
      <c r="N16" s="15">
        <f>Eskom!N52</f>
        <v>0</v>
      </c>
    </row>
    <row r="17" spans="1:16" s="128" customFormat="1" ht="13.5" thickBot="1" x14ac:dyDescent="0.25">
      <c r="A17" s="158" t="s">
        <v>35</v>
      </c>
      <c r="B17" s="159"/>
      <c r="C17" s="127">
        <f>SUM(C13:C15)</f>
        <v>1003021.2</v>
      </c>
      <c r="D17" s="127">
        <f>SUM(D13:D15)</f>
        <v>0</v>
      </c>
      <c r="E17" s="127">
        <f>SUM(E13:E15)</f>
        <v>979853.32000000007</v>
      </c>
      <c r="F17" s="127">
        <f>SUM(F13:F15)</f>
        <v>958488.84000000008</v>
      </c>
      <c r="G17" s="127">
        <f>SUM(G13:G15)</f>
        <v>0</v>
      </c>
      <c r="H17" s="127">
        <f t="shared" ref="H17:N17" si="0">SUM(H13:H15)</f>
        <v>0</v>
      </c>
      <c r="I17" s="127">
        <f t="shared" si="0"/>
        <v>0</v>
      </c>
      <c r="J17" s="127">
        <f t="shared" si="0"/>
        <v>649.07999999999993</v>
      </c>
      <c r="K17" s="127">
        <f t="shared" si="0"/>
        <v>0</v>
      </c>
      <c r="L17" s="127">
        <f t="shared" si="0"/>
        <v>0</v>
      </c>
      <c r="M17" s="127">
        <f t="shared" si="0"/>
        <v>0</v>
      </c>
      <c r="N17" s="127">
        <f t="shared" si="0"/>
        <v>0</v>
      </c>
    </row>
    <row r="18" spans="1:16" s="51" customFormat="1" ht="13.5" thickBot="1" x14ac:dyDescent="0.25">
      <c r="A18" s="138" t="s">
        <v>52</v>
      </c>
      <c r="B18" s="160" t="s">
        <v>53</v>
      </c>
      <c r="C18" s="50">
        <f>SQRT(C17^2+C8^2)</f>
        <v>1546642.2546498831</v>
      </c>
      <c r="D18" s="50">
        <f>SQRT(D17^2+D8^2)</f>
        <v>0</v>
      </c>
      <c r="E18" s="50">
        <f>SQRT(E17^2+E8^2)</f>
        <v>1658243.6907805749</v>
      </c>
      <c r="F18" s="50">
        <f>SQRT(F17^2+F8^2)</f>
        <v>1611173.9085552956</v>
      </c>
      <c r="G18" s="50">
        <f>SQRT(G17^2+G8^2)</f>
        <v>0</v>
      </c>
      <c r="H18" s="50">
        <f t="shared" ref="H18:N18" si="1">SQRT(H17^2+H8^2)</f>
        <v>0</v>
      </c>
      <c r="I18" s="50">
        <f t="shared" si="1"/>
        <v>0</v>
      </c>
      <c r="J18" s="50">
        <f t="shared" si="1"/>
        <v>1414659.0289068602</v>
      </c>
      <c r="K18" s="50" t="e">
        <f t="shared" si="1"/>
        <v>#VALUE!</v>
      </c>
      <c r="L18" s="50">
        <f t="shared" si="1"/>
        <v>0</v>
      </c>
      <c r="M18" s="50">
        <f t="shared" si="1"/>
        <v>0</v>
      </c>
      <c r="N18" s="50">
        <f t="shared" si="1"/>
        <v>0</v>
      </c>
    </row>
    <row r="19" spans="1:16" ht="14.25" customHeight="1" thickBot="1" x14ac:dyDescent="0.25">
      <c r="A19" s="10" t="s">
        <v>36</v>
      </c>
      <c r="B19" s="133"/>
      <c r="C19" s="13">
        <f>COS(ATAN(C17/C8))</f>
        <v>0.7612016007324911</v>
      </c>
      <c r="D19" s="13" t="e">
        <f>COS(ATAN(D17/D8))</f>
        <v>#DIV/0!</v>
      </c>
      <c r="E19" s="13">
        <f>COS(ATAN(E17/E8))</f>
        <v>0.80674608167529005</v>
      </c>
      <c r="F19" s="13">
        <f>COS(ATAN(F17/F8))</f>
        <v>0.80379903939808228</v>
      </c>
      <c r="G19" s="13" t="e">
        <f>COS(ATAN(G17/G8))</f>
        <v>#DIV/0!</v>
      </c>
      <c r="H19" s="13" t="e">
        <f t="shared" ref="H19:N19" si="2">COS(ATAN(H17/H8))</f>
        <v>#DIV/0!</v>
      </c>
      <c r="I19" s="13" t="e">
        <f t="shared" si="2"/>
        <v>#DIV/0!</v>
      </c>
      <c r="J19" s="13">
        <f t="shared" si="2"/>
        <v>0.99999989474010542</v>
      </c>
      <c r="K19" s="13" t="e">
        <f t="shared" si="2"/>
        <v>#VALUE!</v>
      </c>
      <c r="L19" s="13" t="e">
        <f t="shared" si="2"/>
        <v>#DIV/0!</v>
      </c>
      <c r="M19" s="13" t="e">
        <f t="shared" si="2"/>
        <v>#DIV/0!</v>
      </c>
      <c r="N19" s="13" t="e">
        <f t="shared" si="2"/>
        <v>#DIV/0!</v>
      </c>
    </row>
    <row r="20" spans="1:16" s="70" customFormat="1" ht="12.75" customHeight="1" x14ac:dyDescent="0.2">
      <c r="A20" s="519" t="s">
        <v>58</v>
      </c>
      <c r="B20" s="17" t="s">
        <v>43</v>
      </c>
      <c r="C20" s="135">
        <f>Eskom!C69+Eskom!C71</f>
        <v>83609.183699999994</v>
      </c>
      <c r="D20" s="135" t="e">
        <f>Eskom!#REF!+Eskom!#REF!</f>
        <v>#REF!</v>
      </c>
      <c r="E20" s="135" t="e">
        <f>Eskom!#REF!+Eskom!#REF!</f>
        <v>#REF!</v>
      </c>
      <c r="F20" s="135" t="e">
        <f>Eskom!#REF!+Eskom!#REF!</f>
        <v>#REF!</v>
      </c>
      <c r="G20" s="135" t="e">
        <f>Eskom!#REF!+Eskom!#REF!</f>
        <v>#REF!</v>
      </c>
      <c r="H20" s="135" t="e">
        <f>Eskom!#REF!+Eskom!#REF!</f>
        <v>#REF!</v>
      </c>
      <c r="I20" s="135" t="e">
        <f>Eskom!#REF!+Eskom!#REF!</f>
        <v>#REF!</v>
      </c>
      <c r="J20" s="135" t="e">
        <f>Eskom!#REF!+Eskom!#REF!</f>
        <v>#REF!</v>
      </c>
      <c r="K20" s="135" t="e">
        <f>Eskom!#REF!+Eskom!#REF!</f>
        <v>#REF!</v>
      </c>
      <c r="L20" s="135" t="e">
        <f>Eskom!#REF!+Eskom!#REF!</f>
        <v>#REF!</v>
      </c>
      <c r="M20" s="135" t="e">
        <f>Eskom!#REF!+Eskom!#REF!</f>
        <v>#REF!</v>
      </c>
      <c r="N20" s="135" t="e">
        <f>Eskom!#REF!+Eskom!#REF!</f>
        <v>#REF!</v>
      </c>
    </row>
    <row r="21" spans="1:16" s="71" customFormat="1" x14ac:dyDescent="0.2">
      <c r="A21" s="520"/>
      <c r="B21" s="18" t="s">
        <v>44</v>
      </c>
      <c r="C21" s="135">
        <f>Eskom!C70+Eskom!C72</f>
        <v>0.32190000000000002</v>
      </c>
      <c r="D21" s="136" t="e">
        <f>Eskom!#REF!+Eskom!#REF!</f>
        <v>#REF!</v>
      </c>
      <c r="E21" s="136" t="e">
        <f>Eskom!#REF!+Eskom!#REF!</f>
        <v>#REF!</v>
      </c>
      <c r="F21" s="136" t="e">
        <f>Eskom!#REF!+Eskom!#REF!</f>
        <v>#REF!</v>
      </c>
      <c r="G21" s="136" t="e">
        <f>Eskom!#REF!+Eskom!#REF!</f>
        <v>#REF!</v>
      </c>
      <c r="H21" s="136" t="e">
        <f>Eskom!#REF!+Eskom!#REF!</f>
        <v>#REF!</v>
      </c>
      <c r="I21" s="136" t="e">
        <f>Eskom!#REF!+Eskom!#REF!</f>
        <v>#REF!</v>
      </c>
      <c r="J21" s="136" t="e">
        <f>Eskom!#REF!+Eskom!#REF!</f>
        <v>#REF!</v>
      </c>
      <c r="K21" s="136" t="e">
        <f>Eskom!#REF!+Eskom!#REF!</f>
        <v>#REF!</v>
      </c>
      <c r="L21" s="136" t="e">
        <f>Eskom!#REF!+Eskom!#REF!</f>
        <v>#REF!</v>
      </c>
      <c r="M21" s="136" t="e">
        <f>Eskom!#REF!+Eskom!#REF!</f>
        <v>#REF!</v>
      </c>
      <c r="N21" s="136" t="e">
        <f>Eskom!#REF!+Eskom!#REF!</f>
        <v>#REF!</v>
      </c>
    </row>
    <row r="22" spans="1:16" s="71" customFormat="1" x14ac:dyDescent="0.2">
      <c r="A22" s="520"/>
      <c r="B22" s="18" t="s">
        <v>45</v>
      </c>
      <c r="C22" s="136" t="e">
        <f>Eskom!#REF!+Eskom!#REF!</f>
        <v>#REF!</v>
      </c>
      <c r="D22" s="136" t="e">
        <f>Eskom!#REF!+Eskom!#REF!</f>
        <v>#REF!</v>
      </c>
      <c r="E22" s="136" t="e">
        <f>Eskom!#REF!+Eskom!#REF!</f>
        <v>#REF!</v>
      </c>
      <c r="F22" s="136" t="e">
        <f>Eskom!#REF!+Eskom!#REF!</f>
        <v>#REF!</v>
      </c>
      <c r="G22" s="136" t="e">
        <f>Eskom!#REF!+Eskom!#REF!</f>
        <v>#REF!</v>
      </c>
      <c r="H22" s="136" t="e">
        <f>Eskom!#REF!+Eskom!#REF!</f>
        <v>#REF!</v>
      </c>
      <c r="I22" s="136" t="e">
        <f>Eskom!#REF!+Eskom!#REF!</f>
        <v>#REF!</v>
      </c>
      <c r="J22" s="136" t="e">
        <f>Eskom!#REF!+Eskom!#REF!</f>
        <v>#REF!</v>
      </c>
      <c r="K22" s="136" t="e">
        <f>Eskom!#REF!+Eskom!#REF!</f>
        <v>#REF!</v>
      </c>
      <c r="L22" s="136" t="e">
        <f>Eskom!#REF!+Eskom!#REF!</f>
        <v>#REF!</v>
      </c>
      <c r="M22" s="136" t="e">
        <f>Eskom!#REF!+Eskom!#REF!</f>
        <v>#REF!</v>
      </c>
      <c r="N22" s="136" t="e">
        <f>Eskom!#REF!+Eskom!#REF!</f>
        <v>#REF!</v>
      </c>
    </row>
    <row r="23" spans="1:16" s="95" customFormat="1" ht="13.5" thickBot="1" x14ac:dyDescent="0.25">
      <c r="A23" s="521"/>
      <c r="B23" s="134" t="s">
        <v>67</v>
      </c>
      <c r="C23" s="137" t="e">
        <f>+Eskom!#REF!</f>
        <v>#REF!</v>
      </c>
      <c r="D23" s="137" t="e">
        <f>+Eskom!#REF!</f>
        <v>#REF!</v>
      </c>
      <c r="E23" s="137" t="e">
        <f>+Eskom!#REF!</f>
        <v>#REF!</v>
      </c>
      <c r="F23" s="137" t="e">
        <f>+Eskom!#REF!</f>
        <v>#REF!</v>
      </c>
      <c r="G23" s="137" t="e">
        <f>+Eskom!#REF!</f>
        <v>#REF!</v>
      </c>
      <c r="H23" s="137" t="e">
        <f>+Eskom!#REF!</f>
        <v>#REF!</v>
      </c>
      <c r="I23" s="137" t="e">
        <f>+Eskom!#REF!</f>
        <v>#REF!</v>
      </c>
      <c r="J23" s="137" t="e">
        <f>+Eskom!#REF!</f>
        <v>#REF!</v>
      </c>
      <c r="K23" s="137" t="e">
        <f>+Eskom!#REF!</f>
        <v>#REF!</v>
      </c>
      <c r="L23" s="137" t="e">
        <f>+Eskom!#REF!</f>
        <v>#REF!</v>
      </c>
      <c r="M23" s="137" t="e">
        <f>+Eskom!#REF!</f>
        <v>#REF!</v>
      </c>
      <c r="N23" s="137" t="e">
        <f>+Eskom!#REF!</f>
        <v>#REF!</v>
      </c>
    </row>
    <row r="24" spans="1:16" s="95" customFormat="1" ht="13.5" thickBot="1" x14ac:dyDescent="0.25">
      <c r="A24" s="148" t="s">
        <v>69</v>
      </c>
      <c r="B24" s="148"/>
      <c r="C24" s="130" t="e">
        <f>SUM(C20:C23)</f>
        <v>#REF!</v>
      </c>
      <c r="D24" s="130" t="e">
        <f>SUM(D20:D23)+Eskom!#REF!+Eskom!#REF!</f>
        <v>#REF!</v>
      </c>
      <c r="E24" s="130" t="e">
        <f>SUM(E20:E23)+Eskom!#REF!+Eskom!#REF!</f>
        <v>#REF!</v>
      </c>
      <c r="F24" s="130" t="e">
        <f>SUM(F20:F23)+Eskom!#REF!+Eskom!#REF!</f>
        <v>#REF!</v>
      </c>
      <c r="G24" s="130" t="e">
        <f>SUM(G20:G23)+Eskom!#REF!+Eskom!#REF!</f>
        <v>#REF!</v>
      </c>
      <c r="H24" s="130" t="e">
        <f>SUM(H20:H23)+Eskom!#REF!+Eskom!#REF!</f>
        <v>#REF!</v>
      </c>
      <c r="I24" s="130" t="e">
        <f>SUM(I20:I23)+Eskom!#REF!+Eskom!#REF!</f>
        <v>#REF!</v>
      </c>
      <c r="J24" s="130" t="e">
        <f>SUM(J20:J23)+Eskom!#REF!+Eskom!#REF!</f>
        <v>#REF!</v>
      </c>
      <c r="K24" s="130" t="e">
        <f>SUM(K20:K23)+Eskom!#REF!+Eskom!#REF!</f>
        <v>#REF!</v>
      </c>
      <c r="L24" s="130" t="e">
        <f>SUM(L20:L23)+Eskom!#REF!+Eskom!#REF!</f>
        <v>#REF!</v>
      </c>
      <c r="M24" s="130" t="e">
        <f>SUM(M20:M23)+Eskom!#REF!+Eskom!#REF!</f>
        <v>#REF!</v>
      </c>
      <c r="N24" s="130" t="e">
        <f>SUM(N20:N23)+Eskom!#REF!+Eskom!#REF!</f>
        <v>#REF!</v>
      </c>
    </row>
    <row r="25" spans="1:16" s="108" customFormat="1" ht="13.5" thickBot="1" x14ac:dyDescent="0.25">
      <c r="A25" s="138" t="s">
        <v>68</v>
      </c>
      <c r="B25" s="139"/>
      <c r="C25" s="140" t="e">
        <f>Eskom!#REF!+Eskom!#REF!</f>
        <v>#REF!</v>
      </c>
      <c r="D25" s="140" t="e">
        <f>Eskom!#REF!+Eskom!#REF!</f>
        <v>#REF!</v>
      </c>
      <c r="E25" s="140" t="e">
        <f>Eskom!#REF!+Eskom!#REF!</f>
        <v>#REF!</v>
      </c>
      <c r="F25" s="140" t="e">
        <f>Eskom!#REF!+Eskom!#REF!</f>
        <v>#REF!</v>
      </c>
      <c r="G25" s="140" t="e">
        <f>Eskom!#REF!+Eskom!#REF!</f>
        <v>#REF!</v>
      </c>
      <c r="H25" s="140" t="e">
        <f>Eskom!#REF!+Eskom!#REF!</f>
        <v>#REF!</v>
      </c>
      <c r="I25" s="140" t="e">
        <f>Eskom!#REF!+Eskom!#REF!</f>
        <v>#REF!</v>
      </c>
      <c r="J25" s="140" t="e">
        <f>Eskom!#REF!+Eskom!#REF!</f>
        <v>#REF!</v>
      </c>
      <c r="K25" s="140" t="e">
        <f>Eskom!#REF!+Eskom!#REF!</f>
        <v>#REF!</v>
      </c>
      <c r="L25" s="140" t="e">
        <f>Eskom!#REF!+Eskom!#REF!</f>
        <v>#REF!</v>
      </c>
      <c r="M25" s="140" t="e">
        <f>Eskom!#REF!+Eskom!#REF!</f>
        <v>#REF!</v>
      </c>
      <c r="N25" s="140" t="e">
        <f>Eskom!#REF!+Eskom!#REF!</f>
        <v>#REF!</v>
      </c>
    </row>
    <row r="26" spans="1:16" s="147" customFormat="1" ht="13.5" thickBot="1" x14ac:dyDescent="0.25">
      <c r="A26" s="144" t="s">
        <v>70</v>
      </c>
      <c r="B26" s="145"/>
      <c r="C26" s="146" t="e">
        <f>Eskom!#REF!+Eskom!#REF!</f>
        <v>#REF!</v>
      </c>
      <c r="D26" s="146" t="e">
        <f>Eskom!#REF!+Eskom!#REF!</f>
        <v>#REF!</v>
      </c>
      <c r="E26" s="146" t="e">
        <f>Eskom!#REF!+Eskom!#REF!</f>
        <v>#REF!</v>
      </c>
      <c r="F26" s="146" t="e">
        <f>Eskom!#REF!+Eskom!#REF!</f>
        <v>#REF!</v>
      </c>
      <c r="G26" s="146" t="e">
        <f>Eskom!#REF!+Eskom!#REF!</f>
        <v>#REF!</v>
      </c>
      <c r="H26" s="146" t="e">
        <f>Eskom!#REF!+Eskom!#REF!</f>
        <v>#REF!</v>
      </c>
      <c r="I26" s="146" t="e">
        <f>Eskom!#REF!+Eskom!#REF!</f>
        <v>#REF!</v>
      </c>
      <c r="J26" s="146" t="e">
        <f>Eskom!#REF!+Eskom!#REF!</f>
        <v>#REF!</v>
      </c>
      <c r="K26" s="146" t="e">
        <f>Eskom!#REF!+Eskom!#REF!</f>
        <v>#REF!</v>
      </c>
      <c r="L26" s="146" t="e">
        <f>Eskom!#REF!+Eskom!#REF!</f>
        <v>#REF!</v>
      </c>
      <c r="M26" s="146" t="e">
        <f>Eskom!#REF!+Eskom!#REF!</f>
        <v>#REF!</v>
      </c>
      <c r="N26" s="146" t="e">
        <f>Eskom!#REF!+Eskom!#REF!</f>
        <v>#REF!</v>
      </c>
    </row>
    <row r="27" spans="1:16" s="152" customFormat="1" ht="13.5" thickBot="1" x14ac:dyDescent="0.25">
      <c r="A27" s="149" t="s">
        <v>48</v>
      </c>
      <c r="B27" s="150" t="s">
        <v>49</v>
      </c>
      <c r="C27" s="151" t="e">
        <f>Eskom!#REF!</f>
        <v>#REF!</v>
      </c>
      <c r="D27" s="151" t="e">
        <f>Eskom!#REF!</f>
        <v>#REF!</v>
      </c>
      <c r="E27" s="151" t="e">
        <f>Eskom!#REF!</f>
        <v>#REF!</v>
      </c>
      <c r="F27" s="151" t="e">
        <f>Eskom!#REF!</f>
        <v>#REF!</v>
      </c>
      <c r="G27" s="151" t="e">
        <f>Eskom!#REF!</f>
        <v>#REF!</v>
      </c>
      <c r="H27" s="151" t="e">
        <f>Eskom!#REF!</f>
        <v>#REF!</v>
      </c>
      <c r="I27" s="151" t="e">
        <f>Eskom!#REF!</f>
        <v>#REF!</v>
      </c>
      <c r="J27" s="151" t="e">
        <f>Eskom!#REF!</f>
        <v>#REF!</v>
      </c>
      <c r="K27" s="151" t="e">
        <f>Eskom!#REF!</f>
        <v>#REF!</v>
      </c>
      <c r="L27" s="151" t="e">
        <f>Eskom!#REF!</f>
        <v>#REF!</v>
      </c>
      <c r="M27" s="151" t="e">
        <f>Eskom!#REF!</f>
        <v>#REF!</v>
      </c>
      <c r="N27" s="151" t="e">
        <f>Eskom!#REF!</f>
        <v>#REF!</v>
      </c>
    </row>
    <row r="28" spans="1:16" s="156" customFormat="1" x14ac:dyDescent="0.2">
      <c r="A28" s="153" t="s">
        <v>58</v>
      </c>
      <c r="B28" s="154" t="s">
        <v>50</v>
      </c>
      <c r="C28" s="155" t="e">
        <f>100*C27/C8</f>
        <v>#REF!</v>
      </c>
      <c r="D28" s="155" t="e">
        <f>100*D27/D8</f>
        <v>#REF!</v>
      </c>
      <c r="E28" s="155" t="e">
        <f>100*E27/E8</f>
        <v>#REF!</v>
      </c>
      <c r="F28" s="155" t="e">
        <f>100*F27/F8</f>
        <v>#REF!</v>
      </c>
      <c r="G28" s="155" t="e">
        <f>100*G27/G8</f>
        <v>#REF!</v>
      </c>
      <c r="H28" s="155" t="e">
        <f t="shared" ref="H28:N28" si="3">100*H27/H8</f>
        <v>#REF!</v>
      </c>
      <c r="I28" s="155" t="e">
        <f t="shared" si="3"/>
        <v>#REF!</v>
      </c>
      <c r="J28" s="155" t="e">
        <f t="shared" si="3"/>
        <v>#REF!</v>
      </c>
      <c r="K28" s="155" t="e">
        <f t="shared" si="3"/>
        <v>#REF!</v>
      </c>
      <c r="L28" s="155" t="e">
        <f t="shared" si="3"/>
        <v>#REF!</v>
      </c>
      <c r="M28" s="155" t="e">
        <f t="shared" si="3"/>
        <v>#REF!</v>
      </c>
      <c r="N28" s="155" t="e">
        <f t="shared" si="3"/>
        <v>#REF!</v>
      </c>
    </row>
    <row r="29" spans="1:16" s="202" customFormat="1" x14ac:dyDescent="0.2">
      <c r="A29" s="200" t="s">
        <v>57</v>
      </c>
      <c r="B29" s="201"/>
      <c r="C29" s="202" t="e">
        <f>C28/13.5-1</f>
        <v>#REF!</v>
      </c>
      <c r="D29" s="202" t="e">
        <f>D28/13.5-1</f>
        <v>#REF!</v>
      </c>
      <c r="E29" s="202" t="e">
        <f>E28/13.5-1</f>
        <v>#REF!</v>
      </c>
      <c r="F29" s="202" t="e">
        <f>F28/13.5-1</f>
        <v>#REF!</v>
      </c>
      <c r="G29" s="202" t="e">
        <f>G28/13.5-1</f>
        <v>#REF!</v>
      </c>
      <c r="H29" s="202" t="e">
        <f t="shared" ref="H29:N29" si="4">H28/13.5-1</f>
        <v>#REF!</v>
      </c>
      <c r="I29" s="202" t="e">
        <f t="shared" si="4"/>
        <v>#REF!</v>
      </c>
      <c r="J29" s="202" t="e">
        <f t="shared" si="4"/>
        <v>#REF!</v>
      </c>
      <c r="K29" s="202" t="e">
        <f t="shared" si="4"/>
        <v>#REF!</v>
      </c>
      <c r="L29" s="202" t="e">
        <f t="shared" si="4"/>
        <v>#REF!</v>
      </c>
      <c r="M29" s="202" t="e">
        <f t="shared" si="4"/>
        <v>#REF!</v>
      </c>
      <c r="N29" s="202" t="e">
        <f t="shared" si="4"/>
        <v>#REF!</v>
      </c>
    </row>
    <row r="30" spans="1:16" s="202" customFormat="1" x14ac:dyDescent="0.2">
      <c r="A30" s="200" t="s">
        <v>78</v>
      </c>
      <c r="B30" s="201" t="s">
        <v>46</v>
      </c>
      <c r="C30" s="202" t="e">
        <f>C31/#REF!-1</f>
        <v>#REF!</v>
      </c>
      <c r="D30" s="202" t="e">
        <f>D31/#REF!-1</f>
        <v>#REF!</v>
      </c>
      <c r="E30" s="202" t="e">
        <f>E31/#REF!-1</f>
        <v>#REF!</v>
      </c>
      <c r="F30" s="202" t="e">
        <f>F31/#REF!-1</f>
        <v>#REF!</v>
      </c>
      <c r="G30" s="202" t="e">
        <f>G31/#REF!-1</f>
        <v>#REF!</v>
      </c>
      <c r="H30" s="202" t="e">
        <f>H31/#REF!-1</f>
        <v>#REF!</v>
      </c>
      <c r="I30" s="202" t="e">
        <f>I31/#REF!-1</f>
        <v>#REF!</v>
      </c>
      <c r="J30" s="202" t="e">
        <f>J31/#REF!-1</f>
        <v>#REF!</v>
      </c>
      <c r="K30" s="202" t="e">
        <f>K31/#REF!-1</f>
        <v>#REF!</v>
      </c>
      <c r="L30" s="202" t="e">
        <f>L31/#REF!-1</f>
        <v>#REF!</v>
      </c>
      <c r="M30" s="202" t="e">
        <f>M31/#REF!-1</f>
        <v>#REF!</v>
      </c>
      <c r="N30" s="202" t="e">
        <f>N31/#REF!-1</f>
        <v>#REF!</v>
      </c>
    </row>
    <row r="31" spans="1:16" s="199" customFormat="1" ht="13.5" thickBot="1" x14ac:dyDescent="0.25">
      <c r="A31" s="197" t="s">
        <v>76</v>
      </c>
      <c r="B31" s="198" t="s">
        <v>77</v>
      </c>
      <c r="C31" s="199" t="e">
        <f>IF(Eskom!#REF!&gt;0,Eskom!#REF!,Eskom!#REF!)</f>
        <v>#REF!</v>
      </c>
      <c r="D31" s="199" t="e">
        <f>IF(Eskom!#REF!&gt;0,Eskom!#REF!,Eskom!#REF!)</f>
        <v>#REF!</v>
      </c>
      <c r="E31" s="199" t="e">
        <f>IF(Eskom!#REF!&gt;0,Eskom!#REF!,Eskom!#REF!)</f>
        <v>#REF!</v>
      </c>
      <c r="F31" s="199" t="e">
        <f>IF(Eskom!#REF!&gt;0,Eskom!#REF!,Eskom!#REF!)</f>
        <v>#REF!</v>
      </c>
      <c r="G31" s="199" t="e">
        <f>IF(Eskom!#REF!&gt;0,Eskom!#REF!,Eskom!#REF!)</f>
        <v>#REF!</v>
      </c>
      <c r="H31" s="199" t="e">
        <f>IF(Eskom!#REF!&gt;0,Eskom!#REF!,Eskom!#REF!)</f>
        <v>#REF!</v>
      </c>
      <c r="I31" s="199" t="e">
        <f>IF(Eskom!#REF!&gt;0,Eskom!#REF!,Eskom!#REF!)</f>
        <v>#REF!</v>
      </c>
      <c r="J31" s="199" t="e">
        <f>IF(Eskom!#REF!&gt;0,Eskom!#REF!,Eskom!#REF!)</f>
        <v>#REF!</v>
      </c>
      <c r="K31" s="199" t="e">
        <f>IF(Eskom!#REF!&gt;0,Eskom!#REF!,Eskom!#REF!)</f>
        <v>#REF!</v>
      </c>
      <c r="L31" s="199" t="e">
        <f>IF(Eskom!#REF!&gt;0,Eskom!#REF!,Eskom!#REF!)</f>
        <v>#REF!</v>
      </c>
      <c r="M31" s="199" t="e">
        <f>IF(Eskom!#REF!&gt;0,Eskom!#REF!,Eskom!#REF!)</f>
        <v>#REF!</v>
      </c>
      <c r="N31" s="199" t="e">
        <f>IF(Eskom!#REF!&gt;0,Eskom!#REF!,Eskom!#REF!)</f>
        <v>#REF!</v>
      </c>
    </row>
    <row r="32" spans="1:16" s="31" customFormat="1" x14ac:dyDescent="0.2"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</row>
    <row r="64" spans="23:23" x14ac:dyDescent="0.2">
      <c r="W64" s="69">
        <v>40179</v>
      </c>
    </row>
    <row r="65" spans="23:23" x14ac:dyDescent="0.2">
      <c r="W65">
        <f>VALUE(W64)</f>
        <v>40179</v>
      </c>
    </row>
  </sheetData>
  <mergeCells count="4">
    <mergeCell ref="A9:A12"/>
    <mergeCell ref="A5:A8"/>
    <mergeCell ref="A13:A16"/>
    <mergeCell ref="A20:A23"/>
  </mergeCells>
  <conditionalFormatting sqref="C8:N8">
    <cfRule type="expression" dxfId="40" priority="8" stopIfTrue="1">
      <formula>C8&lt;&gt;SUM(C5:C7)</formula>
    </cfRule>
  </conditionalFormatting>
  <conditionalFormatting sqref="A19 C19:HL19">
    <cfRule type="cellIs" dxfId="39" priority="7" stopIfTrue="1" operator="lessThan">
      <formula>0.96</formula>
    </cfRule>
  </conditionalFormatting>
  <conditionalFormatting sqref="C16:N16">
    <cfRule type="cellIs" dxfId="38" priority="6" stopIfTrue="1" operator="equal">
      <formula>0</formula>
    </cfRule>
  </conditionalFormatting>
  <conditionalFormatting sqref="A19 C19:HL19">
    <cfRule type="cellIs" dxfId="37" priority="5" stopIfTrue="1" operator="lessThan">
      <formula>0.96</formula>
    </cfRule>
  </conditionalFormatting>
  <conditionalFormatting sqref="C27:N27">
    <cfRule type="expression" dxfId="36" priority="18" stopIfTrue="1">
      <formula>C27&lt;&gt;SUM(#REF!,#REF!,#REF!,#REF!,#REF!,#REF!,#REF!,C2,C6,C8,C9,C10,C11,C13,C15,C16,#REF!)</formula>
    </cfRule>
    <cfRule type="expression" dxfId="35" priority="19" stopIfTrue="1">
      <formula>C27=SUM(#REF!,#REF!,#REF!,#REF!,#REF!,#REF!,#REF!,C2,C6,C8,C9,C10,C11,C13,C15,C16,#REF!)</formula>
    </cfRule>
  </conditionalFormatting>
  <conditionalFormatting sqref="C27:N27">
    <cfRule type="expression" dxfId="34" priority="20" stopIfTrue="1">
      <formula>C27&lt;&gt;SUM(#REF!,#REF!,#REF!,#REF!,#REF!,#REF!,R1,C5,C7,C9,C10,C11,C12,C14,C16,#REF!)</formula>
    </cfRule>
    <cfRule type="expression" dxfId="33" priority="21" stopIfTrue="1">
      <formula>C27=SUM(#REF!,#REF!,#REF!,#REF!,#REF!,#REF!,R1,C5,C7,C9,C10,C11,C12,C14,C16,#REF!)</formula>
    </cfRule>
  </conditionalFormatting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5"/>
  <sheetViews>
    <sheetView zoomScale="70" zoomScaleNormal="70" workbookViewId="0">
      <selection activeCell="J14" sqref="J14"/>
    </sheetView>
  </sheetViews>
  <sheetFormatPr defaultRowHeight="12.75" x14ac:dyDescent="0.2"/>
  <cols>
    <col min="2" max="2" width="34.7109375" bestFit="1" customWidth="1"/>
    <col min="3" max="3" width="12.7109375" bestFit="1" customWidth="1"/>
    <col min="4" max="4" width="13.28515625" bestFit="1" customWidth="1"/>
    <col min="5" max="6" width="14.28515625" bestFit="1" customWidth="1"/>
    <col min="7" max="7" width="14.7109375" bestFit="1" customWidth="1"/>
  </cols>
  <sheetData>
    <row r="1" spans="1:7" ht="15" customHeight="1" thickBot="1" x14ac:dyDescent="0.25">
      <c r="A1" s="210" t="s">
        <v>38</v>
      </c>
      <c r="B1" s="211"/>
      <c r="C1" s="12">
        <v>40216</v>
      </c>
      <c r="D1" s="12">
        <v>40244</v>
      </c>
      <c r="E1" s="12">
        <v>40275</v>
      </c>
      <c r="F1" s="12">
        <v>40305</v>
      </c>
      <c r="G1" s="12">
        <v>40336</v>
      </c>
    </row>
    <row r="2" spans="1:7" x14ac:dyDescent="0.2">
      <c r="A2" s="537" t="s">
        <v>100</v>
      </c>
      <c r="B2" s="538"/>
      <c r="C2" s="131" t="e">
        <f>Eskom!#REF!</f>
        <v>#REF!</v>
      </c>
      <c r="D2" s="104" t="e">
        <f>Eskom!#REF!</f>
        <v>#REF!</v>
      </c>
      <c r="E2" s="104" t="e">
        <f>Eskom!#REF!</f>
        <v>#REF!</v>
      </c>
      <c r="F2" s="104" t="e">
        <f>Eskom!#REF!</f>
        <v>#REF!</v>
      </c>
      <c r="G2" s="104" t="e">
        <f>Eskom!#REF!</f>
        <v>#REF!</v>
      </c>
    </row>
    <row r="3" spans="1:7" ht="13.5" thickBot="1" x14ac:dyDescent="0.25">
      <c r="A3" s="539"/>
      <c r="B3" s="540"/>
      <c r="C3" s="132" t="e">
        <f>Eskom!#REF!</f>
        <v>#REF!</v>
      </c>
      <c r="D3" s="60" t="e">
        <f>Eskom!#REF!</f>
        <v>#REF!</v>
      </c>
      <c r="E3" s="60" t="e">
        <f>Eskom!#REF!</f>
        <v>#REF!</v>
      </c>
      <c r="F3" s="60" t="e">
        <f>Eskom!#REF!</f>
        <v>#REF!</v>
      </c>
      <c r="G3" s="60" t="e">
        <f>Eskom!#REF!</f>
        <v>#REF!</v>
      </c>
    </row>
    <row r="4" spans="1:7" ht="13.5" hidden="1" thickBot="1" x14ac:dyDescent="0.25">
      <c r="A4" s="532" t="s">
        <v>42</v>
      </c>
      <c r="B4" s="17" t="s">
        <v>43</v>
      </c>
      <c r="C4" s="16" t="e">
        <f>Eskom!#REF!</f>
        <v>#REF!</v>
      </c>
      <c r="D4" s="16" t="e">
        <f>Eskom!#REF!</f>
        <v>#REF!</v>
      </c>
      <c r="E4" s="16" t="e">
        <f>Eskom!#REF!</f>
        <v>#REF!</v>
      </c>
      <c r="F4" s="16" t="e">
        <f>Eskom!#REF!</f>
        <v>#REF!</v>
      </c>
      <c r="G4" s="16" t="e">
        <f>Eskom!#REF!</f>
        <v>#REF!</v>
      </c>
    </row>
    <row r="5" spans="1:7" ht="13.5" hidden="1" thickBot="1" x14ac:dyDescent="0.25">
      <c r="A5" s="532"/>
      <c r="B5" s="18" t="s">
        <v>44</v>
      </c>
      <c r="C5" s="7" t="e">
        <f>Eskom!#REF!</f>
        <v>#REF!</v>
      </c>
      <c r="D5" s="7" t="e">
        <f>Eskom!#REF!</f>
        <v>#REF!</v>
      </c>
      <c r="E5" s="7" t="e">
        <f>Eskom!#REF!</f>
        <v>#REF!</v>
      </c>
      <c r="F5" s="7" t="e">
        <f>Eskom!#REF!</f>
        <v>#REF!</v>
      </c>
      <c r="G5" s="7" t="e">
        <f>Eskom!#REF!</f>
        <v>#REF!</v>
      </c>
    </row>
    <row r="6" spans="1:7" ht="13.5" hidden="1" thickBot="1" x14ac:dyDescent="0.25">
      <c r="A6" s="532"/>
      <c r="B6" s="18" t="s">
        <v>45</v>
      </c>
      <c r="C6" s="7" t="e">
        <f>Eskom!#REF!</f>
        <v>#REF!</v>
      </c>
      <c r="D6" s="7" t="e">
        <f>Eskom!#REF!</f>
        <v>#REF!</v>
      </c>
      <c r="E6" s="7" t="e">
        <f>Eskom!#REF!</f>
        <v>#REF!</v>
      </c>
      <c r="F6" s="7" t="e">
        <f>Eskom!#REF!</f>
        <v>#REF!</v>
      </c>
      <c r="G6" s="7" t="e">
        <f>Eskom!#REF!</f>
        <v>#REF!</v>
      </c>
    </row>
    <row r="7" spans="1:7" ht="13.5" hidden="1" thickBot="1" x14ac:dyDescent="0.25">
      <c r="A7" s="533"/>
      <c r="B7" s="105" t="s">
        <v>42</v>
      </c>
      <c r="C7" s="129" t="e">
        <f>Eskom!#REF!</f>
        <v>#REF!</v>
      </c>
      <c r="D7" s="129" t="e">
        <f>Eskom!#REF!</f>
        <v>#REF!</v>
      </c>
      <c r="E7" s="129" t="e">
        <f>Eskom!#REF!</f>
        <v>#REF!</v>
      </c>
      <c r="F7" s="129" t="e">
        <f>Eskom!#REF!</f>
        <v>#REF!</v>
      </c>
      <c r="G7" s="129" t="e">
        <f>Eskom!#REF!</f>
        <v>#REF!</v>
      </c>
    </row>
    <row r="8" spans="1:7" x14ac:dyDescent="0.2">
      <c r="A8" s="531" t="s">
        <v>39</v>
      </c>
      <c r="B8" s="17" t="s">
        <v>40</v>
      </c>
      <c r="C8" s="6" t="e">
        <f>Eskom!#REF!</f>
        <v>#REF!</v>
      </c>
      <c r="D8" s="6" t="e">
        <f>Eskom!#REF!</f>
        <v>#REF!</v>
      </c>
      <c r="E8" s="6" t="e">
        <f>Eskom!#REF!</f>
        <v>#REF!</v>
      </c>
      <c r="F8" s="6" t="e">
        <f>Eskom!#REF!</f>
        <v>#REF!</v>
      </c>
      <c r="G8" s="6" t="e">
        <f>Eskom!#REF!</f>
        <v>#REF!</v>
      </c>
    </row>
    <row r="9" spans="1:7" x14ac:dyDescent="0.2">
      <c r="A9" s="532"/>
      <c r="B9" s="18" t="s">
        <v>1</v>
      </c>
      <c r="C9" s="6" t="e">
        <f>Eskom!#REF!</f>
        <v>#REF!</v>
      </c>
      <c r="D9" s="6" t="e">
        <f>Eskom!#REF!</f>
        <v>#REF!</v>
      </c>
      <c r="E9" s="6" t="e">
        <f>Eskom!#REF!</f>
        <v>#REF!</v>
      </c>
      <c r="F9" s="6" t="e">
        <f>Eskom!#REF!</f>
        <v>#REF!</v>
      </c>
      <c r="G9" s="6" t="e">
        <f>Eskom!#REF!</f>
        <v>#REF!</v>
      </c>
    </row>
    <row r="10" spans="1:7" x14ac:dyDescent="0.2">
      <c r="A10" s="532"/>
      <c r="B10" s="18" t="s">
        <v>0</v>
      </c>
      <c r="C10" s="6" t="e">
        <f>Eskom!#REF!</f>
        <v>#REF!</v>
      </c>
      <c r="D10" s="6" t="e">
        <f>Eskom!#REF!</f>
        <v>#REF!</v>
      </c>
      <c r="E10" s="6" t="e">
        <f>Eskom!#REF!</f>
        <v>#REF!</v>
      </c>
      <c r="F10" s="6" t="e">
        <f>Eskom!#REF!</f>
        <v>#REF!</v>
      </c>
      <c r="G10" s="6" t="e">
        <f>Eskom!#REF!</f>
        <v>#REF!</v>
      </c>
    </row>
    <row r="11" spans="1:7" ht="13.5" thickBot="1" x14ac:dyDescent="0.25">
      <c r="A11" s="533"/>
      <c r="B11" s="209" t="s">
        <v>81</v>
      </c>
      <c r="C11" s="106" t="e">
        <f>Eskom!#REF!</f>
        <v>#REF!</v>
      </c>
      <c r="D11" s="106" t="e">
        <f>Eskom!#REF!</f>
        <v>#REF!</v>
      </c>
      <c r="E11" s="106" t="e">
        <f>Eskom!#REF!</f>
        <v>#REF!</v>
      </c>
      <c r="F11" s="106" t="e">
        <f>Eskom!#REF!</f>
        <v>#REF!</v>
      </c>
      <c r="G11" s="106" t="e">
        <f>Eskom!#REF!</f>
        <v>#REF!</v>
      </c>
    </row>
    <row r="12" spans="1:7" ht="15" customHeight="1" x14ac:dyDescent="0.2">
      <c r="A12" s="534" t="s">
        <v>66</v>
      </c>
      <c r="B12" s="17" t="s">
        <v>43</v>
      </c>
      <c r="C12" s="85" t="e">
        <f>Eskom!#REF!</f>
        <v>#REF!</v>
      </c>
      <c r="D12" s="85" t="e">
        <f>Eskom!#REF!</f>
        <v>#REF!</v>
      </c>
      <c r="E12" s="85" t="e">
        <f>Eskom!#REF!</f>
        <v>#REF!</v>
      </c>
      <c r="F12" s="85" t="e">
        <f>Eskom!#REF!</f>
        <v>#REF!</v>
      </c>
      <c r="G12" s="85" t="e">
        <f>Eskom!#REF!</f>
        <v>#REF!</v>
      </c>
    </row>
    <row r="13" spans="1:7" x14ac:dyDescent="0.2">
      <c r="A13" s="535"/>
      <c r="B13" s="18" t="s">
        <v>44</v>
      </c>
      <c r="C13" s="9" t="e">
        <f>Eskom!#REF!</f>
        <v>#REF!</v>
      </c>
      <c r="D13" s="9" t="e">
        <f>Eskom!#REF!</f>
        <v>#REF!</v>
      </c>
      <c r="E13" s="9" t="e">
        <f>Eskom!#REF!</f>
        <v>#REF!</v>
      </c>
      <c r="F13" s="9" t="e">
        <f>Eskom!#REF!</f>
        <v>#REF!</v>
      </c>
      <c r="G13" s="9" t="e">
        <f>Eskom!#REF!</f>
        <v>#REF!</v>
      </c>
    </row>
    <row r="14" spans="1:7" x14ac:dyDescent="0.2">
      <c r="A14" s="535"/>
      <c r="B14" s="18" t="s">
        <v>45</v>
      </c>
      <c r="C14" s="9" t="e">
        <f>Eskom!#REF!</f>
        <v>#REF!</v>
      </c>
      <c r="D14" s="9" t="e">
        <f>Eskom!#REF!</f>
        <v>#REF!</v>
      </c>
      <c r="E14" s="9" t="e">
        <f>Eskom!#REF!</f>
        <v>#REF!</v>
      </c>
      <c r="F14" s="9" t="e">
        <f>Eskom!#REF!</f>
        <v>#REF!</v>
      </c>
      <c r="G14" s="9" t="e">
        <f>Eskom!#REF!</f>
        <v>#REF!</v>
      </c>
    </row>
    <row r="15" spans="1:7" ht="13.5" thickBot="1" x14ac:dyDescent="0.25">
      <c r="A15" s="535"/>
      <c r="B15" s="20" t="s">
        <v>47</v>
      </c>
      <c r="C15" s="15" t="e">
        <f>Eskom!#REF!</f>
        <v>#REF!</v>
      </c>
      <c r="D15" s="15" t="e">
        <f>Eskom!#REF!</f>
        <v>#REF!</v>
      </c>
      <c r="E15" s="15" t="e">
        <f>Eskom!#REF!</f>
        <v>#REF!</v>
      </c>
      <c r="F15" s="15" t="e">
        <f>Eskom!#REF!</f>
        <v>#REF!</v>
      </c>
      <c r="G15" s="15" t="e">
        <f>Eskom!#REF!</f>
        <v>#REF!</v>
      </c>
    </row>
    <row r="16" spans="1:7" ht="13.5" thickBot="1" x14ac:dyDescent="0.25">
      <c r="A16" s="536"/>
      <c r="B16" s="204" t="s">
        <v>35</v>
      </c>
      <c r="C16" s="205" t="e">
        <f>SUM(C12:C14)</f>
        <v>#REF!</v>
      </c>
      <c r="D16" s="205" t="e">
        <f>SUM(D12:D14)</f>
        <v>#REF!</v>
      </c>
      <c r="E16" s="205" t="e">
        <f>SUM(E12:E14)</f>
        <v>#REF!</v>
      </c>
      <c r="F16" s="205" t="e">
        <f>SUM(F12:F14)</f>
        <v>#REF!</v>
      </c>
      <c r="G16" s="205" t="e">
        <f>SUM(G12:G14)</f>
        <v>#REF!</v>
      </c>
    </row>
    <row r="17" spans="1:7" x14ac:dyDescent="0.2">
      <c r="A17" s="522" t="s">
        <v>80</v>
      </c>
      <c r="B17" s="120" t="s">
        <v>29</v>
      </c>
      <c r="C17" s="112">
        <v>0.13789999999999999</v>
      </c>
      <c r="D17" s="112">
        <v>0.13789999999999999</v>
      </c>
      <c r="E17" s="112">
        <v>0.17030000000000001</v>
      </c>
      <c r="F17" s="112">
        <v>0.17030000000000001</v>
      </c>
      <c r="G17" s="112">
        <v>1.1702999999999999</v>
      </c>
    </row>
    <row r="18" spans="1:7" x14ac:dyDescent="0.2">
      <c r="A18" s="523"/>
      <c r="B18" s="25" t="s">
        <v>60</v>
      </c>
      <c r="C18" s="14" t="e">
        <f>C17*C8</f>
        <v>#REF!</v>
      </c>
      <c r="D18" s="14" t="e">
        <f>D17*D8</f>
        <v>#REF!</v>
      </c>
      <c r="E18" s="14" t="e">
        <f>E17*E8</f>
        <v>#REF!</v>
      </c>
      <c r="F18" s="14" t="e">
        <f>F17*F8</f>
        <v>#REF!</v>
      </c>
      <c r="G18" s="14" t="e">
        <f>G17*G8</f>
        <v>#REF!</v>
      </c>
    </row>
    <row r="19" spans="1:7" x14ac:dyDescent="0.2">
      <c r="A19" s="523"/>
      <c r="B19" s="23" t="s">
        <v>30</v>
      </c>
      <c r="C19" s="114"/>
      <c r="D19" s="114"/>
      <c r="E19" s="114"/>
      <c r="F19" s="114"/>
      <c r="G19" s="114"/>
    </row>
    <row r="20" spans="1:7" x14ac:dyDescent="0.2">
      <c r="A20" s="523"/>
      <c r="B20" s="24" t="s">
        <v>61</v>
      </c>
      <c r="C20" s="115"/>
      <c r="D20" s="115"/>
      <c r="E20" s="115"/>
      <c r="F20" s="115"/>
      <c r="G20" s="115"/>
    </row>
    <row r="21" spans="1:7" x14ac:dyDescent="0.2">
      <c r="A21" s="523"/>
      <c r="B21" s="23" t="s">
        <v>31</v>
      </c>
      <c r="C21" s="112">
        <v>0.32190000000000002</v>
      </c>
      <c r="D21" s="112">
        <v>0.32190000000000002</v>
      </c>
      <c r="E21" s="112">
        <v>0.39750000000000002</v>
      </c>
      <c r="F21" s="112">
        <v>0.39750000000000002</v>
      </c>
      <c r="G21" s="112">
        <v>1.3975</v>
      </c>
    </row>
    <row r="22" spans="1:7" x14ac:dyDescent="0.2">
      <c r="A22" s="523"/>
      <c r="B22" s="25" t="s">
        <v>62</v>
      </c>
      <c r="C22" s="14" t="e">
        <f>C21*C10</f>
        <v>#REF!</v>
      </c>
      <c r="D22" s="14" t="e">
        <f>D21*D10</f>
        <v>#REF!</v>
      </c>
      <c r="E22" s="14" t="e">
        <f>E21*E10</f>
        <v>#REF!</v>
      </c>
      <c r="F22" s="14" t="e">
        <f>F21*F10</f>
        <v>#REF!</v>
      </c>
      <c r="G22" s="14" t="e">
        <f>G21*G10</f>
        <v>#REF!</v>
      </c>
    </row>
    <row r="23" spans="1:7" x14ac:dyDescent="0.2">
      <c r="A23" s="523"/>
      <c r="B23" s="23" t="s">
        <v>32</v>
      </c>
      <c r="C23" s="114"/>
      <c r="D23" s="114"/>
      <c r="E23" s="114"/>
      <c r="F23" s="114"/>
      <c r="G23" s="114"/>
    </row>
    <row r="24" spans="1:7" x14ac:dyDescent="0.2">
      <c r="A24" s="523"/>
      <c r="B24" s="24" t="s">
        <v>63</v>
      </c>
      <c r="C24" s="115"/>
      <c r="D24" s="115"/>
      <c r="E24" s="115"/>
      <c r="F24" s="115"/>
      <c r="G24" s="115"/>
    </row>
    <row r="25" spans="1:7" x14ac:dyDescent="0.2">
      <c r="A25" s="523"/>
      <c r="B25" s="203" t="s">
        <v>79</v>
      </c>
      <c r="C25" s="1">
        <v>0.19719999999999999</v>
      </c>
      <c r="D25" s="1">
        <v>0.19719999999999999</v>
      </c>
      <c r="E25" s="1">
        <v>0.24349999999999999</v>
      </c>
      <c r="F25" s="1">
        <v>0.24349999999999999</v>
      </c>
      <c r="G25" s="1">
        <v>1.2435</v>
      </c>
    </row>
    <row r="26" spans="1:7" x14ac:dyDescent="0.2">
      <c r="A26" s="523"/>
      <c r="B26" s="25" t="s">
        <v>64</v>
      </c>
      <c r="C26" s="14" t="e">
        <f>C25*C9</f>
        <v>#REF!</v>
      </c>
      <c r="D26" s="14" t="e">
        <f>D25*D9</f>
        <v>#REF!</v>
      </c>
      <c r="E26" s="14" t="e">
        <f>E25*E9</f>
        <v>#REF!</v>
      </c>
      <c r="F26" s="14" t="e">
        <f>F25*F9</f>
        <v>#REF!</v>
      </c>
      <c r="G26" s="14" t="e">
        <f>G25*G9</f>
        <v>#REF!</v>
      </c>
    </row>
    <row r="27" spans="1:7" x14ac:dyDescent="0.2">
      <c r="A27" s="523"/>
      <c r="B27" s="23" t="s">
        <v>33</v>
      </c>
      <c r="C27" s="114"/>
      <c r="D27" s="114"/>
      <c r="E27" s="114"/>
      <c r="F27" s="114"/>
      <c r="G27" s="114"/>
    </row>
    <row r="28" spans="1:7" x14ac:dyDescent="0.2">
      <c r="A28" s="523"/>
      <c r="B28" s="32" t="s">
        <v>65</v>
      </c>
      <c r="C28" s="31"/>
      <c r="D28" s="31"/>
      <c r="E28" s="31"/>
      <c r="F28" s="31"/>
      <c r="G28" s="31"/>
    </row>
    <row r="29" spans="1:7" x14ac:dyDescent="0.2">
      <c r="A29" s="523"/>
      <c r="B29" s="23" t="s">
        <v>54</v>
      </c>
      <c r="C29" s="31"/>
      <c r="D29" s="31"/>
      <c r="E29" s="31"/>
      <c r="F29" s="31"/>
      <c r="G29" s="31"/>
    </row>
    <row r="30" spans="1:7" ht="13.5" thickBot="1" x14ac:dyDescent="0.25">
      <c r="A30" s="524"/>
      <c r="B30" s="56" t="s">
        <v>5</v>
      </c>
      <c r="C30" s="31"/>
      <c r="D30" s="31"/>
      <c r="E30" s="122"/>
      <c r="F30" s="122"/>
      <c r="G30" s="122"/>
    </row>
    <row r="31" spans="1:7" ht="12.75" customHeight="1" x14ac:dyDescent="0.2">
      <c r="A31" s="522" t="s">
        <v>96</v>
      </c>
      <c r="B31" s="249" t="s">
        <v>82</v>
      </c>
      <c r="C31" s="541" t="e">
        <f>D8</f>
        <v>#REF!</v>
      </c>
      <c r="D31" s="542"/>
      <c r="E31" s="221" t="e">
        <f>C31*E$11/$C$34</f>
        <v>#REF!</v>
      </c>
      <c r="F31" s="221" t="e">
        <f t="shared" ref="F31:G34" si="0">C31*F$11/$C$34</f>
        <v>#REF!</v>
      </c>
      <c r="G31" s="221" t="e">
        <f t="shared" si="0"/>
        <v>#REF!</v>
      </c>
    </row>
    <row r="32" spans="1:7" x14ac:dyDescent="0.2">
      <c r="A32" s="523"/>
      <c r="B32" s="250" t="s">
        <v>83</v>
      </c>
      <c r="C32" s="541" t="e">
        <f>D9</f>
        <v>#REF!</v>
      </c>
      <c r="D32" s="542"/>
      <c r="E32" s="212" t="e">
        <f>C32*E$11/$C$34</f>
        <v>#REF!</v>
      </c>
      <c r="F32" s="212" t="e">
        <f t="shared" si="0"/>
        <v>#REF!</v>
      </c>
      <c r="G32" s="212" t="e">
        <f t="shared" si="0"/>
        <v>#REF!</v>
      </c>
    </row>
    <row r="33" spans="1:7" x14ac:dyDescent="0.2">
      <c r="A33" s="523"/>
      <c r="B33" s="250" t="s">
        <v>84</v>
      </c>
      <c r="C33" s="541" t="e">
        <f>D10</f>
        <v>#REF!</v>
      </c>
      <c r="D33" s="542"/>
      <c r="E33" s="212" t="e">
        <f>C33*E$11/$C$34</f>
        <v>#REF!</v>
      </c>
      <c r="F33" s="212" t="e">
        <f t="shared" si="0"/>
        <v>#REF!</v>
      </c>
      <c r="G33" s="212" t="e">
        <f t="shared" si="0"/>
        <v>#REF!</v>
      </c>
    </row>
    <row r="34" spans="1:7" ht="13.5" thickBot="1" x14ac:dyDescent="0.25">
      <c r="A34" s="523"/>
      <c r="B34" s="251" t="s">
        <v>85</v>
      </c>
      <c r="C34" s="541" t="e">
        <f>D11</f>
        <v>#REF!</v>
      </c>
      <c r="D34" s="542"/>
      <c r="E34" s="223" t="e">
        <f>C34*E$11/$C$34</f>
        <v>#REF!</v>
      </c>
      <c r="F34" s="223" t="e">
        <f t="shared" si="0"/>
        <v>#REF!</v>
      </c>
      <c r="G34" s="223" t="e">
        <f t="shared" si="0"/>
        <v>#REF!</v>
      </c>
    </row>
    <row r="35" spans="1:7" x14ac:dyDescent="0.2">
      <c r="A35" s="523"/>
      <c r="B35" s="17" t="s">
        <v>89</v>
      </c>
      <c r="C35" s="216"/>
      <c r="D35" s="64"/>
      <c r="E35" s="222" t="e">
        <f>E8-E31</f>
        <v>#REF!</v>
      </c>
      <c r="F35" s="222" t="e">
        <f>F8-F31</f>
        <v>#REF!</v>
      </c>
      <c r="G35" s="222" t="e">
        <f>G8-G31</f>
        <v>#REF!</v>
      </c>
    </row>
    <row r="36" spans="1:7" x14ac:dyDescent="0.2">
      <c r="A36" s="523"/>
      <c r="B36" s="18" t="s">
        <v>90</v>
      </c>
      <c r="C36" s="216"/>
      <c r="D36" s="64"/>
      <c r="E36" s="219" t="e">
        <f t="shared" ref="E36:F38" si="1">E9-E32</f>
        <v>#REF!</v>
      </c>
      <c r="F36" s="219" t="e">
        <f t="shared" si="1"/>
        <v>#REF!</v>
      </c>
      <c r="G36" s="219" t="e">
        <f>G9-G32</f>
        <v>#REF!</v>
      </c>
    </row>
    <row r="37" spans="1:7" x14ac:dyDescent="0.2">
      <c r="A37" s="523"/>
      <c r="B37" s="18" t="s">
        <v>91</v>
      </c>
      <c r="C37" s="216"/>
      <c r="D37" s="64"/>
      <c r="E37" s="219" t="e">
        <f t="shared" si="1"/>
        <v>#REF!</v>
      </c>
      <c r="F37" s="219" t="e">
        <f t="shared" si="1"/>
        <v>#REF!</v>
      </c>
      <c r="G37" s="219" t="e">
        <f>G10-G33</f>
        <v>#REF!</v>
      </c>
    </row>
    <row r="38" spans="1:7" ht="13.5" thickBot="1" x14ac:dyDescent="0.25">
      <c r="A38" s="523"/>
      <c r="B38" s="209" t="s">
        <v>81</v>
      </c>
      <c r="C38" s="216"/>
      <c r="D38" s="64"/>
      <c r="E38" s="223" t="e">
        <f t="shared" si="1"/>
        <v>#REF!</v>
      </c>
      <c r="F38" s="223" t="e">
        <f t="shared" si="1"/>
        <v>#REF!</v>
      </c>
      <c r="G38" s="223" t="e">
        <f>G11-G34</f>
        <v>#REF!</v>
      </c>
    </row>
    <row r="39" spans="1:7" ht="12.75" hidden="1" customHeight="1" x14ac:dyDescent="0.2">
      <c r="A39" s="523"/>
      <c r="B39" s="17" t="s">
        <v>86</v>
      </c>
      <c r="C39" s="216"/>
      <c r="D39" s="64"/>
      <c r="E39" s="222" t="e">
        <f>E35/E8</f>
        <v>#REF!</v>
      </c>
      <c r="F39" s="222" t="e">
        <f>F35/F8</f>
        <v>#REF!</v>
      </c>
      <c r="G39" s="222" t="e">
        <f>G35/G8</f>
        <v>#REF!</v>
      </c>
    </row>
    <row r="40" spans="1:7" ht="12.75" hidden="1" customHeight="1" x14ac:dyDescent="0.2">
      <c r="A40" s="523"/>
      <c r="B40" s="18" t="s">
        <v>87</v>
      </c>
      <c r="C40" s="216"/>
      <c r="D40" s="64"/>
      <c r="E40" s="219" t="e">
        <f t="shared" ref="E40:F42" si="2">E36/E9</f>
        <v>#REF!</v>
      </c>
      <c r="F40" s="219" t="e">
        <f t="shared" si="2"/>
        <v>#REF!</v>
      </c>
      <c r="G40" s="219" t="e">
        <f>G36/G9</f>
        <v>#REF!</v>
      </c>
    </row>
    <row r="41" spans="1:7" ht="12.75" hidden="1" customHeight="1" x14ac:dyDescent="0.2">
      <c r="A41" s="523"/>
      <c r="B41" s="18" t="s">
        <v>88</v>
      </c>
      <c r="C41" s="216"/>
      <c r="D41" s="64"/>
      <c r="E41" s="219" t="e">
        <f t="shared" si="2"/>
        <v>#REF!</v>
      </c>
      <c r="F41" s="219" t="e">
        <f t="shared" si="2"/>
        <v>#REF!</v>
      </c>
      <c r="G41" s="219" t="e">
        <f>G37/G10</f>
        <v>#REF!</v>
      </c>
    </row>
    <row r="42" spans="1:7" ht="13.5" hidden="1" customHeight="1" thickBot="1" x14ac:dyDescent="0.25">
      <c r="A42" s="523"/>
      <c r="B42" s="209" t="s">
        <v>81</v>
      </c>
      <c r="C42" s="216"/>
      <c r="D42" s="64"/>
      <c r="E42" s="220" t="e">
        <f t="shared" si="2"/>
        <v>#REF!</v>
      </c>
      <c r="F42" s="220" t="e">
        <f t="shared" si="2"/>
        <v>#REF!</v>
      </c>
      <c r="G42" s="220" t="e">
        <f>G38/G11</f>
        <v>#REF!</v>
      </c>
    </row>
    <row r="43" spans="1:7" x14ac:dyDescent="0.2">
      <c r="A43" s="523"/>
      <c r="B43" s="17" t="s">
        <v>92</v>
      </c>
      <c r="C43" s="216"/>
      <c r="D43" s="64"/>
      <c r="E43" s="215" t="e">
        <f>E35*E17</f>
        <v>#REF!</v>
      </c>
      <c r="F43" s="215" t="e">
        <f>F35*F17</f>
        <v>#REF!</v>
      </c>
      <c r="G43" s="215" t="e">
        <f>G35*G17</f>
        <v>#REF!</v>
      </c>
    </row>
    <row r="44" spans="1:7" x14ac:dyDescent="0.2">
      <c r="A44" s="523"/>
      <c r="B44" s="18" t="s">
        <v>93</v>
      </c>
      <c r="C44" s="216"/>
      <c r="D44" s="64"/>
      <c r="E44" s="215" t="e">
        <f>E36*E25</f>
        <v>#REF!</v>
      </c>
      <c r="F44" s="215" t="e">
        <f>F36*F25</f>
        <v>#REF!</v>
      </c>
      <c r="G44" s="215" t="e">
        <f>G36*G25</f>
        <v>#REF!</v>
      </c>
    </row>
    <row r="45" spans="1:7" x14ac:dyDescent="0.2">
      <c r="A45" s="523"/>
      <c r="B45" s="18" t="s">
        <v>94</v>
      </c>
      <c r="C45" s="216"/>
      <c r="D45" s="64"/>
      <c r="E45" s="215" t="e">
        <f>E37*E21</f>
        <v>#REF!</v>
      </c>
      <c r="F45" s="215" t="e">
        <f>F37*F21</f>
        <v>#REF!</v>
      </c>
      <c r="G45" s="215" t="e">
        <f>G37*G21</f>
        <v>#REF!</v>
      </c>
    </row>
    <row r="46" spans="1:7" s="96" customFormat="1" ht="15.75" thickBot="1" x14ac:dyDescent="0.3">
      <c r="A46" s="524"/>
      <c r="B46" s="214" t="s">
        <v>95</v>
      </c>
      <c r="C46" s="217"/>
      <c r="D46" s="218"/>
      <c r="E46" s="234" t="e">
        <f>SUM(E43:E45)</f>
        <v>#REF!</v>
      </c>
      <c r="F46" s="234" t="e">
        <f>SUM(F43:F45)</f>
        <v>#REF!</v>
      </c>
      <c r="G46" s="234" t="e">
        <f>SUM(G43:G45)</f>
        <v>#REF!</v>
      </c>
    </row>
    <row r="47" spans="1:7" s="227" customFormat="1" ht="15" x14ac:dyDescent="0.25">
      <c r="A47" s="225"/>
      <c r="B47" s="226"/>
      <c r="E47" s="228"/>
      <c r="F47" s="228"/>
      <c r="G47" s="228"/>
    </row>
    <row r="48" spans="1:7" s="64" customFormat="1" ht="13.5" thickBot="1" x14ac:dyDescent="0.25">
      <c r="A48" s="229" t="s">
        <v>38</v>
      </c>
      <c r="B48" s="229"/>
      <c r="C48" s="230">
        <v>40216</v>
      </c>
      <c r="D48" s="230">
        <v>40244</v>
      </c>
      <c r="E48" s="230">
        <v>40275</v>
      </c>
      <c r="F48" s="230">
        <v>40305</v>
      </c>
      <c r="G48" s="230">
        <v>40336</v>
      </c>
    </row>
    <row r="49" spans="1:7" x14ac:dyDescent="0.2">
      <c r="A49" s="537" t="s">
        <v>101</v>
      </c>
      <c r="B49" s="538"/>
      <c r="C49" s="231" t="e">
        <f>Eskom!#REF!</f>
        <v>#REF!</v>
      </c>
      <c r="D49" s="131" t="e">
        <f>Eskom!#REF!</f>
        <v>#REF!</v>
      </c>
      <c r="E49" s="131" t="e">
        <f>Eskom!#REF!</f>
        <v>#REF!</v>
      </c>
      <c r="F49" s="131" t="e">
        <f>Eskom!#REF!</f>
        <v>#REF!</v>
      </c>
      <c r="G49" s="131" t="e">
        <f>Eskom!#REF!</f>
        <v>#REF!</v>
      </c>
    </row>
    <row r="50" spans="1:7" ht="13.5" thickBot="1" x14ac:dyDescent="0.25">
      <c r="A50" s="539"/>
      <c r="B50" s="540"/>
      <c r="C50" s="224" t="e">
        <f>Eskom!#REF!</f>
        <v>#REF!</v>
      </c>
      <c r="D50" s="224" t="e">
        <f>Eskom!#REF!</f>
        <v>#REF!</v>
      </c>
      <c r="E50" s="224" t="e">
        <f>Eskom!#REF!</f>
        <v>#REF!</v>
      </c>
      <c r="F50" s="224" t="e">
        <f>Eskom!#REF!</f>
        <v>#REF!</v>
      </c>
      <c r="G50" s="224" t="e">
        <f>Eskom!#REF!</f>
        <v>#REF!</v>
      </c>
    </row>
    <row r="51" spans="1:7" ht="13.5" hidden="1" thickBot="1" x14ac:dyDescent="0.25">
      <c r="A51" s="532" t="s">
        <v>42</v>
      </c>
      <c r="B51" s="17" t="s">
        <v>43</v>
      </c>
      <c r="C51" s="16" t="e">
        <f>Eskom!#REF!</f>
        <v>#REF!</v>
      </c>
      <c r="D51" s="16" t="e">
        <f>Eskom!#REF!</f>
        <v>#REF!</v>
      </c>
      <c r="E51" s="16" t="e">
        <f>Eskom!#REF!</f>
        <v>#REF!</v>
      </c>
      <c r="F51" s="16" t="e">
        <f>Eskom!#REF!</f>
        <v>#REF!</v>
      </c>
      <c r="G51" s="16" t="e">
        <f>Eskom!#REF!</f>
        <v>#REF!</v>
      </c>
    </row>
    <row r="52" spans="1:7" ht="13.5" hidden="1" thickBot="1" x14ac:dyDescent="0.25">
      <c r="A52" s="532"/>
      <c r="B52" s="18" t="s">
        <v>44</v>
      </c>
      <c r="C52" s="7" t="e">
        <f>Eskom!#REF!</f>
        <v>#REF!</v>
      </c>
      <c r="D52" s="7" t="e">
        <f>Eskom!#REF!</f>
        <v>#REF!</v>
      </c>
      <c r="E52" s="7" t="e">
        <f>Eskom!#REF!</f>
        <v>#REF!</v>
      </c>
      <c r="F52" s="7" t="e">
        <f>Eskom!#REF!</f>
        <v>#REF!</v>
      </c>
      <c r="G52" s="7" t="e">
        <f>Eskom!#REF!</f>
        <v>#REF!</v>
      </c>
    </row>
    <row r="53" spans="1:7" ht="13.5" hidden="1" thickBot="1" x14ac:dyDescent="0.25">
      <c r="A53" s="532"/>
      <c r="B53" s="18" t="s">
        <v>45</v>
      </c>
      <c r="C53" s="7" t="e">
        <f>Eskom!#REF!</f>
        <v>#REF!</v>
      </c>
      <c r="D53" s="7" t="e">
        <f>Eskom!#REF!</f>
        <v>#REF!</v>
      </c>
      <c r="E53" s="7" t="e">
        <f>Eskom!#REF!</f>
        <v>#REF!</v>
      </c>
      <c r="F53" s="7" t="e">
        <f>Eskom!#REF!</f>
        <v>#REF!</v>
      </c>
      <c r="G53" s="7" t="e">
        <f>Eskom!#REF!</f>
        <v>#REF!</v>
      </c>
    </row>
    <row r="54" spans="1:7" ht="13.5" hidden="1" thickBot="1" x14ac:dyDescent="0.25">
      <c r="A54" s="533"/>
      <c r="B54" s="105" t="s">
        <v>42</v>
      </c>
      <c r="C54" s="129" t="e">
        <f>Eskom!#REF!</f>
        <v>#REF!</v>
      </c>
      <c r="D54" s="129" t="e">
        <f>Eskom!#REF!</f>
        <v>#REF!</v>
      </c>
      <c r="E54" s="129" t="e">
        <f>Eskom!#REF!</f>
        <v>#REF!</v>
      </c>
      <c r="F54" s="129" t="e">
        <f>Eskom!#REF!</f>
        <v>#REF!</v>
      </c>
      <c r="G54" s="129" t="e">
        <f>Eskom!#REF!</f>
        <v>#REF!</v>
      </c>
    </row>
    <row r="55" spans="1:7" x14ac:dyDescent="0.2">
      <c r="A55" s="531" t="s">
        <v>39</v>
      </c>
      <c r="B55" s="17" t="s">
        <v>40</v>
      </c>
      <c r="C55" s="6" t="e">
        <f>Eskom!#REF!</f>
        <v>#REF!</v>
      </c>
      <c r="D55" s="6" t="e">
        <f>Eskom!#REF!</f>
        <v>#REF!</v>
      </c>
      <c r="E55" s="6" t="e">
        <f>Eskom!#REF!</f>
        <v>#REF!</v>
      </c>
      <c r="F55" s="6" t="e">
        <f>Eskom!#REF!</f>
        <v>#REF!</v>
      </c>
      <c r="G55" s="6" t="e">
        <f>Eskom!#REF!</f>
        <v>#REF!</v>
      </c>
    </row>
    <row r="56" spans="1:7" x14ac:dyDescent="0.2">
      <c r="A56" s="532"/>
      <c r="B56" s="18" t="s">
        <v>1</v>
      </c>
      <c r="C56" s="6" t="e">
        <f>Eskom!#REF!</f>
        <v>#REF!</v>
      </c>
      <c r="D56" s="6" t="e">
        <f>Eskom!#REF!</f>
        <v>#REF!</v>
      </c>
      <c r="E56" s="6" t="e">
        <f>Eskom!#REF!</f>
        <v>#REF!</v>
      </c>
      <c r="F56" s="6" t="e">
        <f>Eskom!#REF!</f>
        <v>#REF!</v>
      </c>
      <c r="G56" s="6" t="e">
        <f>Eskom!#REF!</f>
        <v>#REF!</v>
      </c>
    </row>
    <row r="57" spans="1:7" x14ac:dyDescent="0.2">
      <c r="A57" s="532"/>
      <c r="B57" s="18" t="s">
        <v>0</v>
      </c>
      <c r="C57" s="6" t="e">
        <f>Eskom!#REF!</f>
        <v>#REF!</v>
      </c>
      <c r="D57" s="6" t="e">
        <f>Eskom!#REF!</f>
        <v>#REF!</v>
      </c>
      <c r="E57" s="6" t="e">
        <f>Eskom!#REF!</f>
        <v>#REF!</v>
      </c>
      <c r="F57" s="6" t="e">
        <f>Eskom!#REF!</f>
        <v>#REF!</v>
      </c>
      <c r="G57" s="6" t="e">
        <f>Eskom!#REF!</f>
        <v>#REF!</v>
      </c>
    </row>
    <row r="58" spans="1:7" ht="13.5" thickBot="1" x14ac:dyDescent="0.25">
      <c r="A58" s="533"/>
      <c r="B58" s="209" t="s">
        <v>81</v>
      </c>
      <c r="C58" s="106" t="e">
        <f>Eskom!#REF!</f>
        <v>#REF!</v>
      </c>
      <c r="D58" s="106" t="e">
        <f>Eskom!#REF!</f>
        <v>#REF!</v>
      </c>
      <c r="E58" s="106" t="e">
        <f>Eskom!#REF!</f>
        <v>#REF!</v>
      </c>
      <c r="F58" s="106" t="e">
        <f>Eskom!#REF!</f>
        <v>#REF!</v>
      </c>
      <c r="G58" s="106" t="e">
        <f>Eskom!#REF!</f>
        <v>#REF!</v>
      </c>
    </row>
    <row r="59" spans="1:7" hidden="1" x14ac:dyDescent="0.2">
      <c r="A59" s="534" t="s">
        <v>66</v>
      </c>
      <c r="B59" s="17" t="s">
        <v>43</v>
      </c>
      <c r="C59" s="85" t="e">
        <f>Eskom!#REF!</f>
        <v>#REF!</v>
      </c>
      <c r="D59" s="85" t="e">
        <f>Eskom!#REF!</f>
        <v>#REF!</v>
      </c>
      <c r="E59" s="85" t="e">
        <f>Eskom!#REF!</f>
        <v>#REF!</v>
      </c>
      <c r="F59" s="85" t="e">
        <f>Eskom!#REF!</f>
        <v>#REF!</v>
      </c>
      <c r="G59" s="85" t="e">
        <f>Eskom!#REF!</f>
        <v>#REF!</v>
      </c>
    </row>
    <row r="60" spans="1:7" hidden="1" x14ac:dyDescent="0.2">
      <c r="A60" s="535"/>
      <c r="B60" s="18" t="s">
        <v>44</v>
      </c>
      <c r="C60" s="9" t="e">
        <f>Eskom!#REF!</f>
        <v>#REF!</v>
      </c>
      <c r="D60" s="9" t="e">
        <f>Eskom!#REF!</f>
        <v>#REF!</v>
      </c>
      <c r="E60" s="9" t="e">
        <f>Eskom!#REF!</f>
        <v>#REF!</v>
      </c>
      <c r="F60" s="9" t="e">
        <f>Eskom!#REF!</f>
        <v>#REF!</v>
      </c>
      <c r="G60" s="9" t="e">
        <f>Eskom!#REF!</f>
        <v>#REF!</v>
      </c>
    </row>
    <row r="61" spans="1:7" hidden="1" x14ac:dyDescent="0.2">
      <c r="A61" s="535"/>
      <c r="B61" s="18" t="s">
        <v>45</v>
      </c>
      <c r="C61" s="9" t="e">
        <f>Eskom!#REF!</f>
        <v>#REF!</v>
      </c>
      <c r="D61" s="9" t="e">
        <f>Eskom!#REF!</f>
        <v>#REF!</v>
      </c>
      <c r="E61" s="9" t="e">
        <f>Eskom!#REF!</f>
        <v>#REF!</v>
      </c>
      <c r="F61" s="9" t="e">
        <f>Eskom!#REF!</f>
        <v>#REF!</v>
      </c>
      <c r="G61" s="9" t="e">
        <f>Eskom!#REF!</f>
        <v>#REF!</v>
      </c>
    </row>
    <row r="62" spans="1:7" ht="13.5" hidden="1" thickBot="1" x14ac:dyDescent="0.25">
      <c r="A62" s="535"/>
      <c r="B62" s="20" t="s">
        <v>47</v>
      </c>
      <c r="C62" s="15" t="e">
        <f>Eskom!#REF!</f>
        <v>#REF!</v>
      </c>
      <c r="D62" s="15" t="e">
        <f>Eskom!#REF!</f>
        <v>#REF!</v>
      </c>
      <c r="E62" s="15" t="e">
        <f>Eskom!#REF!</f>
        <v>#REF!</v>
      </c>
      <c r="F62" s="15" t="e">
        <f>Eskom!#REF!</f>
        <v>#REF!</v>
      </c>
      <c r="G62" s="15" t="e">
        <f>Eskom!#REF!</f>
        <v>#REF!</v>
      </c>
    </row>
    <row r="63" spans="1:7" ht="13.5" hidden="1" thickBot="1" x14ac:dyDescent="0.25">
      <c r="A63" s="536"/>
      <c r="B63" s="204" t="s">
        <v>35</v>
      </c>
      <c r="C63" s="205" t="e">
        <f>SUM(C59:C61)</f>
        <v>#REF!</v>
      </c>
      <c r="D63" s="205" t="e">
        <f>SUM(D59:D61)</f>
        <v>#REF!</v>
      </c>
      <c r="E63" s="205" t="e">
        <f>SUM(E59:E61)</f>
        <v>#REF!</v>
      </c>
      <c r="F63" s="205" t="e">
        <f>SUM(F59:F61)</f>
        <v>#REF!</v>
      </c>
      <c r="G63" s="205" t="e">
        <f>SUM(G59:G61)</f>
        <v>#REF!</v>
      </c>
    </row>
    <row r="64" spans="1:7" hidden="1" x14ac:dyDescent="0.2">
      <c r="A64" s="522" t="s">
        <v>80</v>
      </c>
      <c r="B64" s="120" t="s">
        <v>29</v>
      </c>
      <c r="C64" s="112">
        <v>0.13789999999999999</v>
      </c>
      <c r="D64" s="112">
        <v>0.13789999999999999</v>
      </c>
      <c r="E64" s="112">
        <v>0.17030000000000001</v>
      </c>
      <c r="F64" s="112">
        <v>0.17030000000000001</v>
      </c>
      <c r="G64" s="112">
        <v>1.1702999999999999</v>
      </c>
    </row>
    <row r="65" spans="1:7" hidden="1" x14ac:dyDescent="0.2">
      <c r="A65" s="523"/>
      <c r="B65" s="25" t="s">
        <v>60</v>
      </c>
      <c r="C65" s="14" t="e">
        <f>C64*C55</f>
        <v>#REF!</v>
      </c>
      <c r="D65" s="14" t="e">
        <f>D64*D55</f>
        <v>#REF!</v>
      </c>
      <c r="E65" s="14" t="e">
        <f>E64*E55</f>
        <v>#REF!</v>
      </c>
      <c r="F65" s="14" t="e">
        <f>F64*F55</f>
        <v>#REF!</v>
      </c>
      <c r="G65" s="14" t="e">
        <f>G64*G55</f>
        <v>#REF!</v>
      </c>
    </row>
    <row r="66" spans="1:7" hidden="1" x14ac:dyDescent="0.2">
      <c r="A66" s="523"/>
      <c r="B66" s="23" t="s">
        <v>30</v>
      </c>
      <c r="C66" s="114"/>
      <c r="D66" s="114"/>
      <c r="E66" s="114"/>
      <c r="F66" s="114"/>
      <c r="G66" s="114"/>
    </row>
    <row r="67" spans="1:7" hidden="1" x14ac:dyDescent="0.2">
      <c r="A67" s="523"/>
      <c r="B67" s="24" t="s">
        <v>61</v>
      </c>
      <c r="C67" s="115"/>
      <c r="D67" s="115"/>
      <c r="E67" s="115"/>
      <c r="F67" s="115"/>
      <c r="G67" s="115"/>
    </row>
    <row r="68" spans="1:7" hidden="1" x14ac:dyDescent="0.2">
      <c r="A68" s="523"/>
      <c r="B68" s="23" t="s">
        <v>31</v>
      </c>
      <c r="C68" s="112">
        <v>0.32190000000000002</v>
      </c>
      <c r="D68" s="112">
        <v>0.32190000000000002</v>
      </c>
      <c r="E68" s="112">
        <v>0.39750000000000002</v>
      </c>
      <c r="F68" s="112">
        <v>0.39750000000000002</v>
      </c>
      <c r="G68" s="112">
        <v>1.3975</v>
      </c>
    </row>
    <row r="69" spans="1:7" hidden="1" x14ac:dyDescent="0.2">
      <c r="A69" s="523"/>
      <c r="B69" s="25" t="s">
        <v>62</v>
      </c>
      <c r="C69" s="14" t="e">
        <f>C68*C57</f>
        <v>#REF!</v>
      </c>
      <c r="D69" s="14" t="e">
        <f>D68*D57</f>
        <v>#REF!</v>
      </c>
      <c r="E69" s="14" t="e">
        <f>E68*E57</f>
        <v>#REF!</v>
      </c>
      <c r="F69" s="14" t="e">
        <f>F68*F57</f>
        <v>#REF!</v>
      </c>
      <c r="G69" s="14" t="e">
        <f>G68*G57</f>
        <v>#REF!</v>
      </c>
    </row>
    <row r="70" spans="1:7" hidden="1" x14ac:dyDescent="0.2">
      <c r="A70" s="523"/>
      <c r="B70" s="23" t="s">
        <v>32</v>
      </c>
      <c r="C70" s="114"/>
      <c r="D70" s="114"/>
      <c r="E70" s="114"/>
      <c r="F70" s="114"/>
      <c r="G70" s="114"/>
    </row>
    <row r="71" spans="1:7" hidden="1" x14ac:dyDescent="0.2">
      <c r="A71" s="523"/>
      <c r="B71" s="24" t="s">
        <v>63</v>
      </c>
      <c r="C71" s="115"/>
      <c r="D71" s="115"/>
      <c r="E71" s="115"/>
      <c r="F71" s="115"/>
      <c r="G71" s="115"/>
    </row>
    <row r="72" spans="1:7" hidden="1" x14ac:dyDescent="0.2">
      <c r="A72" s="523"/>
      <c r="B72" s="203" t="s">
        <v>79</v>
      </c>
      <c r="C72" s="1">
        <v>0.19719999999999999</v>
      </c>
      <c r="D72" s="1">
        <v>0.19719999999999999</v>
      </c>
      <c r="E72" s="1">
        <v>0.24349999999999999</v>
      </c>
      <c r="F72" s="1">
        <v>0.24349999999999999</v>
      </c>
      <c r="G72" s="1">
        <v>1.2435</v>
      </c>
    </row>
    <row r="73" spans="1:7" hidden="1" x14ac:dyDescent="0.2">
      <c r="A73" s="523"/>
      <c r="B73" s="25" t="s">
        <v>64</v>
      </c>
      <c r="C73" s="14" t="e">
        <f>C72*C56</f>
        <v>#REF!</v>
      </c>
      <c r="D73" s="14" t="e">
        <f>D72*D56</f>
        <v>#REF!</v>
      </c>
      <c r="E73" s="14" t="e">
        <f>E72*E56</f>
        <v>#REF!</v>
      </c>
      <c r="F73" s="14" t="e">
        <f>F72*F56</f>
        <v>#REF!</v>
      </c>
      <c r="G73" s="14" t="e">
        <f>G72*G56</f>
        <v>#REF!</v>
      </c>
    </row>
    <row r="74" spans="1:7" hidden="1" x14ac:dyDescent="0.2">
      <c r="A74" s="523"/>
      <c r="B74" s="23" t="s">
        <v>33</v>
      </c>
      <c r="C74" s="114"/>
      <c r="D74" s="114"/>
      <c r="E74" s="114"/>
      <c r="F74" s="114"/>
      <c r="G74" s="114"/>
    </row>
    <row r="75" spans="1:7" hidden="1" x14ac:dyDescent="0.2">
      <c r="A75" s="523"/>
      <c r="B75" s="32" t="s">
        <v>65</v>
      </c>
      <c r="C75" s="31"/>
      <c r="D75" s="31"/>
      <c r="E75" s="31"/>
      <c r="F75" s="31"/>
      <c r="G75" s="31"/>
    </row>
    <row r="76" spans="1:7" hidden="1" x14ac:dyDescent="0.2">
      <c r="A76" s="523"/>
      <c r="B76" s="23" t="s">
        <v>54</v>
      </c>
      <c r="C76" s="31"/>
      <c r="D76" s="31"/>
      <c r="E76" s="31"/>
      <c r="F76" s="31"/>
      <c r="G76" s="31"/>
    </row>
    <row r="77" spans="1:7" ht="13.5" hidden="1" thickBot="1" x14ac:dyDescent="0.25">
      <c r="A77" s="524"/>
      <c r="B77" s="56" t="s">
        <v>5</v>
      </c>
      <c r="C77" s="31"/>
      <c r="D77" s="31"/>
      <c r="E77" s="122"/>
      <c r="F77" s="122"/>
      <c r="G77" s="122"/>
    </row>
    <row r="78" spans="1:7" hidden="1" x14ac:dyDescent="0.2">
      <c r="A78" s="522" t="s">
        <v>96</v>
      </c>
      <c r="B78" s="17" t="s">
        <v>82</v>
      </c>
      <c r="C78" s="525" t="e">
        <f>AVERAGE(C55:D55)</f>
        <v>#REF!</v>
      </c>
      <c r="D78" s="526"/>
      <c r="E78" s="221" t="e">
        <f>C78*E$58/$C$81</f>
        <v>#REF!</v>
      </c>
      <c r="F78" s="221" t="e">
        <f t="shared" ref="F78:G81" si="3">C78*F$58/$C$81</f>
        <v>#REF!</v>
      </c>
      <c r="G78" s="221" t="e">
        <f t="shared" si="3"/>
        <v>#REF!</v>
      </c>
    </row>
    <row r="79" spans="1:7" hidden="1" x14ac:dyDescent="0.2">
      <c r="A79" s="523"/>
      <c r="B79" s="18" t="s">
        <v>83</v>
      </c>
      <c r="C79" s="527" t="e">
        <f>AVERAGE(C56:D56)</f>
        <v>#REF!</v>
      </c>
      <c r="D79" s="528"/>
      <c r="E79" s="221" t="e">
        <f>C79*E$58/$C$81</f>
        <v>#REF!</v>
      </c>
      <c r="F79" s="221" t="e">
        <f t="shared" si="3"/>
        <v>#REF!</v>
      </c>
      <c r="G79" s="221" t="e">
        <f t="shared" si="3"/>
        <v>#REF!</v>
      </c>
    </row>
    <row r="80" spans="1:7" hidden="1" x14ac:dyDescent="0.2">
      <c r="A80" s="523"/>
      <c r="B80" s="18" t="s">
        <v>84</v>
      </c>
      <c r="C80" s="527" t="e">
        <f>AVERAGE(C57:D57)</f>
        <v>#REF!</v>
      </c>
      <c r="D80" s="528"/>
      <c r="E80" s="221" t="e">
        <f>C80*E$58/$C$81</f>
        <v>#REF!</v>
      </c>
      <c r="F80" s="221" t="e">
        <f t="shared" si="3"/>
        <v>#REF!</v>
      </c>
      <c r="G80" s="221" t="e">
        <f t="shared" si="3"/>
        <v>#REF!</v>
      </c>
    </row>
    <row r="81" spans="1:7" ht="13.5" hidden="1" thickBot="1" x14ac:dyDescent="0.25">
      <c r="A81" s="523"/>
      <c r="B81" s="209" t="s">
        <v>85</v>
      </c>
      <c r="C81" s="529" t="e">
        <f>AVERAGE(C58:D58)</f>
        <v>#REF!</v>
      </c>
      <c r="D81" s="530"/>
      <c r="E81" s="223" t="e">
        <f>C81*E$58/$C$81</f>
        <v>#REF!</v>
      </c>
      <c r="F81" s="223" t="e">
        <f t="shared" si="3"/>
        <v>#REF!</v>
      </c>
      <c r="G81" s="223" t="e">
        <f t="shared" si="3"/>
        <v>#REF!</v>
      </c>
    </row>
    <row r="82" spans="1:7" x14ac:dyDescent="0.2">
      <c r="A82" s="523"/>
      <c r="B82" s="17" t="s">
        <v>89</v>
      </c>
      <c r="C82" s="216"/>
      <c r="D82" s="64"/>
      <c r="E82" s="222" t="e">
        <f t="shared" ref="E82:F85" si="4">E55-E78</f>
        <v>#REF!</v>
      </c>
      <c r="F82" s="222" t="e">
        <f t="shared" si="4"/>
        <v>#REF!</v>
      </c>
      <c r="G82" s="222" t="e">
        <f>G55-G78</f>
        <v>#REF!</v>
      </c>
    </row>
    <row r="83" spans="1:7" x14ac:dyDescent="0.2">
      <c r="A83" s="523"/>
      <c r="B83" s="18" t="s">
        <v>90</v>
      </c>
      <c r="C83" s="216"/>
      <c r="D83" s="64"/>
      <c r="E83" s="219" t="e">
        <f t="shared" si="4"/>
        <v>#REF!</v>
      </c>
      <c r="F83" s="219" t="e">
        <f t="shared" si="4"/>
        <v>#REF!</v>
      </c>
      <c r="G83" s="219" t="e">
        <f>G56-G79</f>
        <v>#REF!</v>
      </c>
    </row>
    <row r="84" spans="1:7" x14ac:dyDescent="0.2">
      <c r="A84" s="523"/>
      <c r="B84" s="18" t="s">
        <v>91</v>
      </c>
      <c r="C84" s="216"/>
      <c r="D84" s="64"/>
      <c r="E84" s="219" t="e">
        <f t="shared" si="4"/>
        <v>#REF!</v>
      </c>
      <c r="F84" s="219" t="e">
        <f t="shared" si="4"/>
        <v>#REF!</v>
      </c>
      <c r="G84" s="219" t="e">
        <f>G57-G80</f>
        <v>#REF!</v>
      </c>
    </row>
    <row r="85" spans="1:7" ht="13.5" thickBot="1" x14ac:dyDescent="0.25">
      <c r="A85" s="523"/>
      <c r="B85" s="209" t="s">
        <v>81</v>
      </c>
      <c r="C85" s="216"/>
      <c r="D85" s="64"/>
      <c r="E85" s="223" t="e">
        <f t="shared" si="4"/>
        <v>#REF!</v>
      </c>
      <c r="F85" s="223" t="e">
        <f t="shared" si="4"/>
        <v>#REF!</v>
      </c>
      <c r="G85" s="223" t="e">
        <f>G58-G81</f>
        <v>#REF!</v>
      </c>
    </row>
    <row r="86" spans="1:7" hidden="1" x14ac:dyDescent="0.2">
      <c r="A86" s="523"/>
      <c r="B86" s="17" t="s">
        <v>86</v>
      </c>
      <c r="C86" s="216"/>
      <c r="D86" s="64"/>
      <c r="E86" s="222" t="e">
        <f t="shared" ref="E86:F89" si="5">E82/E55</f>
        <v>#REF!</v>
      </c>
      <c r="F86" s="222" t="e">
        <f t="shared" si="5"/>
        <v>#REF!</v>
      </c>
      <c r="G86" s="222" t="e">
        <f>G82/G55</f>
        <v>#REF!</v>
      </c>
    </row>
    <row r="87" spans="1:7" hidden="1" x14ac:dyDescent="0.2">
      <c r="A87" s="523"/>
      <c r="B87" s="18" t="s">
        <v>87</v>
      </c>
      <c r="C87" s="216"/>
      <c r="D87" s="64"/>
      <c r="E87" s="219" t="e">
        <f t="shared" si="5"/>
        <v>#REF!</v>
      </c>
      <c r="F87" s="219" t="e">
        <f t="shared" si="5"/>
        <v>#REF!</v>
      </c>
      <c r="G87" s="219" t="e">
        <f>G83/G56</f>
        <v>#REF!</v>
      </c>
    </row>
    <row r="88" spans="1:7" hidden="1" x14ac:dyDescent="0.2">
      <c r="A88" s="523"/>
      <c r="B88" s="18" t="s">
        <v>88</v>
      </c>
      <c r="C88" s="216"/>
      <c r="D88" s="64"/>
      <c r="E88" s="219" t="e">
        <f t="shared" si="5"/>
        <v>#REF!</v>
      </c>
      <c r="F88" s="219" t="e">
        <f t="shared" si="5"/>
        <v>#REF!</v>
      </c>
      <c r="G88" s="219" t="e">
        <f>G84/G57</f>
        <v>#REF!</v>
      </c>
    </row>
    <row r="89" spans="1:7" ht="13.5" hidden="1" thickBot="1" x14ac:dyDescent="0.25">
      <c r="A89" s="523"/>
      <c r="B89" s="209" t="s">
        <v>81</v>
      </c>
      <c r="C89" s="216"/>
      <c r="D89" s="64"/>
      <c r="E89" s="220" t="e">
        <f t="shared" si="5"/>
        <v>#REF!</v>
      </c>
      <c r="F89" s="220" t="e">
        <f t="shared" si="5"/>
        <v>#REF!</v>
      </c>
      <c r="G89" s="220" t="e">
        <f>G85/G58</f>
        <v>#REF!</v>
      </c>
    </row>
    <row r="90" spans="1:7" x14ac:dyDescent="0.2">
      <c r="A90" s="523"/>
      <c r="B90" s="17" t="s">
        <v>92</v>
      </c>
      <c r="C90" s="216"/>
      <c r="D90" s="64"/>
      <c r="E90" s="215" t="e">
        <f>E82*E64</f>
        <v>#REF!</v>
      </c>
      <c r="F90" s="215" t="e">
        <f>F82*F64</f>
        <v>#REF!</v>
      </c>
      <c r="G90" s="215" t="e">
        <f>G82*G64</f>
        <v>#REF!</v>
      </c>
    </row>
    <row r="91" spans="1:7" x14ac:dyDescent="0.2">
      <c r="A91" s="523"/>
      <c r="B91" s="18" t="s">
        <v>93</v>
      </c>
      <c r="C91" s="216"/>
      <c r="D91" s="64"/>
      <c r="E91" s="215" t="e">
        <f>E83*E72</f>
        <v>#REF!</v>
      </c>
      <c r="F91" s="215" t="e">
        <f>F83*F72</f>
        <v>#REF!</v>
      </c>
      <c r="G91" s="215" t="e">
        <f>G83*G72</f>
        <v>#REF!</v>
      </c>
    </row>
    <row r="92" spans="1:7" x14ac:dyDescent="0.2">
      <c r="A92" s="523"/>
      <c r="B92" s="18" t="s">
        <v>94</v>
      </c>
      <c r="C92" s="216"/>
      <c r="D92" s="64"/>
      <c r="E92" s="215" t="e">
        <f>E84*E68</f>
        <v>#REF!</v>
      </c>
      <c r="F92" s="215" t="e">
        <f>F84*F68</f>
        <v>#REF!</v>
      </c>
      <c r="G92" s="215" t="e">
        <f>G84*G68</f>
        <v>#REF!</v>
      </c>
    </row>
    <row r="93" spans="1:7" ht="15.75" thickBot="1" x14ac:dyDescent="0.3">
      <c r="A93" s="524"/>
      <c r="B93" s="214" t="s">
        <v>95</v>
      </c>
      <c r="C93" s="217"/>
      <c r="D93" s="218"/>
      <c r="E93" s="234" t="e">
        <f>SUM(E90:E92)</f>
        <v>#REF!</v>
      </c>
      <c r="F93" s="234" t="e">
        <f>SUM(F90:F92)</f>
        <v>#REF!</v>
      </c>
      <c r="G93" s="234" t="e">
        <f>SUM(G90:G92)</f>
        <v>#REF!</v>
      </c>
    </row>
    <row r="94" spans="1:7" x14ac:dyDescent="0.2">
      <c r="C94" s="233"/>
      <c r="D94" s="233"/>
      <c r="E94" s="213"/>
      <c r="F94" s="213"/>
      <c r="G94" s="213"/>
    </row>
    <row r="95" spans="1:7" ht="15.75" thickBot="1" x14ac:dyDescent="0.3">
      <c r="B95" s="232" t="s">
        <v>97</v>
      </c>
      <c r="C95" s="217"/>
      <c r="D95" s="218"/>
      <c r="E95" s="235" t="e">
        <f>E46+E93</f>
        <v>#REF!</v>
      </c>
      <c r="F95" s="235" t="e">
        <f>F46+F93</f>
        <v>#REF!</v>
      </c>
      <c r="G95" s="235" t="e">
        <f>G46+G93</f>
        <v>#REF!</v>
      </c>
    </row>
  </sheetData>
  <mergeCells count="20">
    <mergeCell ref="A2:B3"/>
    <mergeCell ref="A49:B50"/>
    <mergeCell ref="A51:A54"/>
    <mergeCell ref="C31:D31"/>
    <mergeCell ref="C32:D32"/>
    <mergeCell ref="C33:D33"/>
    <mergeCell ref="C34:D34"/>
    <mergeCell ref="A31:A46"/>
    <mergeCell ref="A55:A58"/>
    <mergeCell ref="A4:A7"/>
    <mergeCell ref="A8:A11"/>
    <mergeCell ref="A59:A63"/>
    <mergeCell ref="A64:A77"/>
    <mergeCell ref="A17:A30"/>
    <mergeCell ref="A12:A16"/>
    <mergeCell ref="A78:A93"/>
    <mergeCell ref="C78:D78"/>
    <mergeCell ref="C79:D79"/>
    <mergeCell ref="C80:D80"/>
    <mergeCell ref="C81:D81"/>
  </mergeCells>
  <conditionalFormatting sqref="C11:G11">
    <cfRule type="expression" dxfId="32" priority="6" stopIfTrue="1">
      <formula>C11&lt;&gt;SUM(C8:C10)</formula>
    </cfRule>
  </conditionalFormatting>
  <conditionalFormatting sqref="C15:G15">
    <cfRule type="cellIs" dxfId="31" priority="5" stopIfTrue="1" operator="equal">
      <formula>0</formula>
    </cfRule>
  </conditionalFormatting>
  <conditionalFormatting sqref="C58:G58">
    <cfRule type="expression" dxfId="30" priority="2" stopIfTrue="1">
      <formula>C58&lt;&gt;SUM(C55:C57)</formula>
    </cfRule>
  </conditionalFormatting>
  <conditionalFormatting sqref="C62:G62">
    <cfRule type="cellIs" dxfId="29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53"/>
  </sheetPr>
  <dimension ref="A1:W292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B63" sqref="B63"/>
    </sheetView>
  </sheetViews>
  <sheetFormatPr defaultRowHeight="12.75" x14ac:dyDescent="0.2"/>
  <cols>
    <col min="2" max="2" width="34.85546875" customWidth="1"/>
    <col min="3" max="3" width="13.42578125" style="74" bestFit="1" customWidth="1"/>
    <col min="4" max="4" width="13.42578125" bestFit="1" customWidth="1"/>
    <col min="5" max="5" width="13.42578125" customWidth="1"/>
    <col min="6" max="6" width="12.140625" bestFit="1" customWidth="1"/>
    <col min="7" max="7" width="12.28515625" bestFit="1" customWidth="1"/>
    <col min="8" max="8" width="12.85546875" bestFit="1" customWidth="1"/>
    <col min="9" max="9" width="13.85546875" customWidth="1"/>
    <col min="10" max="10" width="14.5703125" style="267" customWidth="1"/>
    <col min="11" max="11" width="14.85546875" style="267" customWidth="1"/>
    <col min="12" max="21" width="9.140625" style="267"/>
  </cols>
  <sheetData>
    <row r="1" spans="1:23" s="68" customFormat="1" ht="13.5" thickBot="1" x14ac:dyDescent="0.25">
      <c r="C1" s="193">
        <v>40188</v>
      </c>
      <c r="D1" s="194">
        <v>40219</v>
      </c>
      <c r="E1" s="192">
        <v>40247</v>
      </c>
      <c r="F1" s="191">
        <v>40278</v>
      </c>
      <c r="G1" s="191">
        <v>40308</v>
      </c>
      <c r="H1" s="190">
        <v>40339</v>
      </c>
      <c r="I1" s="190">
        <v>40369</v>
      </c>
      <c r="J1" s="191">
        <v>40400</v>
      </c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</row>
    <row r="2" spans="1:23" s="58" customFormat="1" ht="13.5" customHeight="1" x14ac:dyDescent="0.2">
      <c r="A2" s="546" t="s">
        <v>109</v>
      </c>
      <c r="B2" s="57" t="s">
        <v>56</v>
      </c>
      <c r="C2" s="67">
        <f>Eskom!C39</f>
        <v>4500</v>
      </c>
      <c r="D2" s="67">
        <f>Eskom!D39</f>
        <v>4500</v>
      </c>
      <c r="E2" s="67">
        <f>Eskom!E39</f>
        <v>4500</v>
      </c>
      <c r="F2" s="67">
        <f>Eskom!F39</f>
        <v>4500</v>
      </c>
      <c r="G2" s="67">
        <f>Eskom!G39</f>
        <v>0</v>
      </c>
      <c r="H2" s="67">
        <f>Eskom!H39</f>
        <v>0</v>
      </c>
      <c r="I2" s="67">
        <f>Eskom!I39</f>
        <v>0</v>
      </c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124"/>
      <c r="W2" s="124"/>
    </row>
    <row r="3" spans="1:23" s="75" customFormat="1" x14ac:dyDescent="0.2">
      <c r="A3" s="547"/>
      <c r="B3" s="77" t="s">
        <v>55</v>
      </c>
      <c r="C3" s="125">
        <f>Eskom!C40</f>
        <v>4500</v>
      </c>
      <c r="D3" s="125">
        <f>Eskom!D40</f>
        <v>4500</v>
      </c>
      <c r="E3" s="125">
        <f>Eskom!E40</f>
        <v>4500</v>
      </c>
      <c r="F3" s="125">
        <f>Eskom!F40</f>
        <v>4500</v>
      </c>
      <c r="G3" s="125">
        <f>Eskom!G40</f>
        <v>0</v>
      </c>
      <c r="H3" s="125">
        <f>Eskom!H40</f>
        <v>0</v>
      </c>
      <c r="I3" s="125">
        <f>Eskom!I40</f>
        <v>0</v>
      </c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124"/>
      <c r="W3" s="124"/>
    </row>
    <row r="4" spans="1:23" s="76" customFormat="1" ht="12.75" customHeight="1" x14ac:dyDescent="0.2">
      <c r="A4" s="547"/>
      <c r="B4" s="78" t="s">
        <v>14</v>
      </c>
      <c r="C4" s="79">
        <f>Eskom!C41</f>
        <v>606303</v>
      </c>
      <c r="D4" s="79">
        <f>Eskom!D41</f>
        <v>0</v>
      </c>
      <c r="E4" s="79">
        <f>Eskom!E41</f>
        <v>634206.24</v>
      </c>
      <c r="F4" s="79">
        <f>Eskom!F41</f>
        <v>684285.12</v>
      </c>
      <c r="G4" s="79">
        <f>Eskom!G41</f>
        <v>0</v>
      </c>
      <c r="H4" s="79">
        <f>Eskom!H41</f>
        <v>0</v>
      </c>
      <c r="I4" s="79">
        <f>Eskom!I41</f>
        <v>0</v>
      </c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123"/>
      <c r="W4" s="123"/>
    </row>
    <row r="5" spans="1:23" s="123" customFormat="1" x14ac:dyDescent="0.2">
      <c r="A5" s="547"/>
      <c r="B5" s="238" t="s">
        <v>15</v>
      </c>
      <c r="C5" s="237">
        <f>Eskom!C42</f>
        <v>408277.44</v>
      </c>
      <c r="D5" s="237">
        <f>Eskom!D42</f>
        <v>0</v>
      </c>
      <c r="E5" s="237">
        <f>Eskom!E42</f>
        <v>500858.28</v>
      </c>
      <c r="F5" s="237">
        <f>Eskom!F42</f>
        <v>438594.84</v>
      </c>
      <c r="G5" s="237">
        <f>Eskom!G42</f>
        <v>0</v>
      </c>
      <c r="H5" s="237">
        <f>Eskom!H42</f>
        <v>0</v>
      </c>
      <c r="I5" s="237">
        <f>Eskom!I42</f>
        <v>0</v>
      </c>
      <c r="J5" s="248"/>
      <c r="K5" s="248"/>
      <c r="L5" s="248"/>
      <c r="M5" s="248"/>
      <c r="N5" s="248"/>
      <c r="O5" s="248"/>
      <c r="P5" s="248"/>
      <c r="Q5" s="248"/>
      <c r="R5" s="248"/>
      <c r="S5" s="248"/>
      <c r="T5" s="248"/>
      <c r="U5" s="248"/>
    </row>
    <row r="6" spans="1:23" s="240" customFormat="1" ht="12.75" customHeight="1" x14ac:dyDescent="0.2">
      <c r="A6" s="547"/>
      <c r="B6" s="239" t="s">
        <v>16</v>
      </c>
      <c r="C6" s="236">
        <f>Eskom!C43</f>
        <v>162726.12</v>
      </c>
      <c r="D6" s="236">
        <f>Eskom!D43</f>
        <v>0</v>
      </c>
      <c r="E6" s="236">
        <f>Eskom!E43</f>
        <v>202717.08</v>
      </c>
      <c r="F6" s="236">
        <f>Eskom!F43</f>
        <v>172180.08</v>
      </c>
      <c r="G6" s="236">
        <f>Eskom!G43</f>
        <v>0</v>
      </c>
      <c r="H6" s="236">
        <f>Eskom!H43</f>
        <v>0</v>
      </c>
      <c r="I6" s="236">
        <f>Eskom!I43</f>
        <v>0</v>
      </c>
      <c r="J6" s="261"/>
      <c r="K6" s="261"/>
      <c r="L6" s="261"/>
      <c r="M6" s="261"/>
      <c r="N6" s="261"/>
      <c r="O6" s="261"/>
      <c r="P6" s="261"/>
      <c r="Q6" s="261"/>
      <c r="R6" s="261"/>
      <c r="S6" s="261"/>
      <c r="T6" s="261"/>
      <c r="U6" s="261"/>
    </row>
    <row r="7" spans="1:23" s="111" customFormat="1" x14ac:dyDescent="0.2">
      <c r="A7" s="547"/>
      <c r="B7" s="109" t="s">
        <v>17</v>
      </c>
      <c r="C7" s="110">
        <f>Eskom!C44</f>
        <v>1177306.56</v>
      </c>
      <c r="D7" s="110">
        <f>Eskom!D44</f>
        <v>0</v>
      </c>
      <c r="E7" s="110">
        <f>Eskom!E44</f>
        <v>1337781.6000000001</v>
      </c>
      <c r="F7" s="110">
        <f>Eskom!F44</f>
        <v>1295060.04</v>
      </c>
      <c r="G7" s="110">
        <f>Eskom!G44</f>
        <v>0</v>
      </c>
      <c r="H7" s="110">
        <f>Eskom!H44</f>
        <v>0</v>
      </c>
      <c r="I7" s="110">
        <f>Eskom!I44</f>
        <v>0</v>
      </c>
      <c r="J7" s="262"/>
      <c r="K7" s="262"/>
      <c r="L7" s="262"/>
      <c r="M7" s="262"/>
      <c r="N7" s="262"/>
      <c r="O7" s="262"/>
      <c r="P7" s="262"/>
      <c r="Q7" s="262"/>
      <c r="R7" s="262"/>
      <c r="S7" s="262"/>
      <c r="T7" s="262"/>
      <c r="U7" s="262"/>
    </row>
    <row r="8" spans="1:23" s="82" customFormat="1" x14ac:dyDescent="0.2">
      <c r="A8" s="547"/>
      <c r="B8" s="80" t="s">
        <v>12</v>
      </c>
      <c r="C8" s="81">
        <f>Eskom!C45</f>
        <v>2281.11</v>
      </c>
      <c r="D8" s="81">
        <f>Eskom!D45</f>
        <v>0</v>
      </c>
      <c r="E8" s="81">
        <f>Eskom!E45</f>
        <v>2326.23</v>
      </c>
      <c r="F8" s="81">
        <f>Eskom!F45</f>
        <v>2326.52</v>
      </c>
      <c r="G8" s="81">
        <f>Eskom!G45</f>
        <v>0</v>
      </c>
      <c r="H8" s="81">
        <f>Eskom!H45</f>
        <v>0</v>
      </c>
      <c r="I8" s="81">
        <f>Eskom!I45</f>
        <v>0</v>
      </c>
      <c r="J8" s="263"/>
      <c r="K8" s="263"/>
      <c r="L8" s="263"/>
      <c r="M8" s="263"/>
      <c r="N8" s="263"/>
      <c r="O8" s="263"/>
      <c r="P8" s="263"/>
      <c r="Q8" s="263"/>
      <c r="R8" s="263"/>
      <c r="S8" s="263"/>
      <c r="T8" s="263"/>
      <c r="U8" s="263"/>
    </row>
    <row r="9" spans="1:23" s="242" customFormat="1" x14ac:dyDescent="0.2">
      <c r="A9" s="547"/>
      <c r="B9" s="241" t="s">
        <v>6</v>
      </c>
      <c r="C9" s="93">
        <f>Eskom!C46</f>
        <v>2336.35</v>
      </c>
      <c r="D9" s="93">
        <f>Eskom!D46</f>
        <v>0</v>
      </c>
      <c r="E9" s="93">
        <f>Eskom!E46</f>
        <v>2379.92</v>
      </c>
      <c r="F9" s="93">
        <f>Eskom!F46</f>
        <v>2359.12</v>
      </c>
      <c r="G9" s="93">
        <f>Eskom!G46</f>
        <v>0</v>
      </c>
      <c r="H9" s="93">
        <f>Eskom!H46</f>
        <v>0</v>
      </c>
      <c r="I9" s="93">
        <f>Eskom!I46</f>
        <v>0</v>
      </c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</row>
    <row r="10" spans="1:23" s="242" customFormat="1" x14ac:dyDescent="0.2">
      <c r="A10" s="547"/>
      <c r="B10" s="26" t="s">
        <v>13</v>
      </c>
      <c r="C10" s="93">
        <f>Eskom!C47</f>
        <v>2331.84</v>
      </c>
      <c r="D10" s="93">
        <f>Eskom!D47</f>
        <v>0</v>
      </c>
      <c r="E10" s="93">
        <f>Eskom!E47</f>
        <v>2366.3200000000002</v>
      </c>
      <c r="F10" s="93">
        <f>Eskom!F47</f>
        <v>2363.6799999999998</v>
      </c>
      <c r="G10" s="93">
        <f>Eskom!G47</f>
        <v>0</v>
      </c>
      <c r="H10" s="93">
        <f>Eskom!H47</f>
        <v>0</v>
      </c>
      <c r="I10" s="93">
        <f>Eskom!I47</f>
        <v>0</v>
      </c>
      <c r="J10" s="248"/>
      <c r="K10" s="248"/>
      <c r="L10" s="248"/>
      <c r="M10" s="248"/>
      <c r="N10" s="248"/>
      <c r="O10" s="248"/>
      <c r="P10" s="248"/>
      <c r="Q10" s="248"/>
      <c r="R10" s="248"/>
      <c r="S10" s="248"/>
      <c r="T10" s="248"/>
      <c r="U10" s="248"/>
    </row>
    <row r="11" spans="1:23" s="100" customFormat="1" ht="13.5" thickBot="1" x14ac:dyDescent="0.25">
      <c r="A11" s="547"/>
      <c r="B11" s="99" t="s">
        <v>18</v>
      </c>
      <c r="C11" s="101">
        <f>Eskom!C48</f>
        <v>2336.35</v>
      </c>
      <c r="D11" s="101">
        <f>Eskom!D48</f>
        <v>0</v>
      </c>
      <c r="E11" s="101">
        <f>Eskom!E48</f>
        <v>2379.92</v>
      </c>
      <c r="F11" s="101">
        <f>Eskom!F48</f>
        <v>2363.6799999999998</v>
      </c>
      <c r="G11" s="101">
        <f>Eskom!G48</f>
        <v>0</v>
      </c>
      <c r="H11" s="101">
        <f>Eskom!H48</f>
        <v>0</v>
      </c>
      <c r="I11" s="101">
        <f>Eskom!I48</f>
        <v>0</v>
      </c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</row>
    <row r="12" spans="1:23" s="28" customFormat="1" x14ac:dyDescent="0.2">
      <c r="A12" s="547"/>
      <c r="B12" s="244" t="s">
        <v>19</v>
      </c>
      <c r="C12" s="94">
        <f>Eskom!C49</f>
        <v>518400</v>
      </c>
      <c r="D12" s="94">
        <f>Eskom!D49</f>
        <v>0</v>
      </c>
      <c r="E12" s="94">
        <f>Eskom!E49</f>
        <v>471230.64</v>
      </c>
      <c r="F12" s="94">
        <f>Eskom!F49</f>
        <v>508679.28</v>
      </c>
      <c r="G12" s="94">
        <f>Eskom!G49</f>
        <v>0</v>
      </c>
      <c r="H12" s="94">
        <f>Eskom!H49</f>
        <v>0</v>
      </c>
      <c r="I12" s="94">
        <f>Eskom!I49</f>
        <v>0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</row>
    <row r="13" spans="1:23" s="29" customFormat="1" x14ac:dyDescent="0.2">
      <c r="A13" s="547"/>
      <c r="B13" s="243" t="s">
        <v>20</v>
      </c>
      <c r="C13" s="90">
        <f>Eskom!C50</f>
        <v>346643.64</v>
      </c>
      <c r="D13" s="90">
        <f>Eskom!D50</f>
        <v>0</v>
      </c>
      <c r="E13" s="90">
        <f>Eskom!E50</f>
        <v>360118.36</v>
      </c>
      <c r="F13" s="90">
        <f>Eskom!F50</f>
        <v>323278.56</v>
      </c>
      <c r="G13" s="90">
        <f>Eskom!G50</f>
        <v>0</v>
      </c>
      <c r="H13" s="90">
        <f>Eskom!H50</f>
        <v>0</v>
      </c>
      <c r="I13" s="90">
        <f>Eskom!I50</f>
        <v>0</v>
      </c>
      <c r="J13" s="248"/>
      <c r="K13" s="248"/>
      <c r="L13" s="248"/>
      <c r="M13" s="248"/>
      <c r="N13" s="248"/>
      <c r="O13" s="248"/>
      <c r="P13" s="248"/>
      <c r="Q13" s="248"/>
      <c r="R13" s="248"/>
      <c r="S13" s="248"/>
      <c r="T13" s="248"/>
      <c r="U13" s="248"/>
    </row>
    <row r="14" spans="1:23" s="29" customFormat="1" x14ac:dyDescent="0.2">
      <c r="A14" s="547"/>
      <c r="B14" s="84" t="s">
        <v>21</v>
      </c>
      <c r="C14" s="85">
        <f>Eskom!C51</f>
        <v>137977.56</v>
      </c>
      <c r="D14" s="85">
        <f>Eskom!D51</f>
        <v>0</v>
      </c>
      <c r="E14" s="85">
        <f>Eskom!E51</f>
        <v>148504.32000000001</v>
      </c>
      <c r="F14" s="85">
        <f>Eskom!F51</f>
        <v>126531</v>
      </c>
      <c r="G14" s="85">
        <f>Eskom!G51</f>
        <v>0</v>
      </c>
      <c r="H14" s="85">
        <f>Eskom!H51</f>
        <v>0</v>
      </c>
      <c r="I14" s="85">
        <f>Eskom!I51</f>
        <v>0</v>
      </c>
      <c r="J14" s="248"/>
      <c r="K14" s="248"/>
      <c r="L14" s="248"/>
      <c r="M14" s="248"/>
      <c r="N14" s="248"/>
      <c r="O14" s="248"/>
      <c r="P14" s="248"/>
      <c r="Q14" s="248"/>
      <c r="R14" s="248"/>
      <c r="S14" s="248"/>
      <c r="T14" s="248"/>
      <c r="U14" s="248"/>
    </row>
    <row r="15" spans="1:23" s="186" customFormat="1" ht="13.5" thickBot="1" x14ac:dyDescent="0.25">
      <c r="A15" s="547"/>
      <c r="B15" s="189" t="s">
        <v>28</v>
      </c>
      <c r="C15" s="184">
        <f>Eskom!C52</f>
        <v>0</v>
      </c>
      <c r="D15" s="184">
        <f>Eskom!D52</f>
        <v>0</v>
      </c>
      <c r="E15" s="184">
        <f>Eskom!E52</f>
        <v>0</v>
      </c>
      <c r="F15" s="184">
        <f>Eskom!F52</f>
        <v>0</v>
      </c>
      <c r="G15" s="184">
        <f>Eskom!G52</f>
        <v>0</v>
      </c>
      <c r="H15" s="184">
        <f>Eskom!H52</f>
        <v>0</v>
      </c>
      <c r="I15" s="184">
        <f>Eskom!I52</f>
        <v>0</v>
      </c>
      <c r="J15" s="265"/>
      <c r="K15" s="265"/>
      <c r="L15" s="265"/>
      <c r="M15" s="265"/>
      <c r="N15" s="265"/>
      <c r="O15" s="265"/>
      <c r="P15" s="265"/>
      <c r="Q15" s="265"/>
      <c r="R15" s="265"/>
      <c r="S15" s="265"/>
      <c r="T15" s="265"/>
      <c r="U15" s="265"/>
      <c r="V15" s="185"/>
      <c r="W15" s="185"/>
    </row>
    <row r="16" spans="1:23" x14ac:dyDescent="0.2">
      <c r="A16" s="547"/>
      <c r="B16" s="298" t="s">
        <v>107</v>
      </c>
      <c r="C16" s="301">
        <f t="shared" ref="C16:F17" si="0">C12-C4*TAN(ACOS(0.96))</f>
        <v>341561.62499999988</v>
      </c>
      <c r="D16" s="301">
        <f t="shared" si="0"/>
        <v>0</v>
      </c>
      <c r="E16" s="301">
        <f t="shared" si="0"/>
        <v>286253.81999999989</v>
      </c>
      <c r="F16" s="301">
        <f t="shared" si="0"/>
        <v>309096.11999999988</v>
      </c>
      <c r="G16" s="301">
        <f t="shared" ref="G16:I17" si="1">G12-G4*TAN(ACOS(0.96))</f>
        <v>0</v>
      </c>
      <c r="H16" s="301">
        <f t="shared" si="1"/>
        <v>0</v>
      </c>
      <c r="I16" s="301">
        <f t="shared" si="1"/>
        <v>0</v>
      </c>
      <c r="J16"/>
      <c r="K16"/>
      <c r="L16"/>
      <c r="M16"/>
      <c r="N16"/>
      <c r="O16"/>
      <c r="P16"/>
      <c r="Q16"/>
      <c r="R16"/>
      <c r="S16"/>
      <c r="T16"/>
      <c r="U16"/>
    </row>
    <row r="17" spans="1:21" ht="13.5" thickBot="1" x14ac:dyDescent="0.25">
      <c r="A17" s="547"/>
      <c r="B17" s="299" t="s">
        <v>108</v>
      </c>
      <c r="C17" s="302">
        <f t="shared" si="0"/>
        <v>227562.71999999994</v>
      </c>
      <c r="D17" s="302">
        <f t="shared" si="0"/>
        <v>0</v>
      </c>
      <c r="E17" s="302">
        <f t="shared" si="0"/>
        <v>214034.69499999989</v>
      </c>
      <c r="F17" s="302">
        <f t="shared" si="0"/>
        <v>195355.06499999992</v>
      </c>
      <c r="G17" s="302">
        <f t="shared" si="1"/>
        <v>0</v>
      </c>
      <c r="H17" s="302">
        <f t="shared" si="1"/>
        <v>0</v>
      </c>
      <c r="I17" s="302">
        <f t="shared" si="1"/>
        <v>0</v>
      </c>
      <c r="J17"/>
      <c r="K17"/>
      <c r="L17"/>
      <c r="M17"/>
      <c r="N17"/>
      <c r="O17"/>
      <c r="P17"/>
      <c r="Q17"/>
      <c r="R17"/>
      <c r="S17"/>
      <c r="T17"/>
      <c r="U17"/>
    </row>
    <row r="18" spans="1:21" ht="13.5" thickBot="1" x14ac:dyDescent="0.25">
      <c r="A18" s="547"/>
      <c r="B18" s="300" t="s">
        <v>102</v>
      </c>
      <c r="C18" s="304">
        <f t="shared" ref="C18:I18" si="2">SUM(C16:C17)</f>
        <v>569124.34499999986</v>
      </c>
      <c r="D18" s="304">
        <f t="shared" si="2"/>
        <v>0</v>
      </c>
      <c r="E18" s="304">
        <f t="shared" si="2"/>
        <v>500288.51499999978</v>
      </c>
      <c r="F18" s="304">
        <f t="shared" si="2"/>
        <v>504451.18499999982</v>
      </c>
      <c r="G18" s="304">
        <f t="shared" si="2"/>
        <v>0</v>
      </c>
      <c r="H18" s="304">
        <f t="shared" si="2"/>
        <v>0</v>
      </c>
      <c r="I18" s="304">
        <f t="shared" si="2"/>
        <v>0</v>
      </c>
      <c r="J18"/>
      <c r="K18"/>
      <c r="L18"/>
      <c r="M18"/>
      <c r="N18"/>
      <c r="O18"/>
      <c r="P18"/>
      <c r="Q18"/>
      <c r="R18"/>
      <c r="S18"/>
      <c r="T18"/>
      <c r="U18"/>
    </row>
    <row r="19" spans="1:21" ht="16.5" customHeight="1" thickBot="1" x14ac:dyDescent="0.25">
      <c r="A19" s="547"/>
      <c r="B19" s="253" t="s">
        <v>103</v>
      </c>
      <c r="C19" s="252">
        <f t="shared" ref="C19:I19" si="3">IF(C15&gt;0,C15,C18)</f>
        <v>569124.34499999986</v>
      </c>
      <c r="D19" s="252">
        <f t="shared" si="3"/>
        <v>0</v>
      </c>
      <c r="E19" s="252">
        <f t="shared" si="3"/>
        <v>500288.51499999978</v>
      </c>
      <c r="F19" s="252">
        <f t="shared" si="3"/>
        <v>504451.18499999982</v>
      </c>
      <c r="G19" s="252">
        <f t="shared" si="3"/>
        <v>0</v>
      </c>
      <c r="H19" s="252">
        <f t="shared" si="3"/>
        <v>0</v>
      </c>
      <c r="I19" s="252">
        <f t="shared" si="3"/>
        <v>0</v>
      </c>
      <c r="J19"/>
      <c r="K19"/>
      <c r="L19"/>
      <c r="M19"/>
      <c r="N19"/>
      <c r="O19"/>
      <c r="P19"/>
      <c r="Q19"/>
      <c r="R19"/>
      <c r="S19"/>
      <c r="T19"/>
      <c r="U19"/>
    </row>
    <row r="20" spans="1:21" s="8" customFormat="1" hidden="1" x14ac:dyDescent="0.2">
      <c r="A20" s="547"/>
      <c r="B20" s="141" t="s">
        <v>22</v>
      </c>
      <c r="C20" s="83"/>
      <c r="D20" s="83"/>
      <c r="E20" s="83">
        <v>92</v>
      </c>
      <c r="F20" s="83">
        <v>93</v>
      </c>
      <c r="G20" s="83">
        <v>90</v>
      </c>
      <c r="H20" s="83">
        <v>89</v>
      </c>
      <c r="I20" s="83">
        <v>89</v>
      </c>
      <c r="J20" s="266"/>
      <c r="K20" s="266"/>
      <c r="L20" s="266"/>
      <c r="M20" s="266"/>
      <c r="N20" s="266"/>
      <c r="O20" s="266"/>
      <c r="P20" s="266"/>
      <c r="Q20" s="266"/>
      <c r="R20" s="266"/>
      <c r="S20" s="266"/>
      <c r="T20" s="266"/>
      <c r="U20" s="266"/>
    </row>
    <row r="21" spans="1:21" s="5" customFormat="1" hidden="1" x14ac:dyDescent="0.2">
      <c r="A21" s="547"/>
      <c r="B21" s="142" t="s">
        <v>73</v>
      </c>
      <c r="C21" s="30"/>
      <c r="D21" s="30"/>
      <c r="E21" s="171">
        <v>31</v>
      </c>
      <c r="F21" s="171">
        <v>30</v>
      </c>
      <c r="G21" s="171">
        <v>31</v>
      </c>
      <c r="H21" s="171">
        <v>31</v>
      </c>
      <c r="I21" s="171">
        <v>31</v>
      </c>
      <c r="J21" s="267"/>
      <c r="K21" s="267"/>
      <c r="L21" s="267"/>
      <c r="M21" s="267"/>
      <c r="N21" s="267"/>
      <c r="O21" s="267"/>
      <c r="P21" s="267"/>
      <c r="Q21" s="267"/>
      <c r="R21" s="267"/>
      <c r="S21" s="267"/>
      <c r="T21" s="267"/>
      <c r="U21" s="267"/>
    </row>
    <row r="22" spans="1:21" s="170" customFormat="1" ht="4.5" hidden="1" customHeight="1" x14ac:dyDescent="0.2">
      <c r="A22" s="547"/>
      <c r="B22" s="168"/>
      <c r="C22" s="169"/>
      <c r="D22" s="169"/>
      <c r="E22" s="169"/>
      <c r="F22" s="169"/>
      <c r="G22" s="169"/>
      <c r="J22" s="267"/>
      <c r="K22" s="267"/>
      <c r="L22" s="267"/>
      <c r="M22" s="267"/>
      <c r="N22" s="267"/>
      <c r="O22" s="267"/>
      <c r="P22" s="267"/>
      <c r="Q22" s="267"/>
      <c r="R22" s="267"/>
      <c r="S22" s="267"/>
      <c r="T22" s="267"/>
      <c r="U22" s="267"/>
    </row>
    <row r="23" spans="1:21" s="174" customFormat="1" hidden="1" x14ac:dyDescent="0.2">
      <c r="A23" s="547"/>
      <c r="B23" s="172" t="s">
        <v>74</v>
      </c>
      <c r="C23" s="173">
        <v>52.33</v>
      </c>
      <c r="D23" s="173">
        <v>52.33</v>
      </c>
      <c r="E23" s="173">
        <v>52.33</v>
      </c>
      <c r="F23" s="173">
        <v>52.33</v>
      </c>
      <c r="G23" s="173">
        <v>52.33</v>
      </c>
      <c r="H23" s="173">
        <v>52.33</v>
      </c>
      <c r="I23" s="173">
        <v>52.33</v>
      </c>
      <c r="J23" s="268">
        <f>J167</f>
        <v>6.72</v>
      </c>
      <c r="K23" s="268">
        <f>K167</f>
        <v>6.72</v>
      </c>
      <c r="L23" s="269"/>
      <c r="M23" s="269"/>
      <c r="N23" s="269"/>
      <c r="O23" s="269"/>
      <c r="P23" s="269"/>
      <c r="Q23" s="269"/>
      <c r="R23" s="269"/>
      <c r="S23" s="269"/>
      <c r="T23" s="269"/>
      <c r="U23" s="269"/>
    </row>
    <row r="24" spans="1:21" s="182" customFormat="1" hidden="1" x14ac:dyDescent="0.2">
      <c r="A24" s="547"/>
      <c r="B24" s="181" t="s">
        <v>75</v>
      </c>
      <c r="C24" s="4">
        <v>1313.47</v>
      </c>
      <c r="D24" s="4">
        <v>1186</v>
      </c>
      <c r="E24" s="4">
        <f t="shared" ref="E24:K24" si="4">E21*E23</f>
        <v>1622.23</v>
      </c>
      <c r="F24" s="4">
        <f t="shared" si="4"/>
        <v>1569.8999999999999</v>
      </c>
      <c r="G24" s="4">
        <f t="shared" si="4"/>
        <v>1622.23</v>
      </c>
      <c r="H24" s="4">
        <f t="shared" si="4"/>
        <v>1622.23</v>
      </c>
      <c r="I24" s="4">
        <f t="shared" si="4"/>
        <v>1622.23</v>
      </c>
      <c r="J24" s="270">
        <f t="shared" si="4"/>
        <v>0</v>
      </c>
      <c r="K24" s="270">
        <f t="shared" si="4"/>
        <v>0</v>
      </c>
      <c r="L24" s="115"/>
      <c r="M24" s="115"/>
      <c r="N24" s="115"/>
      <c r="O24" s="115"/>
      <c r="P24" s="115"/>
      <c r="Q24" s="115"/>
      <c r="R24" s="115"/>
      <c r="S24" s="115"/>
      <c r="T24" s="115"/>
      <c r="U24" s="115"/>
    </row>
    <row r="25" spans="1:21" s="31" customFormat="1" hidden="1" x14ac:dyDescent="0.2">
      <c r="A25" s="547"/>
      <c r="B25" s="120" t="s">
        <v>24</v>
      </c>
      <c r="C25" s="179">
        <v>3.35</v>
      </c>
      <c r="D25" s="179">
        <v>3.35</v>
      </c>
      <c r="E25" s="179">
        <v>3.35</v>
      </c>
      <c r="F25" s="179">
        <v>3.35</v>
      </c>
      <c r="G25" s="179">
        <v>3.35</v>
      </c>
      <c r="H25" s="179">
        <v>3.35</v>
      </c>
      <c r="I25" s="179">
        <v>3.35</v>
      </c>
      <c r="J25" s="179">
        <f>J169</f>
        <v>12.73</v>
      </c>
      <c r="K25" s="179">
        <f>K169</f>
        <v>12.73</v>
      </c>
    </row>
    <row r="26" spans="1:21" s="177" customFormat="1" hidden="1" x14ac:dyDescent="0.2">
      <c r="A26" s="547"/>
      <c r="B26" s="175" t="s">
        <v>25</v>
      </c>
      <c r="C26" s="176">
        <v>67750</v>
      </c>
      <c r="D26" s="176">
        <f t="shared" ref="D26:K26" si="5">D25*D3</f>
        <v>15075</v>
      </c>
      <c r="E26" s="176">
        <f t="shared" si="5"/>
        <v>15075</v>
      </c>
      <c r="F26" s="176">
        <f t="shared" si="5"/>
        <v>15075</v>
      </c>
      <c r="G26" s="176">
        <f t="shared" si="5"/>
        <v>0</v>
      </c>
      <c r="H26" s="176">
        <f t="shared" si="5"/>
        <v>0</v>
      </c>
      <c r="I26" s="176">
        <f t="shared" si="5"/>
        <v>0</v>
      </c>
      <c r="J26" s="271">
        <f t="shared" si="5"/>
        <v>0</v>
      </c>
      <c r="K26" s="271">
        <f t="shared" si="5"/>
        <v>0</v>
      </c>
      <c r="L26" s="272"/>
      <c r="M26" s="272"/>
      <c r="N26" s="272"/>
      <c r="O26" s="272"/>
      <c r="P26" s="272"/>
      <c r="Q26" s="272"/>
      <c r="R26" s="272"/>
      <c r="S26" s="272"/>
      <c r="T26" s="272"/>
      <c r="U26" s="272"/>
    </row>
    <row r="27" spans="1:21" s="31" customFormat="1" hidden="1" x14ac:dyDescent="0.2">
      <c r="A27" s="547"/>
      <c r="B27" s="23" t="s">
        <v>7</v>
      </c>
      <c r="C27" s="3">
        <v>6.72</v>
      </c>
      <c r="D27" s="3">
        <v>6.72</v>
      </c>
      <c r="E27" s="3">
        <v>6.72</v>
      </c>
      <c r="F27" s="3">
        <v>6.72</v>
      </c>
      <c r="G27" s="3">
        <v>6.72</v>
      </c>
      <c r="H27" s="3">
        <v>6.72</v>
      </c>
      <c r="I27" s="3">
        <v>6.72</v>
      </c>
      <c r="J27" s="3">
        <f>J171</f>
        <v>0</v>
      </c>
      <c r="K27" s="3">
        <f>K171</f>
        <v>0</v>
      </c>
    </row>
    <row r="28" spans="1:21" s="177" customFormat="1" hidden="1" x14ac:dyDescent="0.2">
      <c r="A28" s="547"/>
      <c r="B28" s="175" t="s">
        <v>10</v>
      </c>
      <c r="C28" s="176">
        <v>136000</v>
      </c>
      <c r="D28" s="176">
        <f t="shared" ref="D28:K28" si="6">D27*D3</f>
        <v>30240</v>
      </c>
      <c r="E28" s="176">
        <f t="shared" si="6"/>
        <v>30240</v>
      </c>
      <c r="F28" s="176">
        <f t="shared" si="6"/>
        <v>30240</v>
      </c>
      <c r="G28" s="176">
        <f t="shared" si="6"/>
        <v>0</v>
      </c>
      <c r="H28" s="176">
        <f t="shared" si="6"/>
        <v>0</v>
      </c>
      <c r="I28" s="176">
        <f t="shared" si="6"/>
        <v>0</v>
      </c>
      <c r="J28" s="271">
        <f t="shared" si="6"/>
        <v>0</v>
      </c>
      <c r="K28" s="271">
        <f t="shared" si="6"/>
        <v>0</v>
      </c>
      <c r="L28" s="272"/>
      <c r="M28" s="272"/>
      <c r="N28" s="272"/>
      <c r="O28" s="272"/>
      <c r="P28" s="272"/>
      <c r="Q28" s="272"/>
      <c r="R28" s="272"/>
      <c r="S28" s="272"/>
      <c r="T28" s="272"/>
      <c r="U28" s="272"/>
    </row>
    <row r="29" spans="1:21" s="31" customFormat="1" hidden="1" x14ac:dyDescent="0.2">
      <c r="A29" s="547"/>
      <c r="B29" s="23" t="s">
        <v>8</v>
      </c>
      <c r="C29" s="3">
        <v>12.73</v>
      </c>
      <c r="D29" s="3">
        <v>12.73</v>
      </c>
      <c r="E29" s="3">
        <v>12.73</v>
      </c>
      <c r="F29" s="3">
        <v>12.73</v>
      </c>
      <c r="G29" s="3">
        <v>12.73</v>
      </c>
      <c r="H29" s="3">
        <v>12.73</v>
      </c>
      <c r="I29" s="3">
        <v>12.73</v>
      </c>
      <c r="J29" s="3">
        <f>J173</f>
        <v>0.19769999999999999</v>
      </c>
      <c r="K29" s="3">
        <f>K173</f>
        <v>0</v>
      </c>
    </row>
    <row r="30" spans="1:21" s="208" customFormat="1" ht="13.5" hidden="1" thickBot="1" x14ac:dyDescent="0.25">
      <c r="A30" s="547"/>
      <c r="B30" s="206" t="s">
        <v>2</v>
      </c>
      <c r="C30" s="257">
        <f t="shared" ref="C30:K30" si="7">C29*MAX(C9:C10)</f>
        <v>29741.735499999999</v>
      </c>
      <c r="D30" s="257">
        <f t="shared" si="7"/>
        <v>0</v>
      </c>
      <c r="E30" s="257">
        <f t="shared" si="7"/>
        <v>30296.381600000001</v>
      </c>
      <c r="F30" s="257">
        <f t="shared" si="7"/>
        <v>30089.646399999998</v>
      </c>
      <c r="G30" s="257">
        <f t="shared" si="7"/>
        <v>0</v>
      </c>
      <c r="H30" s="257">
        <f t="shared" si="7"/>
        <v>0</v>
      </c>
      <c r="I30" s="257">
        <f t="shared" si="7"/>
        <v>0</v>
      </c>
      <c r="J30" s="273">
        <f t="shared" si="7"/>
        <v>0</v>
      </c>
      <c r="K30" s="273">
        <f t="shared" si="7"/>
        <v>0</v>
      </c>
      <c r="L30" s="274"/>
      <c r="M30" s="274"/>
      <c r="N30" s="274"/>
      <c r="O30" s="274"/>
      <c r="P30" s="274"/>
      <c r="Q30" s="274"/>
      <c r="R30" s="274"/>
      <c r="S30" s="274"/>
      <c r="T30" s="274"/>
      <c r="U30" s="274"/>
    </row>
    <row r="31" spans="1:21" s="31" customFormat="1" hidden="1" x14ac:dyDescent="0.2">
      <c r="A31" s="547"/>
      <c r="B31" s="120" t="s">
        <v>29</v>
      </c>
      <c r="C31" s="112"/>
      <c r="D31" s="112"/>
      <c r="E31" s="112"/>
      <c r="F31" s="112"/>
      <c r="G31" s="112"/>
      <c r="H31" s="65"/>
      <c r="I31" s="65"/>
      <c r="J31" s="65"/>
      <c r="K31" s="112">
        <f>K175</f>
        <v>0</v>
      </c>
    </row>
    <row r="32" spans="1:21" s="34" customFormat="1" hidden="1" x14ac:dyDescent="0.2">
      <c r="A32" s="547"/>
      <c r="B32" s="25" t="s">
        <v>60</v>
      </c>
      <c r="C32" s="14">
        <f>C31*C4</f>
        <v>0</v>
      </c>
      <c r="D32" s="14">
        <f>D31*D4</f>
        <v>0</v>
      </c>
      <c r="E32" s="14">
        <f>E31*E4</f>
        <v>0</v>
      </c>
      <c r="F32" s="14">
        <f>F31*F4</f>
        <v>0</v>
      </c>
      <c r="G32" s="14">
        <f>G31*G4</f>
        <v>0</v>
      </c>
      <c r="H32" s="116"/>
      <c r="I32" s="116"/>
      <c r="J32" s="116"/>
      <c r="K32" s="270">
        <f>K31*K4</f>
        <v>0</v>
      </c>
      <c r="L32" s="31"/>
      <c r="M32" s="31"/>
      <c r="N32" s="31"/>
      <c r="O32" s="31"/>
      <c r="P32" s="31"/>
      <c r="Q32" s="31"/>
      <c r="R32" s="31"/>
      <c r="S32" s="31"/>
      <c r="T32" s="31"/>
      <c r="U32" s="31"/>
    </row>
    <row r="33" spans="1:23" s="31" customFormat="1" hidden="1" x14ac:dyDescent="0.2">
      <c r="A33" s="547"/>
      <c r="B33" s="23" t="s">
        <v>30</v>
      </c>
      <c r="C33" s="112">
        <v>0.19769999999999999</v>
      </c>
      <c r="D33" s="112">
        <v>0.19769999999999999</v>
      </c>
      <c r="E33" s="112">
        <v>0.19769999999999999</v>
      </c>
      <c r="F33" s="112">
        <v>0.19769999999999999</v>
      </c>
      <c r="G33" s="112">
        <v>0.19769999999999999</v>
      </c>
      <c r="H33" s="112">
        <v>0.19769999999999999</v>
      </c>
      <c r="I33" s="112">
        <v>0.19769999999999999</v>
      </c>
      <c r="J33" s="112">
        <v>0.19769999999999999</v>
      </c>
      <c r="K33" s="114"/>
    </row>
    <row r="34" spans="1:23" s="35" customFormat="1" hidden="1" x14ac:dyDescent="0.2">
      <c r="A34" s="547"/>
      <c r="B34" s="24" t="s">
        <v>61</v>
      </c>
      <c r="C34" s="33">
        <f t="shared" ref="C34:J34" si="8">C33*C4</f>
        <v>119866.10309999999</v>
      </c>
      <c r="D34" s="33">
        <f t="shared" si="8"/>
        <v>0</v>
      </c>
      <c r="E34" s="33">
        <f t="shared" si="8"/>
        <v>125382.57364799999</v>
      </c>
      <c r="F34" s="33">
        <f t="shared" si="8"/>
        <v>135283.16822399999</v>
      </c>
      <c r="G34" s="33">
        <f t="shared" si="8"/>
        <v>0</v>
      </c>
      <c r="H34" s="33">
        <f t="shared" si="8"/>
        <v>0</v>
      </c>
      <c r="I34" s="33">
        <f t="shared" si="8"/>
        <v>0</v>
      </c>
      <c r="J34" s="275">
        <f t="shared" si="8"/>
        <v>0</v>
      </c>
      <c r="K34" s="115"/>
      <c r="L34" s="31"/>
      <c r="M34" s="31"/>
      <c r="N34" s="31"/>
      <c r="O34" s="31"/>
      <c r="P34" s="31"/>
      <c r="Q34" s="31"/>
      <c r="R34" s="31"/>
      <c r="S34" s="31"/>
      <c r="T34" s="31"/>
      <c r="U34" s="31"/>
    </row>
    <row r="35" spans="1:23" s="31" customFormat="1" hidden="1" x14ac:dyDescent="0.2">
      <c r="A35" s="547"/>
      <c r="B35" s="23" t="s">
        <v>31</v>
      </c>
      <c r="C35" s="112"/>
      <c r="D35" s="112"/>
      <c r="E35" s="112"/>
      <c r="F35" s="112"/>
      <c r="G35" s="112"/>
      <c r="H35" s="117"/>
      <c r="I35" s="117"/>
      <c r="J35" s="117"/>
      <c r="K35" s="112">
        <f>K179</f>
        <v>0</v>
      </c>
    </row>
    <row r="36" spans="1:23" s="34" customFormat="1" hidden="1" x14ac:dyDescent="0.2">
      <c r="A36" s="547"/>
      <c r="B36" s="25" t="s">
        <v>62</v>
      </c>
      <c r="C36" s="14">
        <f>C35*C6</f>
        <v>0</v>
      </c>
      <c r="D36" s="14">
        <f>D35*D6</f>
        <v>0</v>
      </c>
      <c r="E36" s="14">
        <f>E35*E6</f>
        <v>0</v>
      </c>
      <c r="F36" s="14">
        <f>F35*F6</f>
        <v>0</v>
      </c>
      <c r="G36" s="14">
        <f>G35*G6</f>
        <v>0</v>
      </c>
      <c r="H36" s="116"/>
      <c r="I36" s="116"/>
      <c r="J36" s="116"/>
      <c r="K36" s="270">
        <f>K35*K6</f>
        <v>0</v>
      </c>
      <c r="L36" s="31"/>
      <c r="M36" s="31"/>
      <c r="N36" s="31"/>
      <c r="O36" s="31"/>
      <c r="P36" s="31"/>
      <c r="Q36" s="31"/>
      <c r="R36" s="31"/>
      <c r="S36" s="31"/>
      <c r="T36" s="31"/>
      <c r="U36" s="31"/>
    </row>
    <row r="37" spans="1:23" s="31" customFormat="1" hidden="1" x14ac:dyDescent="0.2">
      <c r="A37" s="547"/>
      <c r="B37" s="23" t="s">
        <v>32</v>
      </c>
      <c r="C37" s="1">
        <v>1.4238</v>
      </c>
      <c r="D37" s="1">
        <v>1.4238</v>
      </c>
      <c r="E37" s="1">
        <v>1.4238</v>
      </c>
      <c r="F37" s="1">
        <v>1.4238</v>
      </c>
      <c r="G37" s="1">
        <v>1.4238</v>
      </c>
      <c r="H37" s="1">
        <v>1.4238</v>
      </c>
      <c r="I37" s="1">
        <v>1.4238</v>
      </c>
      <c r="J37" s="1">
        <v>1.4238</v>
      </c>
      <c r="K37" s="114"/>
    </row>
    <row r="38" spans="1:23" s="35" customFormat="1" hidden="1" x14ac:dyDescent="0.2">
      <c r="A38" s="547"/>
      <c r="B38" s="24" t="s">
        <v>63</v>
      </c>
      <c r="C38" s="113">
        <f t="shared" ref="C38:J38" si="9">C37*C6</f>
        <v>231689.44965599998</v>
      </c>
      <c r="D38" s="113">
        <f t="shared" si="9"/>
        <v>0</v>
      </c>
      <c r="E38" s="113">
        <f t="shared" si="9"/>
        <v>288628.57850399998</v>
      </c>
      <c r="F38" s="113">
        <f t="shared" si="9"/>
        <v>245149.99790399996</v>
      </c>
      <c r="G38" s="113">
        <f t="shared" si="9"/>
        <v>0</v>
      </c>
      <c r="H38" s="113">
        <f t="shared" si="9"/>
        <v>0</v>
      </c>
      <c r="I38" s="113">
        <f t="shared" si="9"/>
        <v>0</v>
      </c>
      <c r="J38" s="276">
        <f t="shared" si="9"/>
        <v>0</v>
      </c>
      <c r="K38" s="115"/>
      <c r="L38" s="31"/>
      <c r="M38" s="31"/>
      <c r="N38" s="31"/>
      <c r="O38" s="31"/>
      <c r="P38" s="31"/>
      <c r="Q38" s="31"/>
      <c r="R38" s="31"/>
      <c r="S38" s="31"/>
      <c r="T38" s="31"/>
      <c r="U38" s="31"/>
    </row>
    <row r="39" spans="1:23" s="31" customFormat="1" hidden="1" x14ac:dyDescent="0.2">
      <c r="A39" s="547"/>
      <c r="B39" s="23" t="s">
        <v>79</v>
      </c>
      <c r="C39" s="112"/>
      <c r="D39" s="1"/>
      <c r="E39" s="1"/>
      <c r="F39" s="1"/>
      <c r="G39" s="1"/>
      <c r="H39" s="117"/>
      <c r="I39" s="117"/>
      <c r="J39" s="117"/>
      <c r="K39" s="1">
        <f>K183</f>
        <v>0</v>
      </c>
    </row>
    <row r="40" spans="1:23" s="34" customFormat="1" hidden="1" x14ac:dyDescent="0.2">
      <c r="A40" s="547"/>
      <c r="B40" s="25" t="s">
        <v>64</v>
      </c>
      <c r="C40" s="14">
        <f>C39*C5</f>
        <v>0</v>
      </c>
      <c r="D40" s="14">
        <f>D39*D5</f>
        <v>0</v>
      </c>
      <c r="E40" s="14">
        <f>E39*E5</f>
        <v>0</v>
      </c>
      <c r="F40" s="14">
        <f>F39*F5</f>
        <v>0</v>
      </c>
      <c r="G40" s="14">
        <f>G39*G5</f>
        <v>0</v>
      </c>
      <c r="H40" s="118"/>
      <c r="I40" s="118"/>
      <c r="J40" s="118"/>
      <c r="K40" s="270">
        <f>K39*K5</f>
        <v>0</v>
      </c>
      <c r="L40" s="31"/>
      <c r="M40" s="31"/>
      <c r="N40" s="31"/>
      <c r="O40" s="31"/>
      <c r="P40" s="31"/>
      <c r="Q40" s="31"/>
      <c r="R40" s="31"/>
      <c r="S40" s="31"/>
      <c r="T40" s="31"/>
      <c r="U40" s="31"/>
    </row>
    <row r="41" spans="1:23" s="31" customFormat="1" hidden="1" x14ac:dyDescent="0.2">
      <c r="A41" s="547"/>
      <c r="B41" s="53" t="s">
        <v>33</v>
      </c>
      <c r="C41" s="1">
        <v>0.37009999999999998</v>
      </c>
      <c r="D41" s="1">
        <v>0.37009999999999998</v>
      </c>
      <c r="E41" s="1">
        <v>0.37009999999999998</v>
      </c>
      <c r="F41" s="1">
        <v>0.37009999999999998</v>
      </c>
      <c r="G41" s="1">
        <v>0.37009999999999998</v>
      </c>
      <c r="H41" s="1">
        <v>0.37009999999999998</v>
      </c>
      <c r="I41" s="1">
        <v>0.37009999999999998</v>
      </c>
      <c r="J41" s="1">
        <v>0.37009999999999998</v>
      </c>
      <c r="K41" s="114"/>
    </row>
    <row r="42" spans="1:23" s="55" customFormat="1" ht="13.5" hidden="1" thickBot="1" x14ac:dyDescent="0.25">
      <c r="A42" s="547"/>
      <c r="B42" s="56" t="s">
        <v>65</v>
      </c>
      <c r="C42" s="247">
        <f t="shared" ref="C42:J42" si="10">C41*C5</f>
        <v>151103.48054399999</v>
      </c>
      <c r="D42" s="247">
        <f t="shared" si="10"/>
        <v>0</v>
      </c>
      <c r="E42" s="247">
        <f t="shared" si="10"/>
        <v>185367.649428</v>
      </c>
      <c r="F42" s="247">
        <f t="shared" si="10"/>
        <v>162323.95028399999</v>
      </c>
      <c r="G42" s="247">
        <f t="shared" si="10"/>
        <v>0</v>
      </c>
      <c r="H42" s="247">
        <f t="shared" si="10"/>
        <v>0</v>
      </c>
      <c r="I42" s="247">
        <f t="shared" si="10"/>
        <v>0</v>
      </c>
      <c r="J42" s="277">
        <f t="shared" si="10"/>
        <v>0</v>
      </c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1"/>
      <c r="W42" s="121"/>
    </row>
    <row r="43" spans="1:23" s="123" customFormat="1" hidden="1" x14ac:dyDescent="0.2">
      <c r="A43" s="547"/>
      <c r="B43" s="255" t="s">
        <v>104</v>
      </c>
      <c r="C43" s="85">
        <f t="shared" ref="C43:H43" si="11">C19</f>
        <v>569124.34499999986</v>
      </c>
      <c r="D43" s="85">
        <f t="shared" si="11"/>
        <v>0</v>
      </c>
      <c r="E43" s="85">
        <f t="shared" si="11"/>
        <v>500288.51499999978</v>
      </c>
      <c r="F43" s="85">
        <f t="shared" si="11"/>
        <v>504451.18499999982</v>
      </c>
      <c r="G43" s="85">
        <f t="shared" si="11"/>
        <v>0</v>
      </c>
      <c r="H43" s="85">
        <f t="shared" si="11"/>
        <v>0</v>
      </c>
      <c r="I43" s="85">
        <f>I19</f>
        <v>0</v>
      </c>
      <c r="J43" s="256"/>
      <c r="K43" s="248"/>
      <c r="L43" s="248"/>
      <c r="M43" s="248"/>
      <c r="N43" s="248"/>
      <c r="O43" s="248"/>
      <c r="P43" s="248"/>
      <c r="Q43" s="248"/>
      <c r="R43" s="248"/>
      <c r="S43" s="248"/>
      <c r="T43" s="248"/>
      <c r="U43" s="248"/>
    </row>
    <row r="44" spans="1:23" s="1" customFormat="1" hidden="1" x14ac:dyDescent="0.2">
      <c r="A44" s="547"/>
      <c r="B44" s="254" t="s">
        <v>105</v>
      </c>
      <c r="C44" s="119">
        <v>5.8900000000000001E-2</v>
      </c>
      <c r="D44" s="119">
        <v>5.8900000000000001E-2</v>
      </c>
      <c r="E44" s="119">
        <v>5.8900000000000001E-2</v>
      </c>
      <c r="F44" s="119">
        <v>5.8900000000000001E-2</v>
      </c>
      <c r="G44" s="119">
        <v>5.8900000000000001E-2</v>
      </c>
      <c r="H44" s="119">
        <v>5.8900000000000001E-2</v>
      </c>
      <c r="I44" s="119">
        <v>5.8900000000000001E-2</v>
      </c>
      <c r="J44" s="119">
        <v>5.8900000000000001E-2</v>
      </c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</row>
    <row r="45" spans="1:23" s="55" customFormat="1" ht="13.5" hidden="1" thickBot="1" x14ac:dyDescent="0.25">
      <c r="A45" s="547"/>
      <c r="B45" s="246" t="s">
        <v>106</v>
      </c>
      <c r="C45" s="54">
        <f t="shared" ref="C45:I45" si="12">C44*C43</f>
        <v>33521.42392049999</v>
      </c>
      <c r="D45" s="54">
        <f t="shared" si="12"/>
        <v>0</v>
      </c>
      <c r="E45" s="54">
        <f t="shared" si="12"/>
        <v>29466.993533499986</v>
      </c>
      <c r="F45" s="54">
        <f t="shared" si="12"/>
        <v>29712.174796499989</v>
      </c>
      <c r="G45" s="54">
        <f t="shared" si="12"/>
        <v>0</v>
      </c>
      <c r="H45" s="54">
        <f t="shared" si="12"/>
        <v>0</v>
      </c>
      <c r="I45" s="54">
        <f t="shared" si="12"/>
        <v>0</v>
      </c>
      <c r="J45" s="278">
        <f>J44*J15</f>
        <v>0</v>
      </c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1"/>
      <c r="W45" s="121"/>
    </row>
    <row r="46" spans="1:23" s="43" customFormat="1" hidden="1" x14ac:dyDescent="0.2">
      <c r="A46" s="547"/>
      <c r="B46" s="52" t="s">
        <v>3</v>
      </c>
      <c r="C46" s="91"/>
      <c r="D46" s="91"/>
      <c r="E46" s="91"/>
      <c r="F46" s="91"/>
      <c r="G46" s="91"/>
      <c r="H46" s="91"/>
      <c r="I46" s="91"/>
      <c r="J46" s="180"/>
      <c r="K46" s="180"/>
      <c r="L46" s="31"/>
      <c r="M46" s="31"/>
      <c r="N46" s="31"/>
      <c r="O46" s="31"/>
      <c r="P46" s="31"/>
      <c r="Q46" s="31"/>
      <c r="R46" s="31"/>
      <c r="S46" s="31"/>
      <c r="T46" s="31"/>
      <c r="U46" s="31"/>
    </row>
    <row r="47" spans="1:23" s="43" customFormat="1" hidden="1" x14ac:dyDescent="0.2">
      <c r="A47" s="547"/>
      <c r="B47" s="22" t="s">
        <v>23</v>
      </c>
      <c r="C47" s="91"/>
      <c r="D47" s="91"/>
      <c r="E47" s="91"/>
      <c r="F47" s="91"/>
      <c r="G47" s="91"/>
      <c r="H47" s="91"/>
      <c r="I47" s="91"/>
      <c r="J47" s="180"/>
      <c r="K47" s="180"/>
      <c r="L47" s="31"/>
      <c r="M47" s="31"/>
      <c r="N47" s="31"/>
      <c r="O47" s="31"/>
      <c r="P47" s="31"/>
      <c r="Q47" s="31"/>
      <c r="R47" s="31"/>
      <c r="S47" s="31"/>
      <c r="T47" s="31"/>
      <c r="U47" s="31"/>
    </row>
    <row r="48" spans="1:23" s="31" customFormat="1" ht="12" hidden="1" customHeight="1" x14ac:dyDescent="0.2">
      <c r="A48" s="547"/>
      <c r="B48" s="23" t="s">
        <v>9</v>
      </c>
      <c r="C48" s="1">
        <v>2.5000000000000001E-2</v>
      </c>
      <c r="D48" s="1">
        <v>2.5000000000000001E-2</v>
      </c>
      <c r="E48" s="1">
        <v>2.5000000000000001E-2</v>
      </c>
      <c r="F48" s="1">
        <v>3.09E-2</v>
      </c>
      <c r="G48" s="1">
        <v>3.09E-2</v>
      </c>
      <c r="H48" s="1">
        <v>3.09E-2</v>
      </c>
      <c r="I48" s="1">
        <v>3.09E-2</v>
      </c>
      <c r="J48" s="1">
        <v>3.09E-2</v>
      </c>
      <c r="K48" s="1">
        <f>K192</f>
        <v>0</v>
      </c>
    </row>
    <row r="49" spans="1:21" s="43" customFormat="1" hidden="1" x14ac:dyDescent="0.2">
      <c r="A49" s="547"/>
      <c r="B49" s="22" t="s">
        <v>11</v>
      </c>
      <c r="C49" s="4">
        <v>155974.23000000001</v>
      </c>
      <c r="D49" s="4">
        <f t="shared" ref="D49:K49" si="13">D48*D7</f>
        <v>0</v>
      </c>
      <c r="E49" s="4">
        <f t="shared" si="13"/>
        <v>33444.54</v>
      </c>
      <c r="F49" s="4">
        <f t="shared" si="13"/>
        <v>40017.355236000003</v>
      </c>
      <c r="G49" s="4">
        <f t="shared" si="13"/>
        <v>0</v>
      </c>
      <c r="H49" s="4">
        <f t="shared" si="13"/>
        <v>0</v>
      </c>
      <c r="I49" s="258">
        <f t="shared" si="13"/>
        <v>0</v>
      </c>
      <c r="J49" s="270">
        <f t="shared" si="13"/>
        <v>0</v>
      </c>
      <c r="K49" s="270">
        <f t="shared" si="13"/>
        <v>0</v>
      </c>
      <c r="L49" s="31"/>
      <c r="M49" s="31"/>
      <c r="N49" s="31"/>
      <c r="O49" s="31"/>
      <c r="P49" s="31"/>
      <c r="Q49" s="31"/>
      <c r="R49" s="31"/>
      <c r="S49" s="31"/>
      <c r="T49" s="31"/>
      <c r="U49" s="31"/>
    </row>
    <row r="50" spans="1:21" s="31" customFormat="1" hidden="1" x14ac:dyDescent="0.2">
      <c r="A50" s="547"/>
      <c r="B50" s="23" t="s">
        <v>26</v>
      </c>
      <c r="C50" s="49">
        <v>1.9699999999999999E-2</v>
      </c>
      <c r="D50" s="49">
        <v>1.9699999999999999E-2</v>
      </c>
      <c r="E50" s="49">
        <v>1.9699999999999999E-2</v>
      </c>
      <c r="F50" s="49">
        <v>0.02</v>
      </c>
      <c r="G50" s="49">
        <v>0.02</v>
      </c>
      <c r="H50" s="49">
        <v>0.02</v>
      </c>
      <c r="I50" s="49">
        <v>0.02</v>
      </c>
      <c r="J50" s="49">
        <v>0.02</v>
      </c>
      <c r="K50" s="49">
        <v>0.02</v>
      </c>
    </row>
    <row r="51" spans="1:21" s="188" customFormat="1" hidden="1" x14ac:dyDescent="0.2">
      <c r="A51" s="547"/>
      <c r="B51" s="187" t="s">
        <v>27</v>
      </c>
      <c r="C51" s="126">
        <v>122907.69</v>
      </c>
      <c r="D51" s="126">
        <f t="shared" ref="D51:K51" si="14">D50*D7</f>
        <v>0</v>
      </c>
      <c r="E51" s="126">
        <f t="shared" si="14"/>
        <v>26354.29752</v>
      </c>
      <c r="F51" s="126">
        <f t="shared" si="14"/>
        <v>25901.200800000002</v>
      </c>
      <c r="G51" s="126">
        <f t="shared" si="14"/>
        <v>0</v>
      </c>
      <c r="H51" s="126">
        <f t="shared" si="14"/>
        <v>0</v>
      </c>
      <c r="I51" s="126">
        <f t="shared" si="14"/>
        <v>0</v>
      </c>
      <c r="J51" s="279">
        <f t="shared" si="14"/>
        <v>0</v>
      </c>
      <c r="K51" s="279">
        <f t="shared" si="14"/>
        <v>0</v>
      </c>
      <c r="L51" s="272"/>
      <c r="M51" s="272"/>
      <c r="N51" s="272"/>
      <c r="O51" s="272"/>
      <c r="P51" s="272"/>
      <c r="Q51" s="272"/>
      <c r="R51" s="272"/>
      <c r="S51" s="272"/>
      <c r="T51" s="272"/>
      <c r="U51" s="272"/>
    </row>
    <row r="52" spans="1:21" s="43" customFormat="1" hidden="1" x14ac:dyDescent="0.2">
      <c r="A52" s="547"/>
      <c r="B52" s="22" t="s">
        <v>4</v>
      </c>
      <c r="C52" s="91"/>
      <c r="D52" s="91"/>
      <c r="E52" s="91"/>
      <c r="F52" s="91"/>
      <c r="G52" s="91"/>
      <c r="H52" s="91"/>
      <c r="I52" s="91"/>
      <c r="J52" s="180"/>
      <c r="K52" s="180"/>
      <c r="L52" s="31"/>
      <c r="M52" s="31"/>
      <c r="N52" s="31"/>
      <c r="O52" s="31"/>
      <c r="P52" s="31"/>
      <c r="Q52" s="31"/>
      <c r="R52" s="31"/>
      <c r="S52" s="31"/>
      <c r="T52" s="31"/>
      <c r="U52" s="31"/>
    </row>
    <row r="53" spans="1:21" s="46" customFormat="1" ht="13.5" hidden="1" thickBot="1" x14ac:dyDescent="0.25">
      <c r="A53" s="547"/>
      <c r="B53" s="143" t="s">
        <v>34</v>
      </c>
      <c r="C53" s="92"/>
      <c r="D53" s="92"/>
      <c r="E53" s="92"/>
      <c r="F53" s="196"/>
      <c r="G53" s="92"/>
      <c r="H53" s="92"/>
      <c r="I53" s="92"/>
      <c r="J53" s="280"/>
      <c r="K53" s="280"/>
      <c r="L53" s="122"/>
      <c r="M53" s="122"/>
      <c r="N53" s="122"/>
      <c r="O53" s="122"/>
      <c r="P53" s="122"/>
      <c r="Q53" s="122"/>
      <c r="R53" s="122"/>
      <c r="S53" s="122"/>
      <c r="T53" s="122"/>
      <c r="U53" s="122"/>
    </row>
    <row r="54" spans="1:21" s="48" customFormat="1" ht="13.5" hidden="1" thickBot="1" x14ac:dyDescent="0.25">
      <c r="A54" s="547"/>
      <c r="B54" s="47" t="s">
        <v>51</v>
      </c>
      <c r="C54" s="73"/>
      <c r="D54" s="73"/>
      <c r="E54" s="73">
        <v>373805.22</v>
      </c>
      <c r="F54" s="73">
        <v>434666.27</v>
      </c>
      <c r="G54" s="73">
        <v>456619.85</v>
      </c>
      <c r="H54" s="73">
        <v>774703.95</v>
      </c>
      <c r="I54" s="73">
        <v>796754.94</v>
      </c>
      <c r="J54" s="281"/>
      <c r="K54" s="281"/>
      <c r="L54" s="282"/>
      <c r="M54" s="282"/>
      <c r="N54" s="282"/>
      <c r="O54" s="282"/>
      <c r="P54" s="282"/>
      <c r="Q54" s="282"/>
      <c r="R54" s="282"/>
      <c r="S54" s="282"/>
      <c r="T54" s="282"/>
      <c r="U54" s="282"/>
    </row>
    <row r="55" spans="1:21" s="38" customFormat="1" ht="13.5" hidden="1" thickBot="1" x14ac:dyDescent="0.25">
      <c r="A55" s="548"/>
      <c r="B55" s="39" t="s">
        <v>59</v>
      </c>
      <c r="C55" s="37">
        <f t="shared" ref="C55:K55" si="15">C54/C7*100</f>
        <v>0</v>
      </c>
      <c r="D55" s="37" t="e">
        <f t="shared" si="15"/>
        <v>#DIV/0!</v>
      </c>
      <c r="E55" s="37">
        <f t="shared" si="15"/>
        <v>27.942170829678027</v>
      </c>
      <c r="F55" s="37">
        <f t="shared" si="15"/>
        <v>33.563406836334785</v>
      </c>
      <c r="G55" s="37" t="e">
        <f t="shared" si="15"/>
        <v>#DIV/0!</v>
      </c>
      <c r="H55" s="37" t="e">
        <f t="shared" si="15"/>
        <v>#DIV/0!</v>
      </c>
      <c r="I55" s="37" t="e">
        <f t="shared" si="15"/>
        <v>#DIV/0!</v>
      </c>
      <c r="J55" s="283" t="e">
        <f t="shared" si="15"/>
        <v>#DIV/0!</v>
      </c>
      <c r="K55" s="283" t="e">
        <f t="shared" si="15"/>
        <v>#DIV/0!</v>
      </c>
      <c r="L55" s="284"/>
      <c r="M55" s="284"/>
      <c r="N55" s="284"/>
      <c r="O55" s="284"/>
      <c r="P55" s="284"/>
      <c r="Q55" s="284"/>
      <c r="R55" s="284"/>
      <c r="S55" s="284"/>
      <c r="T55" s="284"/>
      <c r="U55" s="284"/>
    </row>
    <row r="56" spans="1:21" s="163" customFormat="1" ht="13.5" hidden="1" thickBot="1" x14ac:dyDescent="0.25">
      <c r="A56" s="162"/>
      <c r="B56" s="163" t="s">
        <v>71</v>
      </c>
      <c r="C56" s="45">
        <f>SUM(C24,C26,C30,C28,C32,C34,C36,C38,C40,C42,C45,C46,C47,C49,C51,C52,C53)</f>
        <v>1049867.5827205</v>
      </c>
      <c r="D56" s="45">
        <f>SUM(D24,D26,D30,D28,D32,D34,D36,D38,D40,D42,D45,D46,D47,D49,D51,D52,D53)</f>
        <v>46501</v>
      </c>
      <c r="E56" s="45">
        <f>SUM(E24,E26,E30,E28,E32,E34,E36,E38,E40,E42,E45,E46,E47,E49,E51,E52,E53)</f>
        <v>765878.24423349998</v>
      </c>
      <c r="F56" s="45">
        <f>SUM(F24,F26,F30,F28,F32,F34,F36,F38,F40,F42,F45,F46,F47,F49,F51,F52,)</f>
        <v>715362.39364449994</v>
      </c>
      <c r="G56" s="164">
        <f>SUM(G24,G26,G30,G28,G32,G34,G36,G38,G40,G42,G45,G46,G47,G49,G51,G52,G53)</f>
        <v>1622.23</v>
      </c>
      <c r="H56" s="164">
        <f>SUM(H24,H26,H30,H28,H32,H34,H36,H38,H40,H42,H45,H46,H47,H49,H51,H52,H53)</f>
        <v>1622.23</v>
      </c>
      <c r="I56" s="164">
        <f>SUM(I24,I26,I30,I28,I32,I34,I36,I38,I40,I42,I45,I46,I47,I49,I51,I52,I53)</f>
        <v>1622.23</v>
      </c>
      <c r="J56" s="285">
        <f>SUM(J24,J26,J30,J28,J32,J34,J36,J38,J40,J42,J45,J46,J47,J49,J51,J52,J53)</f>
        <v>0</v>
      </c>
      <c r="K56" s="285">
        <f>SUM(K24,K26,K30,K28,K32,K34,K36,K38,K40,K42,K45,K46,K47,K49,K51,K52,K53)</f>
        <v>0</v>
      </c>
      <c r="L56" s="286"/>
      <c r="M56" s="286"/>
      <c r="N56" s="286"/>
      <c r="O56" s="286"/>
      <c r="P56" s="286"/>
      <c r="Q56" s="286"/>
      <c r="R56" s="286"/>
      <c r="S56" s="286"/>
      <c r="T56" s="286"/>
      <c r="U56" s="286"/>
    </row>
    <row r="57" spans="1:21" s="166" customFormat="1" ht="14.25" hidden="1" thickTop="1" thickBot="1" x14ac:dyDescent="0.25">
      <c r="A57" s="165"/>
      <c r="B57" s="166" t="s">
        <v>72</v>
      </c>
      <c r="C57" s="167">
        <f t="shared" ref="C57:K57" si="16">C54/C56-1</f>
        <v>-1</v>
      </c>
      <c r="D57" s="167">
        <f t="shared" si="16"/>
        <v>-1</v>
      </c>
      <c r="E57" s="167">
        <f t="shared" si="16"/>
        <v>-0.51192604984607093</v>
      </c>
      <c r="F57" s="167">
        <f t="shared" si="16"/>
        <v>-0.39238311398291392</v>
      </c>
      <c r="G57" s="167">
        <f t="shared" si="16"/>
        <v>280.47664018049227</v>
      </c>
      <c r="H57" s="167">
        <f t="shared" si="16"/>
        <v>476.55493980508311</v>
      </c>
      <c r="I57" s="167">
        <f t="shared" si="16"/>
        <v>490.1479506605105</v>
      </c>
      <c r="J57" s="287" t="e">
        <f t="shared" si="16"/>
        <v>#DIV/0!</v>
      </c>
      <c r="K57" s="287" t="e">
        <f t="shared" si="16"/>
        <v>#DIV/0!</v>
      </c>
      <c r="L57" s="288"/>
      <c r="M57" s="288"/>
      <c r="N57" s="288"/>
      <c r="O57" s="288"/>
      <c r="P57" s="288"/>
      <c r="Q57" s="288"/>
      <c r="R57" s="288"/>
      <c r="S57" s="288"/>
      <c r="T57" s="288"/>
      <c r="U57" s="288"/>
    </row>
    <row r="58" spans="1:21" s="38" customFormat="1" ht="14.25" hidden="1" thickTop="1" thickBot="1" x14ac:dyDescent="0.25">
      <c r="A58"/>
      <c r="B58" s="39" t="s">
        <v>59</v>
      </c>
      <c r="C58" s="37">
        <f t="shared" ref="C58:H58" si="17">C56/C7*100</f>
        <v>89.175378647384747</v>
      </c>
      <c r="D58" s="37" t="e">
        <f t="shared" si="17"/>
        <v>#DIV/0!</v>
      </c>
      <c r="E58" s="37">
        <f t="shared" si="17"/>
        <v>57.249871296891811</v>
      </c>
      <c r="F58" s="37">
        <f t="shared" si="17"/>
        <v>55.237778292078254</v>
      </c>
      <c r="G58" s="37" t="e">
        <f t="shared" si="17"/>
        <v>#DIV/0!</v>
      </c>
      <c r="H58" s="37" t="e">
        <f t="shared" si="17"/>
        <v>#DIV/0!</v>
      </c>
      <c r="I58" s="37" t="e">
        <f>I56/I7*100</f>
        <v>#DIV/0!</v>
      </c>
      <c r="J58" s="283" t="e">
        <f>J57/J10*100</f>
        <v>#DIV/0!</v>
      </c>
      <c r="K58" s="283" t="e">
        <f>K57/K10*100</f>
        <v>#DIV/0!</v>
      </c>
      <c r="L58" s="284"/>
      <c r="M58" s="284"/>
      <c r="N58" s="284"/>
      <c r="O58" s="284"/>
      <c r="P58" s="284"/>
      <c r="Q58" s="284"/>
      <c r="R58" s="284"/>
      <c r="S58" s="284"/>
      <c r="T58" s="284"/>
      <c r="U58" s="284"/>
    </row>
    <row r="59" spans="1:21" ht="13.5" thickBot="1" x14ac:dyDescent="0.25">
      <c r="C59" s="64"/>
      <c r="D59" s="64"/>
    </row>
    <row r="60" spans="1:21" ht="12.75" customHeight="1" x14ac:dyDescent="0.2">
      <c r="A60" s="543" t="s">
        <v>113</v>
      </c>
      <c r="B60" t="s">
        <v>111</v>
      </c>
      <c r="C60" s="310">
        <f t="shared" ref="C60:I60" si="18">C30+C28+C26</f>
        <v>233491.73550000001</v>
      </c>
      <c r="D60" s="310">
        <f t="shared" si="18"/>
        <v>45315</v>
      </c>
      <c r="E60" s="310">
        <f t="shared" si="18"/>
        <v>75611.381599999993</v>
      </c>
      <c r="F60" s="310">
        <f t="shared" si="18"/>
        <v>75404.646399999998</v>
      </c>
      <c r="G60" s="310">
        <f t="shared" si="18"/>
        <v>0</v>
      </c>
      <c r="H60" s="310">
        <f t="shared" si="18"/>
        <v>0</v>
      </c>
      <c r="I60" s="310">
        <f t="shared" si="18"/>
        <v>0</v>
      </c>
    </row>
    <row r="61" spans="1:21" x14ac:dyDescent="0.2">
      <c r="A61" s="544"/>
      <c r="B61" t="s">
        <v>110</v>
      </c>
      <c r="C61" s="309">
        <f t="shared" ref="C61:I61" si="19">C42+C38+C34+C49+C51</f>
        <v>781540.95329999994</v>
      </c>
      <c r="D61" s="309">
        <f t="shared" si="19"/>
        <v>0</v>
      </c>
      <c r="E61" s="309">
        <f t="shared" si="19"/>
        <v>659177.63910000003</v>
      </c>
      <c r="F61" s="309">
        <f t="shared" si="19"/>
        <v>608675.67244799994</v>
      </c>
      <c r="G61" s="309">
        <f t="shared" si="19"/>
        <v>0</v>
      </c>
      <c r="H61" s="309">
        <f t="shared" si="19"/>
        <v>0</v>
      </c>
      <c r="I61" s="309">
        <f t="shared" si="19"/>
        <v>0</v>
      </c>
    </row>
    <row r="62" spans="1:21" x14ac:dyDescent="0.2">
      <c r="A62" s="544"/>
      <c r="B62" t="s">
        <v>112</v>
      </c>
      <c r="C62" s="309">
        <f t="shared" ref="C62:I62" si="20">C45</f>
        <v>33521.42392049999</v>
      </c>
      <c r="D62" s="309">
        <f t="shared" si="20"/>
        <v>0</v>
      </c>
      <c r="E62" s="309">
        <f t="shared" si="20"/>
        <v>29466.993533499986</v>
      </c>
      <c r="F62" s="309">
        <f t="shared" si="20"/>
        <v>29712.174796499989</v>
      </c>
      <c r="G62" s="309">
        <f t="shared" si="20"/>
        <v>0</v>
      </c>
      <c r="H62" s="309">
        <f t="shared" si="20"/>
        <v>0</v>
      </c>
      <c r="I62" s="309">
        <f t="shared" si="20"/>
        <v>0</v>
      </c>
    </row>
    <row r="63" spans="1:21" ht="12.75" customHeight="1" x14ac:dyDescent="0.2">
      <c r="A63" s="544"/>
      <c r="C63" s="64"/>
      <c r="D63" s="64"/>
    </row>
    <row r="64" spans="1:21" x14ac:dyDescent="0.2">
      <c r="A64" s="544"/>
      <c r="B64" s="161" t="s">
        <v>115</v>
      </c>
      <c r="C64" s="313">
        <f>C60</f>
        <v>233491.73550000001</v>
      </c>
      <c r="D64" s="310" t="e">
        <f t="shared" ref="D64:I64" si="21">D60/D$7*$C$7</f>
        <v>#DIV/0!</v>
      </c>
      <c r="E64" s="310">
        <f t="shared" si="21"/>
        <v>66541.336469527829</v>
      </c>
      <c r="F64" s="310">
        <f t="shared" si="21"/>
        <v>68548.470433232098</v>
      </c>
      <c r="G64" s="310" t="e">
        <f t="shared" si="21"/>
        <v>#DIV/0!</v>
      </c>
      <c r="H64" s="310" t="e">
        <f t="shared" si="21"/>
        <v>#DIV/0!</v>
      </c>
      <c r="I64" s="310" t="e">
        <f t="shared" si="21"/>
        <v>#DIV/0!</v>
      </c>
    </row>
    <row r="65" spans="1:21" x14ac:dyDescent="0.2">
      <c r="A65" s="544"/>
      <c r="B65" s="161" t="s">
        <v>116</v>
      </c>
      <c r="C65" s="313">
        <f>C61</f>
        <v>781540.95329999994</v>
      </c>
      <c r="D65" s="310" t="e">
        <f>D61/D$7*$C$7</f>
        <v>#DIV/0!</v>
      </c>
      <c r="E65" s="310">
        <f t="shared" ref="E65:I66" si="22">E61/E$7*$C$7</f>
        <v>580105.27183042618</v>
      </c>
      <c r="F65" s="310">
        <f t="shared" si="22"/>
        <v>553331.76837534236</v>
      </c>
      <c r="G65" s="310" t="e">
        <f t="shared" si="22"/>
        <v>#DIV/0!</v>
      </c>
      <c r="H65" s="310" t="e">
        <f t="shared" si="22"/>
        <v>#DIV/0!</v>
      </c>
      <c r="I65" s="310" t="e">
        <f t="shared" si="22"/>
        <v>#DIV/0!</v>
      </c>
    </row>
    <row r="66" spans="1:21" ht="12.75" customHeight="1" x14ac:dyDescent="0.2">
      <c r="A66" s="544"/>
      <c r="B66" s="161" t="s">
        <v>117</v>
      </c>
      <c r="C66" s="313">
        <f>C62</f>
        <v>33521.42392049999</v>
      </c>
      <c r="D66" s="310" t="e">
        <f>D62/D$7*$C$7</f>
        <v>#DIV/0!</v>
      </c>
      <c r="E66" s="310">
        <f t="shared" si="22"/>
        <v>25932.248425652673</v>
      </c>
      <c r="F66" s="310">
        <f t="shared" si="22"/>
        <v>27010.591956637087</v>
      </c>
      <c r="G66" s="310" t="e">
        <f t="shared" si="22"/>
        <v>#DIV/0!</v>
      </c>
      <c r="H66" s="310" t="e">
        <f t="shared" si="22"/>
        <v>#DIV/0!</v>
      </c>
      <c r="I66" s="310" t="e">
        <f t="shared" si="22"/>
        <v>#DIV/0!</v>
      </c>
    </row>
    <row r="67" spans="1:21" x14ac:dyDescent="0.2">
      <c r="A67" s="544"/>
      <c r="C67" s="316">
        <f>C1</f>
        <v>40188</v>
      </c>
      <c r="D67" s="316">
        <f t="shared" ref="D67:I67" si="23">D1</f>
        <v>40219</v>
      </c>
      <c r="E67" s="316">
        <f t="shared" si="23"/>
        <v>40247</v>
      </c>
      <c r="F67" s="316">
        <f t="shared" si="23"/>
        <v>40278</v>
      </c>
      <c r="G67" s="316">
        <f t="shared" si="23"/>
        <v>40308</v>
      </c>
      <c r="H67" s="316">
        <f t="shared" si="23"/>
        <v>40339</v>
      </c>
      <c r="I67" s="316">
        <f t="shared" si="23"/>
        <v>40369</v>
      </c>
    </row>
    <row r="68" spans="1:21" x14ac:dyDescent="0.2">
      <c r="A68" s="544"/>
      <c r="B68" s="161" t="s">
        <v>118</v>
      </c>
      <c r="C68" s="315">
        <f>C64/$C64</f>
        <v>1</v>
      </c>
      <c r="D68" s="317">
        <v>0.28498369043784777</v>
      </c>
      <c r="E68" s="315">
        <f>E64/$C64</f>
        <v>0.28498369043784777</v>
      </c>
      <c r="F68" s="315">
        <f>F64/$C64</f>
        <v>0.29357985749021126</v>
      </c>
      <c r="G68" s="315" t="e">
        <f>G64/$C64</f>
        <v>#DIV/0!</v>
      </c>
      <c r="H68" s="315" t="e">
        <f>H64/$C64</f>
        <v>#DIV/0!</v>
      </c>
      <c r="I68" s="315" t="e">
        <f>I64/$C64</f>
        <v>#DIV/0!</v>
      </c>
    </row>
    <row r="69" spans="1:21" ht="12.75" customHeight="1" x14ac:dyDescent="0.2">
      <c r="A69" s="544"/>
      <c r="B69" s="161" t="s">
        <v>120</v>
      </c>
      <c r="C69" s="315">
        <f t="shared" ref="C69:I70" si="24">C65/$C65</f>
        <v>1</v>
      </c>
      <c r="D69" s="317">
        <v>0.7422583159346593</v>
      </c>
      <c r="E69" s="315">
        <f t="shared" si="24"/>
        <v>0.7422583159346593</v>
      </c>
      <c r="F69" s="315">
        <f t="shared" si="24"/>
        <v>0.70800098963328684</v>
      </c>
      <c r="G69" s="315" t="e">
        <f t="shared" si="24"/>
        <v>#DIV/0!</v>
      </c>
      <c r="H69" s="315" t="e">
        <f t="shared" si="24"/>
        <v>#DIV/0!</v>
      </c>
      <c r="I69" s="315" t="e">
        <f t="shared" si="24"/>
        <v>#DIV/0!</v>
      </c>
    </row>
    <row r="70" spans="1:21" x14ac:dyDescent="0.2">
      <c r="A70" s="544"/>
      <c r="B70" s="161" t="s">
        <v>119</v>
      </c>
      <c r="C70" s="315">
        <f t="shared" si="24"/>
        <v>1</v>
      </c>
      <c r="D70" s="317">
        <v>0.77360223381781335</v>
      </c>
      <c r="E70" s="315">
        <f t="shared" si="24"/>
        <v>0.77360223381781335</v>
      </c>
      <c r="F70" s="315">
        <f t="shared" si="24"/>
        <v>0.8057710203688212</v>
      </c>
      <c r="G70" s="315" t="e">
        <f t="shared" si="24"/>
        <v>#DIV/0!</v>
      </c>
      <c r="H70" s="315" t="e">
        <f t="shared" si="24"/>
        <v>#DIV/0!</v>
      </c>
      <c r="I70" s="315" t="e">
        <f t="shared" si="24"/>
        <v>#DIV/0!</v>
      </c>
    </row>
    <row r="71" spans="1:21" ht="13.5" thickBot="1" x14ac:dyDescent="0.25">
      <c r="A71" s="545"/>
      <c r="C71" s="64"/>
      <c r="D71" s="64"/>
    </row>
    <row r="72" spans="1:21" x14ac:dyDescent="0.2">
      <c r="C72" s="64"/>
      <c r="D72" s="64"/>
    </row>
    <row r="73" spans="1:21" s="314" customFormat="1" ht="13.5" thickBot="1" x14ac:dyDescent="0.25"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</row>
    <row r="74" spans="1:21" s="67" customFormat="1" ht="12.75" customHeight="1" x14ac:dyDescent="0.2">
      <c r="A74" s="549" t="s">
        <v>98</v>
      </c>
      <c r="B74" s="66" t="s">
        <v>56</v>
      </c>
      <c r="C74" s="67" t="e">
        <f>Eskom!#REF!</f>
        <v>#REF!</v>
      </c>
      <c r="D74" s="67" t="e">
        <f>Eskom!#REF!</f>
        <v>#REF!</v>
      </c>
      <c r="E74" s="67" t="e">
        <f>Eskom!#REF!</f>
        <v>#REF!</v>
      </c>
      <c r="F74" s="67" t="e">
        <f>Eskom!#REF!</f>
        <v>#REF!</v>
      </c>
      <c r="G74" s="67" t="e">
        <f>Eskom!#REF!</f>
        <v>#REF!</v>
      </c>
      <c r="H74" s="67" t="e">
        <f>Eskom!#REF!</f>
        <v>#REF!</v>
      </c>
      <c r="I74" s="67" t="e">
        <f>Eskom!#REF!</f>
        <v>#REF!</v>
      </c>
      <c r="J74" s="289"/>
      <c r="K74" s="256"/>
      <c r="L74" s="256"/>
      <c r="M74" s="256"/>
      <c r="N74" s="256"/>
      <c r="O74" s="256"/>
      <c r="P74" s="256"/>
      <c r="Q74" s="256"/>
      <c r="R74" s="256"/>
      <c r="S74" s="256"/>
      <c r="T74" s="256"/>
      <c r="U74" s="256"/>
    </row>
    <row r="75" spans="1:21" s="75" customFormat="1" x14ac:dyDescent="0.2">
      <c r="A75" s="550"/>
      <c r="B75" s="77" t="s">
        <v>55</v>
      </c>
      <c r="C75" s="125" t="e">
        <f>Eskom!#REF!</f>
        <v>#REF!</v>
      </c>
      <c r="D75" s="125" t="e">
        <f>Eskom!#REF!</f>
        <v>#REF!</v>
      </c>
      <c r="E75" s="125" t="e">
        <f>Eskom!#REF!</f>
        <v>#REF!</v>
      </c>
      <c r="F75" s="125" t="e">
        <f>Eskom!#REF!</f>
        <v>#REF!</v>
      </c>
      <c r="G75" s="125" t="e">
        <f>Eskom!#REF!</f>
        <v>#REF!</v>
      </c>
      <c r="H75" s="125" t="e">
        <f>Eskom!#REF!</f>
        <v>#REF!</v>
      </c>
      <c r="I75" s="125" t="e">
        <f>Eskom!#REF!</f>
        <v>#REF!</v>
      </c>
      <c r="J75" s="290"/>
      <c r="K75" s="291"/>
      <c r="L75" s="291"/>
      <c r="M75" s="291"/>
      <c r="N75" s="291"/>
      <c r="O75" s="291"/>
      <c r="P75" s="291"/>
      <c r="Q75" s="291"/>
      <c r="R75" s="291"/>
      <c r="S75" s="291"/>
      <c r="T75" s="291"/>
      <c r="U75" s="291"/>
    </row>
    <row r="76" spans="1:21" s="76" customFormat="1" ht="12.75" customHeight="1" x14ac:dyDescent="0.2">
      <c r="A76" s="550"/>
      <c r="B76" s="78" t="s">
        <v>14</v>
      </c>
      <c r="C76" s="79" t="e">
        <f>Eskom!#REF!</f>
        <v>#REF!</v>
      </c>
      <c r="D76" s="79" t="e">
        <f>Eskom!#REF!</f>
        <v>#REF!</v>
      </c>
      <c r="E76" s="79" t="e">
        <f>Eskom!#REF!</f>
        <v>#REF!</v>
      </c>
      <c r="F76" s="79" t="e">
        <f>Eskom!#REF!</f>
        <v>#REF!</v>
      </c>
      <c r="G76" s="79" t="e">
        <f>Eskom!#REF!</f>
        <v>#REF!</v>
      </c>
      <c r="H76" s="79" t="e">
        <f>Eskom!#REF!</f>
        <v>#REF!</v>
      </c>
      <c r="I76" s="79" t="e">
        <f>Eskom!#REF!</f>
        <v>#REF!</v>
      </c>
      <c r="J76" s="263"/>
      <c r="K76" s="263"/>
      <c r="L76" s="263"/>
      <c r="M76" s="263"/>
      <c r="N76" s="263"/>
      <c r="O76" s="263"/>
      <c r="P76" s="263"/>
      <c r="Q76" s="263"/>
      <c r="R76" s="263"/>
      <c r="S76" s="263"/>
      <c r="T76" s="263"/>
      <c r="U76" s="263"/>
    </row>
    <row r="77" spans="1:21" s="123" customFormat="1" x14ac:dyDescent="0.2">
      <c r="A77" s="550"/>
      <c r="B77" s="238" t="s">
        <v>15</v>
      </c>
      <c r="C77" s="237" t="e">
        <f>Eskom!#REF!</f>
        <v>#REF!</v>
      </c>
      <c r="D77" s="237" t="e">
        <f>Eskom!#REF!</f>
        <v>#REF!</v>
      </c>
      <c r="E77" s="237" t="e">
        <f>Eskom!#REF!</f>
        <v>#REF!</v>
      </c>
      <c r="F77" s="237" t="e">
        <f>Eskom!#REF!</f>
        <v>#REF!</v>
      </c>
      <c r="G77" s="237" t="e">
        <f>Eskom!#REF!</f>
        <v>#REF!</v>
      </c>
      <c r="H77" s="237" t="e">
        <f>Eskom!#REF!</f>
        <v>#REF!</v>
      </c>
      <c r="I77" s="237" t="e">
        <f>Eskom!#REF!</f>
        <v>#REF!</v>
      </c>
      <c r="J77" s="248"/>
      <c r="K77" s="248"/>
      <c r="L77" s="248"/>
      <c r="M77" s="248"/>
      <c r="N77" s="248"/>
      <c r="O77" s="248"/>
      <c r="P77" s="248"/>
      <c r="Q77" s="248"/>
      <c r="R77" s="248"/>
      <c r="S77" s="248"/>
      <c r="T77" s="248"/>
      <c r="U77" s="248"/>
    </row>
    <row r="78" spans="1:21" s="240" customFormat="1" ht="12.75" customHeight="1" x14ac:dyDescent="0.2">
      <c r="A78" s="550"/>
      <c r="B78" s="239" t="s">
        <v>16</v>
      </c>
      <c r="C78" s="236" t="e">
        <f>Eskom!#REF!</f>
        <v>#REF!</v>
      </c>
      <c r="D78" s="236" t="e">
        <f>Eskom!#REF!</f>
        <v>#REF!</v>
      </c>
      <c r="E78" s="236" t="e">
        <f>Eskom!#REF!</f>
        <v>#REF!</v>
      </c>
      <c r="F78" s="236" t="e">
        <f>Eskom!#REF!</f>
        <v>#REF!</v>
      </c>
      <c r="G78" s="236" t="e">
        <f>Eskom!#REF!</f>
        <v>#REF!</v>
      </c>
      <c r="H78" s="236" t="e">
        <f>Eskom!#REF!</f>
        <v>#REF!</v>
      </c>
      <c r="I78" s="236" t="e">
        <f>Eskom!#REF!</f>
        <v>#REF!</v>
      </c>
      <c r="J78" s="261"/>
      <c r="K78" s="261"/>
      <c r="L78" s="261"/>
      <c r="M78" s="261"/>
      <c r="N78" s="261"/>
      <c r="O78" s="261"/>
      <c r="P78" s="261"/>
      <c r="Q78" s="261"/>
      <c r="R78" s="261"/>
      <c r="S78" s="261"/>
      <c r="T78" s="261"/>
      <c r="U78" s="261"/>
    </row>
    <row r="79" spans="1:21" s="111" customFormat="1" x14ac:dyDescent="0.2">
      <c r="A79" s="550"/>
      <c r="B79" s="109" t="s">
        <v>17</v>
      </c>
      <c r="C79" s="110" t="e">
        <f>Eskom!#REF!</f>
        <v>#REF!</v>
      </c>
      <c r="D79" s="110" t="e">
        <f>Eskom!#REF!</f>
        <v>#REF!</v>
      </c>
      <c r="E79" s="110" t="e">
        <f>Eskom!#REF!</f>
        <v>#REF!</v>
      </c>
      <c r="F79" s="110" t="e">
        <f>Eskom!#REF!</f>
        <v>#REF!</v>
      </c>
      <c r="G79" s="110" t="e">
        <f>Eskom!#REF!</f>
        <v>#REF!</v>
      </c>
      <c r="H79" s="110" t="e">
        <f>Eskom!#REF!</f>
        <v>#REF!</v>
      </c>
      <c r="I79" s="110" t="e">
        <f>Eskom!#REF!</f>
        <v>#REF!</v>
      </c>
      <c r="J79" s="262"/>
      <c r="K79" s="262"/>
      <c r="L79" s="262"/>
      <c r="M79" s="262"/>
      <c r="N79" s="262"/>
      <c r="O79" s="262"/>
      <c r="P79" s="262"/>
      <c r="Q79" s="262"/>
      <c r="R79" s="262"/>
      <c r="S79" s="262"/>
      <c r="T79" s="262"/>
      <c r="U79" s="262"/>
    </row>
    <row r="80" spans="1:21" s="82" customFormat="1" x14ac:dyDescent="0.2">
      <c r="A80" s="550"/>
      <c r="B80" s="80" t="s">
        <v>12</v>
      </c>
      <c r="C80" s="81" t="e">
        <f>Eskom!#REF!</f>
        <v>#REF!</v>
      </c>
      <c r="D80" s="81" t="e">
        <f>Eskom!#REF!</f>
        <v>#REF!</v>
      </c>
      <c r="E80" s="81" t="e">
        <f>Eskom!#REF!</f>
        <v>#REF!</v>
      </c>
      <c r="F80" s="81" t="e">
        <f>Eskom!#REF!</f>
        <v>#REF!</v>
      </c>
      <c r="G80" s="81" t="e">
        <f>Eskom!#REF!</f>
        <v>#REF!</v>
      </c>
      <c r="H80" s="81" t="e">
        <f>Eskom!#REF!</f>
        <v>#REF!</v>
      </c>
      <c r="I80" s="81" t="e">
        <f>Eskom!#REF!</f>
        <v>#REF!</v>
      </c>
      <c r="J80" s="263"/>
      <c r="K80" s="263"/>
      <c r="L80" s="263"/>
      <c r="M80" s="263"/>
      <c r="N80" s="263"/>
      <c r="O80" s="263"/>
      <c r="P80" s="263"/>
      <c r="Q80" s="263"/>
      <c r="R80" s="263"/>
      <c r="S80" s="263"/>
      <c r="T80" s="263"/>
      <c r="U80" s="263"/>
    </row>
    <row r="81" spans="1:23" s="242" customFormat="1" x14ac:dyDescent="0.2">
      <c r="A81" s="550"/>
      <c r="B81" s="241" t="s">
        <v>6</v>
      </c>
      <c r="C81" s="93" t="e">
        <f>Eskom!#REF!</f>
        <v>#REF!</v>
      </c>
      <c r="D81" s="93" t="e">
        <f>Eskom!#REF!</f>
        <v>#REF!</v>
      </c>
      <c r="E81" s="93" t="e">
        <f>Eskom!#REF!</f>
        <v>#REF!</v>
      </c>
      <c r="F81" s="93" t="e">
        <f>Eskom!#REF!</f>
        <v>#REF!</v>
      </c>
      <c r="G81" s="93" t="e">
        <f>Eskom!#REF!</f>
        <v>#REF!</v>
      </c>
      <c r="H81" s="93" t="e">
        <f>Eskom!#REF!</f>
        <v>#REF!</v>
      </c>
      <c r="I81" s="93" t="e">
        <f>Eskom!#REF!</f>
        <v>#REF!</v>
      </c>
      <c r="J81" s="248"/>
      <c r="K81" s="248"/>
      <c r="L81" s="248"/>
      <c r="M81" s="248"/>
      <c r="N81" s="248"/>
      <c r="O81" s="248"/>
      <c r="P81" s="248"/>
      <c r="Q81" s="248"/>
      <c r="R81" s="248"/>
      <c r="S81" s="248"/>
      <c r="T81" s="248"/>
      <c r="U81" s="248"/>
    </row>
    <row r="82" spans="1:23" s="242" customFormat="1" x14ac:dyDescent="0.2">
      <c r="A82" s="550"/>
      <c r="B82" s="241" t="s">
        <v>13</v>
      </c>
      <c r="C82" s="93" t="e">
        <f>Eskom!#REF!</f>
        <v>#REF!</v>
      </c>
      <c r="D82" s="93" t="e">
        <f>Eskom!#REF!</f>
        <v>#REF!</v>
      </c>
      <c r="E82" s="93" t="e">
        <f>Eskom!#REF!</f>
        <v>#REF!</v>
      </c>
      <c r="F82" s="93" t="e">
        <f>Eskom!#REF!</f>
        <v>#REF!</v>
      </c>
      <c r="G82" s="93" t="e">
        <f>Eskom!#REF!</f>
        <v>#REF!</v>
      </c>
      <c r="H82" s="93" t="e">
        <f>Eskom!#REF!</f>
        <v>#REF!</v>
      </c>
      <c r="I82" s="93" t="e">
        <f>Eskom!#REF!</f>
        <v>#REF!</v>
      </c>
      <c r="J82" s="248"/>
      <c r="K82" s="248"/>
      <c r="L82" s="248"/>
      <c r="M82" s="248"/>
      <c r="N82" s="248"/>
      <c r="O82" s="248"/>
      <c r="P82" s="248"/>
      <c r="Q82" s="248"/>
      <c r="R82" s="248"/>
      <c r="S82" s="248"/>
      <c r="T82" s="248"/>
      <c r="U82" s="248"/>
    </row>
    <row r="83" spans="1:23" s="86" customFormat="1" ht="13.5" thickBot="1" x14ac:dyDescent="0.25">
      <c r="A83" s="550"/>
      <c r="B83" s="97" t="s">
        <v>18</v>
      </c>
      <c r="C83" s="101" t="e">
        <f>Eskom!#REF!</f>
        <v>#REF!</v>
      </c>
      <c r="D83" s="101" t="e">
        <f>Eskom!#REF!</f>
        <v>#REF!</v>
      </c>
      <c r="E83" s="101" t="e">
        <f>Eskom!#REF!</f>
        <v>#REF!</v>
      </c>
      <c r="F83" s="101" t="e">
        <f>Eskom!#REF!</f>
        <v>#REF!</v>
      </c>
      <c r="G83" s="101" t="e">
        <f>Eskom!#REF!</f>
        <v>#REF!</v>
      </c>
      <c r="H83" s="101" t="e">
        <f>Eskom!#REF!</f>
        <v>#REF!</v>
      </c>
      <c r="I83" s="101" t="e">
        <f>Eskom!#REF!</f>
        <v>#REF!</v>
      </c>
      <c r="J83" s="292"/>
      <c r="K83" s="292"/>
      <c r="L83" s="292"/>
      <c r="M83" s="292"/>
      <c r="N83" s="292"/>
      <c r="O83" s="292"/>
      <c r="P83" s="292"/>
      <c r="Q83" s="292"/>
      <c r="R83" s="292"/>
      <c r="S83" s="292"/>
      <c r="T83" s="292"/>
      <c r="U83" s="292"/>
      <c r="V83" s="98"/>
      <c r="W83" s="98"/>
    </row>
    <row r="84" spans="1:23" s="88" customFormat="1" x14ac:dyDescent="0.2">
      <c r="A84" s="550"/>
      <c r="B84" s="87" t="s">
        <v>19</v>
      </c>
      <c r="C84" s="94" t="e">
        <f>Eskom!#REF!</f>
        <v>#REF!</v>
      </c>
      <c r="D84" s="94" t="e">
        <f>Eskom!#REF!</f>
        <v>#REF!</v>
      </c>
      <c r="E84" s="94" t="e">
        <f>Eskom!#REF!</f>
        <v>#REF!</v>
      </c>
      <c r="F84" s="94" t="e">
        <f>Eskom!#REF!</f>
        <v>#REF!</v>
      </c>
      <c r="G84" s="94" t="e">
        <f>Eskom!#REF!</f>
        <v>#REF!</v>
      </c>
      <c r="H84" s="94" t="e">
        <f>Eskom!#REF!</f>
        <v>#REF!</v>
      </c>
      <c r="I84" s="94" t="e">
        <f>Eskom!#REF!</f>
        <v>#REF!</v>
      </c>
      <c r="J84" s="263"/>
      <c r="K84" s="263"/>
      <c r="L84" s="263"/>
      <c r="M84" s="263"/>
      <c r="N84" s="263"/>
      <c r="O84" s="263"/>
      <c r="P84" s="263"/>
      <c r="Q84" s="263"/>
      <c r="R84" s="263"/>
      <c r="S84" s="263"/>
      <c r="T84" s="263"/>
      <c r="U84" s="263"/>
    </row>
    <row r="85" spans="1:23" s="29" customFormat="1" x14ac:dyDescent="0.2">
      <c r="A85" s="550"/>
      <c r="B85" s="243" t="s">
        <v>20</v>
      </c>
      <c r="C85" s="90" t="e">
        <f>Eskom!#REF!</f>
        <v>#REF!</v>
      </c>
      <c r="D85" s="90" t="e">
        <f>Eskom!#REF!</f>
        <v>#REF!</v>
      </c>
      <c r="E85" s="90" t="e">
        <f>Eskom!#REF!</f>
        <v>#REF!</v>
      </c>
      <c r="F85" s="90" t="e">
        <f>Eskom!#REF!</f>
        <v>#REF!</v>
      </c>
      <c r="G85" s="90" t="e">
        <f>Eskom!#REF!</f>
        <v>#REF!</v>
      </c>
      <c r="H85" s="90" t="e">
        <f>Eskom!#REF!</f>
        <v>#REF!</v>
      </c>
      <c r="I85" s="90" t="e">
        <f>Eskom!#REF!</f>
        <v>#REF!</v>
      </c>
      <c r="J85" s="248"/>
      <c r="K85" s="248"/>
      <c r="L85" s="248"/>
      <c r="M85" s="248"/>
      <c r="N85" s="248"/>
      <c r="O85" s="248"/>
      <c r="P85" s="248"/>
      <c r="Q85" s="248"/>
      <c r="R85" s="248"/>
      <c r="S85" s="248"/>
      <c r="T85" s="248"/>
      <c r="U85" s="248"/>
    </row>
    <row r="86" spans="1:23" s="195" customFormat="1" x14ac:dyDescent="0.2">
      <c r="A86" s="550"/>
      <c r="B86" s="84" t="s">
        <v>21</v>
      </c>
      <c r="C86" s="85" t="e">
        <f>Eskom!#REF!</f>
        <v>#REF!</v>
      </c>
      <c r="D86" s="85" t="e">
        <f>Eskom!#REF!</f>
        <v>#REF!</v>
      </c>
      <c r="E86" s="85" t="e">
        <f>Eskom!#REF!</f>
        <v>#REF!</v>
      </c>
      <c r="F86" s="85" t="e">
        <f>Eskom!#REF!</f>
        <v>#REF!</v>
      </c>
      <c r="G86" s="85" t="e">
        <f>Eskom!#REF!</f>
        <v>#REF!</v>
      </c>
      <c r="H86" s="85" t="e">
        <f>Eskom!#REF!</f>
        <v>#REF!</v>
      </c>
      <c r="I86" s="85" t="e">
        <f>Eskom!#REF!</f>
        <v>#REF!</v>
      </c>
      <c r="J86" s="261"/>
      <c r="K86" s="261"/>
      <c r="L86" s="261"/>
      <c r="M86" s="261"/>
      <c r="N86" s="261"/>
      <c r="O86" s="261"/>
      <c r="P86" s="261"/>
      <c r="Q86" s="261"/>
      <c r="R86" s="261"/>
      <c r="S86" s="261"/>
      <c r="T86" s="261"/>
      <c r="U86" s="261"/>
    </row>
    <row r="87" spans="1:23" s="185" customFormat="1" ht="13.5" thickBot="1" x14ac:dyDescent="0.25">
      <c r="A87" s="550"/>
      <c r="B87" s="183" t="s">
        <v>28</v>
      </c>
      <c r="C87" s="184" t="e">
        <f>Eskom!#REF!</f>
        <v>#REF!</v>
      </c>
      <c r="D87" s="184" t="e">
        <f>Eskom!#REF!</f>
        <v>#REF!</v>
      </c>
      <c r="E87" s="184" t="e">
        <f>Eskom!#REF!</f>
        <v>#REF!</v>
      </c>
      <c r="F87" s="184" t="e">
        <f>Eskom!#REF!</f>
        <v>#REF!</v>
      </c>
      <c r="G87" s="184" t="e">
        <f>Eskom!#REF!</f>
        <v>#REF!</v>
      </c>
      <c r="H87" s="184" t="e">
        <f>Eskom!#REF!</f>
        <v>#REF!</v>
      </c>
      <c r="I87" s="184" t="e">
        <f>Eskom!#REF!</f>
        <v>#REF!</v>
      </c>
      <c r="J87" s="265"/>
      <c r="K87" s="265"/>
      <c r="L87" s="265"/>
      <c r="M87" s="265"/>
      <c r="N87" s="265"/>
      <c r="O87" s="265"/>
      <c r="P87" s="265"/>
      <c r="Q87" s="265"/>
      <c r="R87" s="265"/>
      <c r="S87" s="265"/>
      <c r="T87" s="265"/>
      <c r="U87" s="265"/>
    </row>
    <row r="88" spans="1:23" x14ac:dyDescent="0.2">
      <c r="A88" s="550"/>
      <c r="B88" s="298" t="s">
        <v>107</v>
      </c>
      <c r="C88" s="301" t="e">
        <f t="shared" ref="C88:F89" si="25">C84-C76*TAN(ACOS(0.96))</f>
        <v>#REF!</v>
      </c>
      <c r="D88" s="301" t="e">
        <f t="shared" si="25"/>
        <v>#REF!</v>
      </c>
      <c r="E88" s="301" t="e">
        <f t="shared" si="25"/>
        <v>#REF!</v>
      </c>
      <c r="F88" s="301" t="e">
        <f t="shared" si="25"/>
        <v>#REF!</v>
      </c>
      <c r="G88" s="301" t="e">
        <f t="shared" ref="G88:I89" si="26">G84-G76*TAN(ACOS(0.96))</f>
        <v>#REF!</v>
      </c>
      <c r="H88" s="301" t="e">
        <f t="shared" si="26"/>
        <v>#REF!</v>
      </c>
      <c r="I88" s="301" t="e">
        <f t="shared" si="26"/>
        <v>#REF!</v>
      </c>
      <c r="J88"/>
      <c r="K88"/>
      <c r="L88"/>
      <c r="M88"/>
      <c r="N88"/>
      <c r="O88"/>
      <c r="P88"/>
      <c r="Q88"/>
      <c r="R88"/>
      <c r="S88"/>
      <c r="T88"/>
      <c r="U88"/>
    </row>
    <row r="89" spans="1:23" ht="13.5" thickBot="1" x14ac:dyDescent="0.25">
      <c r="A89" s="550"/>
      <c r="B89" s="299" t="s">
        <v>108</v>
      </c>
      <c r="C89" s="302" t="e">
        <f t="shared" si="25"/>
        <v>#REF!</v>
      </c>
      <c r="D89" s="302" t="e">
        <f t="shared" si="25"/>
        <v>#REF!</v>
      </c>
      <c r="E89" s="302" t="e">
        <f t="shared" si="25"/>
        <v>#REF!</v>
      </c>
      <c r="F89" s="302" t="e">
        <f t="shared" si="25"/>
        <v>#REF!</v>
      </c>
      <c r="G89" s="302" t="e">
        <f t="shared" si="26"/>
        <v>#REF!</v>
      </c>
      <c r="H89" s="302" t="e">
        <f t="shared" si="26"/>
        <v>#REF!</v>
      </c>
      <c r="I89" s="302" t="e">
        <f t="shared" si="26"/>
        <v>#REF!</v>
      </c>
      <c r="J89"/>
      <c r="K89"/>
      <c r="L89"/>
      <c r="M89"/>
      <c r="N89"/>
      <c r="O89"/>
      <c r="P89"/>
      <c r="Q89"/>
      <c r="R89"/>
      <c r="S89"/>
      <c r="T89"/>
      <c r="U89"/>
    </row>
    <row r="90" spans="1:23" ht="13.5" thickBot="1" x14ac:dyDescent="0.25">
      <c r="A90" s="550"/>
      <c r="B90" s="300" t="s">
        <v>102</v>
      </c>
      <c r="C90" s="304" t="e">
        <f t="shared" ref="C90:I90" si="27">SUM(C88:C89)</f>
        <v>#REF!</v>
      </c>
      <c r="D90" s="304" t="e">
        <f t="shared" si="27"/>
        <v>#REF!</v>
      </c>
      <c r="E90" s="304" t="e">
        <f t="shared" si="27"/>
        <v>#REF!</v>
      </c>
      <c r="F90" s="304" t="e">
        <f t="shared" si="27"/>
        <v>#REF!</v>
      </c>
      <c r="G90" s="304" t="e">
        <f t="shared" si="27"/>
        <v>#REF!</v>
      </c>
      <c r="H90" s="304" t="e">
        <f t="shared" si="27"/>
        <v>#REF!</v>
      </c>
      <c r="I90" s="304" t="e">
        <f t="shared" si="27"/>
        <v>#REF!</v>
      </c>
      <c r="J90"/>
      <c r="K90"/>
      <c r="L90"/>
      <c r="M90"/>
      <c r="N90"/>
      <c r="O90"/>
      <c r="P90"/>
      <c r="Q90"/>
      <c r="R90"/>
      <c r="S90"/>
      <c r="T90"/>
      <c r="U90"/>
    </row>
    <row r="91" spans="1:23" ht="16.5" customHeight="1" thickBot="1" x14ac:dyDescent="0.25">
      <c r="A91" s="550"/>
      <c r="B91" s="253" t="s">
        <v>103</v>
      </c>
      <c r="C91" s="252" t="e">
        <f t="shared" ref="C91:I91" si="28">IF(C87&gt;0,C87,C90)</f>
        <v>#REF!</v>
      </c>
      <c r="D91" s="252" t="e">
        <f t="shared" si="28"/>
        <v>#REF!</v>
      </c>
      <c r="E91" s="252" t="e">
        <f t="shared" si="28"/>
        <v>#REF!</v>
      </c>
      <c r="F91" s="252" t="e">
        <f t="shared" si="28"/>
        <v>#REF!</v>
      </c>
      <c r="G91" s="252" t="e">
        <f t="shared" si="28"/>
        <v>#REF!</v>
      </c>
      <c r="H91" s="252" t="e">
        <f t="shared" si="28"/>
        <v>#REF!</v>
      </c>
      <c r="I91" s="252" t="e">
        <f t="shared" si="28"/>
        <v>#REF!</v>
      </c>
      <c r="J91"/>
      <c r="K91"/>
      <c r="L91"/>
      <c r="M91"/>
      <c r="N91"/>
      <c r="O91"/>
      <c r="P91"/>
      <c r="Q91"/>
      <c r="R91"/>
      <c r="S91"/>
      <c r="T91"/>
      <c r="U91"/>
    </row>
    <row r="92" spans="1:23" s="5" customFormat="1" hidden="1" x14ac:dyDescent="0.2">
      <c r="A92" s="550"/>
      <c r="B92" s="141" t="s">
        <v>22</v>
      </c>
      <c r="C92" s="91"/>
      <c r="D92" s="91"/>
      <c r="E92" s="27">
        <v>68</v>
      </c>
      <c r="F92" s="27">
        <v>65</v>
      </c>
      <c r="G92" s="27">
        <v>66</v>
      </c>
      <c r="H92" s="91">
        <v>65</v>
      </c>
      <c r="I92" s="91">
        <v>65</v>
      </c>
      <c r="J92" s="267"/>
      <c r="K92" s="267"/>
      <c r="L92" s="267"/>
      <c r="M92" s="267"/>
      <c r="N92" s="267"/>
      <c r="O92" s="267"/>
      <c r="P92" s="267"/>
      <c r="Q92" s="267"/>
      <c r="R92" s="267"/>
      <c r="S92" s="267"/>
      <c r="T92" s="267"/>
      <c r="U92" s="267"/>
    </row>
    <row r="93" spans="1:23" s="5" customFormat="1" hidden="1" x14ac:dyDescent="0.2">
      <c r="A93" s="550"/>
      <c r="B93" s="142" t="s">
        <v>73</v>
      </c>
      <c r="C93" s="30"/>
      <c r="D93" s="30"/>
      <c r="E93" s="171">
        <v>31</v>
      </c>
      <c r="F93" s="171">
        <v>30</v>
      </c>
      <c r="G93" s="171">
        <v>31</v>
      </c>
      <c r="H93" s="91">
        <v>30</v>
      </c>
      <c r="I93" s="91">
        <v>31</v>
      </c>
      <c r="J93" s="267"/>
      <c r="K93" s="267"/>
      <c r="L93" s="267"/>
      <c r="M93" s="267"/>
      <c r="N93" s="267"/>
      <c r="O93" s="267"/>
      <c r="P93" s="267"/>
      <c r="Q93" s="267"/>
      <c r="R93" s="267"/>
      <c r="S93" s="267"/>
      <c r="T93" s="267"/>
      <c r="U93" s="267"/>
    </row>
    <row r="94" spans="1:23" s="170" customFormat="1" ht="4.5" hidden="1" customHeight="1" x14ac:dyDescent="0.2">
      <c r="A94" s="550"/>
      <c r="B94" s="168"/>
      <c r="C94" s="169"/>
      <c r="D94" s="169"/>
      <c r="E94" s="169"/>
      <c r="F94" s="169"/>
      <c r="G94" s="169"/>
      <c r="J94" s="267"/>
      <c r="K94" s="267"/>
      <c r="L94" s="267"/>
      <c r="M94" s="267"/>
      <c r="N94" s="267"/>
      <c r="O94" s="267"/>
      <c r="P94" s="267"/>
      <c r="Q94" s="267"/>
      <c r="R94" s="267"/>
      <c r="S94" s="267"/>
      <c r="T94" s="267"/>
      <c r="U94" s="267"/>
    </row>
    <row r="95" spans="1:23" s="174" customFormat="1" hidden="1" x14ac:dyDescent="0.2">
      <c r="A95" s="550"/>
      <c r="B95" s="172" t="s">
        <v>74</v>
      </c>
      <c r="C95" s="173"/>
      <c r="D95" s="173"/>
      <c r="E95" s="173">
        <v>42.37</v>
      </c>
      <c r="F95" s="173">
        <v>52.33</v>
      </c>
      <c r="G95" s="173">
        <v>52.33</v>
      </c>
      <c r="H95" s="173">
        <v>52.33</v>
      </c>
      <c r="I95" s="173">
        <v>52.33</v>
      </c>
      <c r="J95" s="268">
        <v>52.33</v>
      </c>
      <c r="K95" s="268">
        <v>52.33</v>
      </c>
      <c r="L95" s="269"/>
      <c r="M95" s="269"/>
      <c r="N95" s="269"/>
      <c r="O95" s="269"/>
      <c r="P95" s="269"/>
      <c r="Q95" s="269"/>
      <c r="R95" s="269"/>
      <c r="S95" s="269"/>
      <c r="T95" s="269"/>
      <c r="U95" s="269"/>
    </row>
    <row r="96" spans="1:23" s="182" customFormat="1" hidden="1" x14ac:dyDescent="0.2">
      <c r="A96" s="550"/>
      <c r="B96" s="181" t="s">
        <v>75</v>
      </c>
      <c r="C96" s="4">
        <v>1313.47</v>
      </c>
      <c r="D96" s="4">
        <v>1186</v>
      </c>
      <c r="E96" s="4">
        <f t="shared" ref="E96:K96" si="29">E95*E93</f>
        <v>1313.47</v>
      </c>
      <c r="F96" s="4">
        <f t="shared" si="29"/>
        <v>1569.8999999999999</v>
      </c>
      <c r="G96" s="4">
        <f t="shared" si="29"/>
        <v>1622.23</v>
      </c>
      <c r="H96" s="4">
        <f t="shared" si="29"/>
        <v>1569.8999999999999</v>
      </c>
      <c r="I96" s="4">
        <f t="shared" si="29"/>
        <v>1622.23</v>
      </c>
      <c r="J96" s="270">
        <f t="shared" si="29"/>
        <v>0</v>
      </c>
      <c r="K96" s="270">
        <f t="shared" si="29"/>
        <v>0</v>
      </c>
      <c r="L96" s="115"/>
      <c r="M96" s="115"/>
      <c r="N96" s="115"/>
      <c r="O96" s="115"/>
      <c r="P96" s="115"/>
      <c r="Q96" s="115"/>
      <c r="R96" s="115"/>
      <c r="S96" s="115"/>
      <c r="T96" s="115"/>
      <c r="U96" s="115"/>
    </row>
    <row r="97" spans="1:21" s="31" customFormat="1" hidden="1" x14ac:dyDescent="0.2">
      <c r="A97" s="550"/>
      <c r="B97" s="120" t="s">
        <v>24</v>
      </c>
      <c r="C97" s="180">
        <v>2.71</v>
      </c>
      <c r="D97" s="180">
        <v>2.71</v>
      </c>
      <c r="E97" s="180">
        <v>2.71</v>
      </c>
      <c r="F97" s="180">
        <v>3.35</v>
      </c>
      <c r="G97" s="180">
        <v>3.35</v>
      </c>
      <c r="H97" s="180">
        <v>3.35</v>
      </c>
      <c r="I97" s="180">
        <v>3.35</v>
      </c>
      <c r="J97" s="180">
        <v>3.35</v>
      </c>
      <c r="K97" s="180">
        <v>3.35</v>
      </c>
    </row>
    <row r="98" spans="1:21" s="177" customFormat="1" hidden="1" x14ac:dyDescent="0.2">
      <c r="A98" s="550"/>
      <c r="B98" s="175" t="s">
        <v>25</v>
      </c>
      <c r="C98" s="176">
        <v>98756.14</v>
      </c>
      <c r="D98" s="176">
        <v>98756.14</v>
      </c>
      <c r="E98" s="176" t="e">
        <f t="shared" ref="E98:K98" si="30">E75*E97</f>
        <v>#REF!</v>
      </c>
      <c r="F98" s="176" t="e">
        <f t="shared" si="30"/>
        <v>#REF!</v>
      </c>
      <c r="G98" s="176" t="e">
        <f t="shared" si="30"/>
        <v>#REF!</v>
      </c>
      <c r="H98" s="176" t="e">
        <f t="shared" si="30"/>
        <v>#REF!</v>
      </c>
      <c r="I98" s="176" t="e">
        <f t="shared" si="30"/>
        <v>#REF!</v>
      </c>
      <c r="J98" s="271">
        <f t="shared" si="30"/>
        <v>0</v>
      </c>
      <c r="K98" s="271">
        <f t="shared" si="30"/>
        <v>0</v>
      </c>
      <c r="L98" s="272"/>
      <c r="M98" s="272"/>
      <c r="N98" s="272"/>
      <c r="O98" s="272"/>
      <c r="P98" s="272"/>
      <c r="Q98" s="272"/>
      <c r="R98" s="272"/>
      <c r="S98" s="272"/>
      <c r="T98" s="272"/>
      <c r="U98" s="272"/>
    </row>
    <row r="99" spans="1:21" s="31" customFormat="1" hidden="1" x14ac:dyDescent="0.2">
      <c r="A99" s="550"/>
      <c r="B99" s="23" t="s">
        <v>7</v>
      </c>
      <c r="C99" s="3">
        <v>5.44</v>
      </c>
      <c r="D99" s="3">
        <v>5.44</v>
      </c>
      <c r="E99" s="3">
        <v>5.44</v>
      </c>
      <c r="F99" s="3">
        <v>6.72</v>
      </c>
      <c r="G99" s="3">
        <v>6.72</v>
      </c>
      <c r="H99" s="3">
        <v>6.72</v>
      </c>
      <c r="I99" s="3">
        <v>6.72</v>
      </c>
      <c r="J99" s="3">
        <v>6.72</v>
      </c>
      <c r="K99" s="3">
        <v>6.72</v>
      </c>
    </row>
    <row r="100" spans="1:21" s="177" customFormat="1" hidden="1" x14ac:dyDescent="0.2">
      <c r="A100" s="550"/>
      <c r="B100" s="175" t="s">
        <v>10</v>
      </c>
      <c r="C100" s="178">
        <v>198241.11</v>
      </c>
      <c r="D100" s="178" t="e">
        <f t="shared" ref="D100:K100" si="31">D99*D75</f>
        <v>#REF!</v>
      </c>
      <c r="E100" s="178" t="e">
        <f t="shared" si="31"/>
        <v>#REF!</v>
      </c>
      <c r="F100" s="178" t="e">
        <f t="shared" si="31"/>
        <v>#REF!</v>
      </c>
      <c r="G100" s="178" t="e">
        <f t="shared" si="31"/>
        <v>#REF!</v>
      </c>
      <c r="H100" s="178" t="e">
        <f t="shared" si="31"/>
        <v>#REF!</v>
      </c>
      <c r="I100" s="178" t="e">
        <f t="shared" si="31"/>
        <v>#REF!</v>
      </c>
      <c r="J100" s="293">
        <f t="shared" si="31"/>
        <v>0</v>
      </c>
      <c r="K100" s="293">
        <f t="shared" si="31"/>
        <v>0</v>
      </c>
      <c r="L100" s="272"/>
      <c r="M100" s="272"/>
      <c r="N100" s="272"/>
      <c r="O100" s="272"/>
      <c r="P100" s="272"/>
      <c r="Q100" s="272"/>
      <c r="R100" s="272"/>
      <c r="S100" s="272"/>
      <c r="T100" s="272"/>
      <c r="U100" s="272"/>
    </row>
    <row r="101" spans="1:21" s="31" customFormat="1" hidden="1" x14ac:dyDescent="0.2">
      <c r="A101" s="550"/>
      <c r="B101" s="23" t="s">
        <v>8</v>
      </c>
      <c r="C101" s="3">
        <v>10.31</v>
      </c>
      <c r="D101" s="3">
        <v>10.31</v>
      </c>
      <c r="E101" s="3">
        <v>10.31</v>
      </c>
      <c r="F101" s="3">
        <v>12.73</v>
      </c>
      <c r="G101" s="3">
        <v>12.73</v>
      </c>
      <c r="H101" s="3">
        <v>12.73</v>
      </c>
      <c r="I101" s="3">
        <v>12.73</v>
      </c>
      <c r="J101" s="3">
        <v>12.73</v>
      </c>
      <c r="K101" s="3">
        <v>12.73</v>
      </c>
    </row>
    <row r="102" spans="1:21" s="208" customFormat="1" ht="13.5" hidden="1" thickBot="1" x14ac:dyDescent="0.25">
      <c r="A102" s="550"/>
      <c r="B102" s="206" t="s">
        <v>2</v>
      </c>
      <c r="C102" s="207" t="e">
        <f t="shared" ref="C102:K102" si="32">C101*MAX(C81:C82)</f>
        <v>#REF!</v>
      </c>
      <c r="D102" s="207" t="e">
        <f t="shared" si="32"/>
        <v>#REF!</v>
      </c>
      <c r="E102" s="207" t="e">
        <f t="shared" si="32"/>
        <v>#REF!</v>
      </c>
      <c r="F102" s="207" t="e">
        <f t="shared" si="32"/>
        <v>#REF!</v>
      </c>
      <c r="G102" s="207" t="e">
        <f t="shared" si="32"/>
        <v>#REF!</v>
      </c>
      <c r="H102" s="207" t="e">
        <f t="shared" si="32"/>
        <v>#REF!</v>
      </c>
      <c r="I102" s="207" t="e">
        <f t="shared" si="32"/>
        <v>#REF!</v>
      </c>
      <c r="J102" s="294">
        <f t="shared" si="32"/>
        <v>0</v>
      </c>
      <c r="K102" s="294">
        <f t="shared" si="32"/>
        <v>0</v>
      </c>
      <c r="L102" s="274"/>
      <c r="M102" s="274"/>
      <c r="N102" s="274"/>
      <c r="O102" s="274"/>
      <c r="P102" s="274"/>
      <c r="Q102" s="274"/>
      <c r="R102" s="274"/>
      <c r="S102" s="274"/>
      <c r="T102" s="274"/>
      <c r="U102" s="274"/>
    </row>
    <row r="103" spans="1:21" s="31" customFormat="1" hidden="1" x14ac:dyDescent="0.2">
      <c r="A103" s="550"/>
      <c r="B103" s="120" t="s">
        <v>29</v>
      </c>
      <c r="C103" s="112"/>
      <c r="D103" s="112"/>
      <c r="E103" s="112"/>
      <c r="F103" s="112"/>
      <c r="G103" s="112"/>
      <c r="H103" s="65"/>
      <c r="I103" s="65"/>
      <c r="J103" s="65"/>
      <c r="K103" s="112">
        <f>K240</f>
        <v>0</v>
      </c>
    </row>
    <row r="104" spans="1:21" s="34" customFormat="1" hidden="1" x14ac:dyDescent="0.2">
      <c r="A104" s="550"/>
      <c r="B104" s="25" t="s">
        <v>60</v>
      </c>
      <c r="C104" s="14" t="e">
        <f>C103*C76</f>
        <v>#REF!</v>
      </c>
      <c r="D104" s="14" t="e">
        <f>D103*D76</f>
        <v>#REF!</v>
      </c>
      <c r="E104" s="14" t="e">
        <f>E103*E76</f>
        <v>#REF!</v>
      </c>
      <c r="F104" s="14" t="e">
        <f>F103*F76</f>
        <v>#REF!</v>
      </c>
      <c r="G104" s="14" t="e">
        <f>G103*G76</f>
        <v>#REF!</v>
      </c>
      <c r="H104" s="116"/>
      <c r="I104" s="116"/>
      <c r="J104" s="116"/>
      <c r="K104" s="270">
        <f>K103*K76</f>
        <v>0</v>
      </c>
      <c r="L104" s="31"/>
      <c r="M104" s="31"/>
      <c r="N104" s="31"/>
      <c r="O104" s="31"/>
      <c r="P104" s="31"/>
      <c r="Q104" s="31"/>
      <c r="R104" s="31"/>
      <c r="S104" s="31"/>
      <c r="T104" s="31"/>
      <c r="U104" s="31"/>
    </row>
    <row r="105" spans="1:21" s="31" customFormat="1" x14ac:dyDescent="0.2">
      <c r="A105" s="550"/>
      <c r="B105" s="23" t="s">
        <v>30</v>
      </c>
      <c r="C105" s="112">
        <v>0.19769999999999999</v>
      </c>
      <c r="D105" s="112">
        <v>0.19769999999999999</v>
      </c>
      <c r="E105" s="112">
        <v>0.19769999999999999</v>
      </c>
      <c r="F105" s="112">
        <v>0.19769999999999999</v>
      </c>
      <c r="G105" s="112">
        <v>0.19769999999999999</v>
      </c>
      <c r="H105" s="112">
        <v>0.19769999999999999</v>
      </c>
      <c r="I105" s="112">
        <v>0.19769999999999999</v>
      </c>
      <c r="J105" s="112">
        <v>0.19769999999999999</v>
      </c>
      <c r="K105" s="114"/>
    </row>
    <row r="106" spans="1:21" s="35" customFormat="1" x14ac:dyDescent="0.2">
      <c r="A106" s="550"/>
      <c r="B106" s="24" t="s">
        <v>61</v>
      </c>
      <c r="C106" s="33" t="e">
        <f t="shared" ref="C106:J106" si="33">C105*C76</f>
        <v>#REF!</v>
      </c>
      <c r="D106" s="33" t="e">
        <f t="shared" si="33"/>
        <v>#REF!</v>
      </c>
      <c r="E106" s="33" t="e">
        <f t="shared" si="33"/>
        <v>#REF!</v>
      </c>
      <c r="F106" s="33" t="e">
        <f t="shared" si="33"/>
        <v>#REF!</v>
      </c>
      <c r="G106" s="33" t="e">
        <f t="shared" si="33"/>
        <v>#REF!</v>
      </c>
      <c r="H106" s="33" t="e">
        <f t="shared" si="33"/>
        <v>#REF!</v>
      </c>
      <c r="I106" s="33" t="e">
        <f t="shared" si="33"/>
        <v>#REF!</v>
      </c>
      <c r="J106" s="275">
        <f t="shared" si="33"/>
        <v>0</v>
      </c>
      <c r="K106" s="115"/>
      <c r="L106" s="31"/>
      <c r="M106" s="31"/>
      <c r="N106" s="31"/>
      <c r="O106" s="31"/>
      <c r="P106" s="31"/>
      <c r="Q106" s="31"/>
      <c r="R106" s="31"/>
      <c r="S106" s="31"/>
      <c r="T106" s="31"/>
      <c r="U106" s="31"/>
    </row>
    <row r="107" spans="1:21" s="31" customFormat="1" hidden="1" x14ac:dyDescent="0.2">
      <c r="A107" s="550"/>
      <c r="B107" s="23" t="s">
        <v>31</v>
      </c>
      <c r="C107" s="112"/>
      <c r="D107" s="112"/>
      <c r="E107" s="112"/>
      <c r="F107" s="112"/>
      <c r="G107" s="112"/>
      <c r="H107" s="117"/>
      <c r="I107" s="117"/>
      <c r="J107" s="117"/>
      <c r="K107" s="112">
        <f>K244</f>
        <v>0</v>
      </c>
    </row>
    <row r="108" spans="1:21" s="34" customFormat="1" hidden="1" x14ac:dyDescent="0.2">
      <c r="A108" s="550"/>
      <c r="B108" s="25" t="s">
        <v>62</v>
      </c>
      <c r="C108" s="14" t="e">
        <f>C107*C78</f>
        <v>#REF!</v>
      </c>
      <c r="D108" s="14" t="e">
        <f>D107*D78</f>
        <v>#REF!</v>
      </c>
      <c r="E108" s="14" t="e">
        <f>E107*E78</f>
        <v>#REF!</v>
      </c>
      <c r="F108" s="14" t="e">
        <f>F107*F78</f>
        <v>#REF!</v>
      </c>
      <c r="G108" s="14" t="e">
        <f>G107*G78</f>
        <v>#REF!</v>
      </c>
      <c r="H108" s="116"/>
      <c r="I108" s="116"/>
      <c r="J108" s="116"/>
      <c r="K108" s="270">
        <f>K107*K78</f>
        <v>0</v>
      </c>
      <c r="L108" s="31"/>
      <c r="M108" s="31"/>
      <c r="N108" s="31"/>
      <c r="O108" s="31"/>
      <c r="P108" s="31"/>
      <c r="Q108" s="31"/>
      <c r="R108" s="31"/>
      <c r="S108" s="31"/>
      <c r="T108" s="31"/>
      <c r="U108" s="31"/>
    </row>
    <row r="109" spans="1:21" s="31" customFormat="1" x14ac:dyDescent="0.2">
      <c r="A109" s="550"/>
      <c r="B109" s="23" t="s">
        <v>32</v>
      </c>
      <c r="C109" s="1">
        <v>1.4238</v>
      </c>
      <c r="D109" s="1">
        <v>1.4238</v>
      </c>
      <c r="E109" s="1">
        <v>1.4238</v>
      </c>
      <c r="F109" s="1">
        <v>1.4238</v>
      </c>
      <c r="G109" s="1">
        <v>1.4238</v>
      </c>
      <c r="H109" s="1">
        <v>1.4238</v>
      </c>
      <c r="I109" s="1">
        <v>1.4238</v>
      </c>
      <c r="J109" s="1">
        <v>1.4238</v>
      </c>
      <c r="K109" s="114"/>
    </row>
    <row r="110" spans="1:21" s="35" customFormat="1" x14ac:dyDescent="0.2">
      <c r="A110" s="550"/>
      <c r="B110" s="24" t="s">
        <v>63</v>
      </c>
      <c r="C110" s="113" t="e">
        <f t="shared" ref="C110:J110" si="34">C109*C78</f>
        <v>#REF!</v>
      </c>
      <c r="D110" s="113" t="e">
        <f t="shared" si="34"/>
        <v>#REF!</v>
      </c>
      <c r="E110" s="113" t="e">
        <f t="shared" si="34"/>
        <v>#REF!</v>
      </c>
      <c r="F110" s="113" t="e">
        <f t="shared" si="34"/>
        <v>#REF!</v>
      </c>
      <c r="G110" s="113" t="e">
        <f t="shared" si="34"/>
        <v>#REF!</v>
      </c>
      <c r="H110" s="113" t="e">
        <f t="shared" si="34"/>
        <v>#REF!</v>
      </c>
      <c r="I110" s="113" t="e">
        <f t="shared" si="34"/>
        <v>#REF!</v>
      </c>
      <c r="J110" s="276">
        <f t="shared" si="34"/>
        <v>0</v>
      </c>
      <c r="K110" s="115"/>
      <c r="L110" s="31"/>
      <c r="M110" s="31"/>
      <c r="N110" s="31"/>
      <c r="O110" s="31"/>
      <c r="P110" s="31"/>
      <c r="Q110" s="31"/>
      <c r="R110" s="31"/>
      <c r="S110" s="31"/>
      <c r="T110" s="31"/>
      <c r="U110" s="31"/>
    </row>
    <row r="111" spans="1:21" s="31" customFormat="1" hidden="1" x14ac:dyDescent="0.2">
      <c r="A111" s="550"/>
      <c r="B111" s="23" t="s">
        <v>79</v>
      </c>
      <c r="C111" s="112"/>
      <c r="D111" s="1"/>
      <c r="E111" s="1"/>
      <c r="F111" s="1"/>
      <c r="G111" s="1"/>
      <c r="H111" s="117"/>
      <c r="I111" s="117"/>
      <c r="J111" s="117"/>
      <c r="K111" s="1">
        <f>K248</f>
        <v>0</v>
      </c>
    </row>
    <row r="112" spans="1:21" s="34" customFormat="1" hidden="1" x14ac:dyDescent="0.2">
      <c r="A112" s="550"/>
      <c r="B112" s="25" t="s">
        <v>64</v>
      </c>
      <c r="C112" s="14" t="e">
        <f>C111*C77</f>
        <v>#REF!</v>
      </c>
      <c r="D112" s="14" t="e">
        <f>D111*D77</f>
        <v>#REF!</v>
      </c>
      <c r="E112" s="14" t="e">
        <f>E111*E77</f>
        <v>#REF!</v>
      </c>
      <c r="F112" s="14" t="e">
        <f>F111*F77</f>
        <v>#REF!</v>
      </c>
      <c r="G112" s="14" t="e">
        <f>G111*G77</f>
        <v>#REF!</v>
      </c>
      <c r="H112" s="118"/>
      <c r="I112" s="118"/>
      <c r="J112" s="118"/>
      <c r="K112" s="270">
        <f>K111*K77</f>
        <v>0</v>
      </c>
      <c r="L112" s="31"/>
      <c r="M112" s="31"/>
      <c r="N112" s="31"/>
      <c r="O112" s="31"/>
      <c r="P112" s="31"/>
      <c r="Q112" s="31"/>
      <c r="R112" s="31"/>
      <c r="S112" s="31"/>
      <c r="T112" s="31"/>
      <c r="U112" s="31"/>
    </row>
    <row r="113" spans="1:23" s="31" customFormat="1" x14ac:dyDescent="0.2">
      <c r="A113" s="550"/>
      <c r="B113" s="53" t="s">
        <v>33</v>
      </c>
      <c r="C113" s="1">
        <v>0.37009999999999998</v>
      </c>
      <c r="D113" s="1">
        <v>0.37009999999999998</v>
      </c>
      <c r="E113" s="1">
        <v>0.37009999999999998</v>
      </c>
      <c r="F113" s="1">
        <v>0.37009999999999998</v>
      </c>
      <c r="G113" s="1">
        <v>0.37009999999999998</v>
      </c>
      <c r="H113" s="1">
        <v>0.37009999999999998</v>
      </c>
      <c r="I113" s="1">
        <v>0.37009999999999998</v>
      </c>
      <c r="J113" s="1">
        <v>0.37009999999999998</v>
      </c>
      <c r="K113" s="114"/>
    </row>
    <row r="114" spans="1:23" s="55" customFormat="1" ht="13.5" thickBot="1" x14ac:dyDescent="0.25">
      <c r="A114" s="550"/>
      <c r="B114" s="56" t="s">
        <v>65</v>
      </c>
      <c r="C114" s="247" t="e">
        <f t="shared" ref="C114:J114" si="35">C113*C77</f>
        <v>#REF!</v>
      </c>
      <c r="D114" s="247" t="e">
        <f t="shared" si="35"/>
        <v>#REF!</v>
      </c>
      <c r="E114" s="247" t="e">
        <f t="shared" si="35"/>
        <v>#REF!</v>
      </c>
      <c r="F114" s="247" t="e">
        <f t="shared" si="35"/>
        <v>#REF!</v>
      </c>
      <c r="G114" s="247" t="e">
        <f t="shared" si="35"/>
        <v>#REF!</v>
      </c>
      <c r="H114" s="247" t="e">
        <f t="shared" si="35"/>
        <v>#REF!</v>
      </c>
      <c r="I114" s="247" t="e">
        <f t="shared" si="35"/>
        <v>#REF!</v>
      </c>
      <c r="J114" s="277">
        <f t="shared" si="35"/>
        <v>0</v>
      </c>
      <c r="K114" s="122"/>
      <c r="L114" s="122"/>
      <c r="M114" s="122"/>
      <c r="N114" s="122"/>
      <c r="O114" s="122"/>
      <c r="P114" s="122"/>
      <c r="Q114" s="122"/>
      <c r="R114" s="122"/>
      <c r="S114" s="122"/>
      <c r="T114" s="122"/>
      <c r="U114" s="122"/>
      <c r="V114" s="121"/>
      <c r="W114" s="121"/>
    </row>
    <row r="115" spans="1:23" s="123" customFormat="1" x14ac:dyDescent="0.2">
      <c r="A115" s="550"/>
      <c r="B115" s="255" t="s">
        <v>104</v>
      </c>
      <c r="C115" s="85" t="e">
        <f t="shared" ref="C115:H115" si="36">C91</f>
        <v>#REF!</v>
      </c>
      <c r="D115" s="85" t="e">
        <f t="shared" si="36"/>
        <v>#REF!</v>
      </c>
      <c r="E115" s="85" t="e">
        <f t="shared" si="36"/>
        <v>#REF!</v>
      </c>
      <c r="F115" s="85" t="e">
        <f t="shared" si="36"/>
        <v>#REF!</v>
      </c>
      <c r="G115" s="85" t="e">
        <f t="shared" si="36"/>
        <v>#REF!</v>
      </c>
      <c r="H115" s="85" t="e">
        <f t="shared" si="36"/>
        <v>#REF!</v>
      </c>
      <c r="I115" s="85" t="e">
        <f>I91</f>
        <v>#REF!</v>
      </c>
      <c r="J115" s="256"/>
      <c r="K115" s="248"/>
      <c r="L115" s="248"/>
      <c r="M115" s="248"/>
      <c r="N115" s="248"/>
      <c r="O115" s="248"/>
      <c r="P115" s="248"/>
      <c r="Q115" s="248"/>
      <c r="R115" s="248"/>
      <c r="S115" s="248"/>
      <c r="T115" s="248"/>
      <c r="U115" s="248"/>
    </row>
    <row r="116" spans="1:23" s="1" customFormat="1" x14ac:dyDescent="0.2">
      <c r="A116" s="550"/>
      <c r="B116" s="254" t="s">
        <v>105</v>
      </c>
      <c r="C116" s="119">
        <v>5.8900000000000001E-2</v>
      </c>
      <c r="D116" s="119">
        <v>5.8900000000000001E-2</v>
      </c>
      <c r="E116" s="119">
        <v>5.8900000000000001E-2</v>
      </c>
      <c r="F116" s="119">
        <v>5.8900000000000001E-2</v>
      </c>
      <c r="G116" s="119">
        <v>5.8900000000000001E-2</v>
      </c>
      <c r="H116" s="119">
        <v>5.8900000000000001E-2</v>
      </c>
      <c r="I116" s="119">
        <v>5.8900000000000001E-2</v>
      </c>
      <c r="J116" s="119">
        <v>5.8900000000000001E-2</v>
      </c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</row>
    <row r="117" spans="1:23" s="55" customFormat="1" ht="13.5" thickBot="1" x14ac:dyDescent="0.25">
      <c r="A117" s="550"/>
      <c r="B117" s="246" t="s">
        <v>106</v>
      </c>
      <c r="C117" s="54" t="e">
        <f t="shared" ref="C117:I117" si="37">C116*C115</f>
        <v>#REF!</v>
      </c>
      <c r="D117" s="54" t="e">
        <f t="shared" si="37"/>
        <v>#REF!</v>
      </c>
      <c r="E117" s="54" t="e">
        <f t="shared" si="37"/>
        <v>#REF!</v>
      </c>
      <c r="F117" s="54" t="e">
        <f t="shared" si="37"/>
        <v>#REF!</v>
      </c>
      <c r="G117" s="54" t="e">
        <f t="shared" si="37"/>
        <v>#REF!</v>
      </c>
      <c r="H117" s="54" t="e">
        <f t="shared" si="37"/>
        <v>#REF!</v>
      </c>
      <c r="I117" s="54" t="e">
        <f t="shared" si="37"/>
        <v>#REF!</v>
      </c>
      <c r="J117" s="278">
        <f>J116*J87</f>
        <v>0</v>
      </c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122"/>
      <c r="V117" s="121"/>
      <c r="W117" s="121"/>
    </row>
    <row r="118" spans="1:23" s="43" customFormat="1" hidden="1" x14ac:dyDescent="0.2">
      <c r="A118" s="550"/>
      <c r="B118" s="52" t="s">
        <v>3</v>
      </c>
      <c r="C118" s="91"/>
      <c r="D118" s="91"/>
      <c r="E118" s="91"/>
      <c r="F118" s="91"/>
      <c r="G118" s="91"/>
      <c r="H118" s="91"/>
      <c r="I118" s="91"/>
      <c r="J118" s="180"/>
      <c r="K118" s="180"/>
      <c r="L118" s="31"/>
      <c r="M118" s="31"/>
      <c r="N118" s="31"/>
      <c r="O118" s="31"/>
      <c r="P118" s="31"/>
      <c r="Q118" s="31"/>
      <c r="R118" s="31"/>
      <c r="S118" s="31"/>
      <c r="T118" s="31"/>
      <c r="U118" s="31"/>
    </row>
    <row r="119" spans="1:23" s="43" customFormat="1" hidden="1" x14ac:dyDescent="0.2">
      <c r="A119" s="550"/>
      <c r="B119" s="22" t="s">
        <v>23</v>
      </c>
      <c r="C119" s="91"/>
      <c r="D119" s="91"/>
      <c r="E119" s="91"/>
      <c r="F119" s="91"/>
      <c r="G119" s="91"/>
      <c r="H119" s="91"/>
      <c r="I119" s="91"/>
      <c r="J119" s="180"/>
      <c r="K119" s="180"/>
      <c r="L119" s="31"/>
      <c r="M119" s="31"/>
      <c r="N119" s="31"/>
      <c r="O119" s="31"/>
      <c r="P119" s="31"/>
      <c r="Q119" s="31"/>
      <c r="R119" s="31"/>
      <c r="S119" s="31"/>
      <c r="T119" s="31"/>
      <c r="U119" s="31"/>
    </row>
    <row r="120" spans="1:23" s="31" customFormat="1" ht="12" hidden="1" customHeight="1" x14ac:dyDescent="0.2">
      <c r="A120" s="550"/>
      <c r="B120" s="23" t="s">
        <v>9</v>
      </c>
      <c r="C120" s="1">
        <v>2.5000000000000001E-2</v>
      </c>
      <c r="D120" s="1">
        <v>2.5000000000000001E-2</v>
      </c>
      <c r="E120" s="1">
        <v>2.5000000000000001E-2</v>
      </c>
      <c r="F120" s="1">
        <v>3.09E-2</v>
      </c>
      <c r="G120" s="1">
        <v>3.09E-2</v>
      </c>
      <c r="H120" s="1">
        <v>3.09E-2</v>
      </c>
      <c r="I120" s="1">
        <v>3.09E-2</v>
      </c>
      <c r="J120" s="1">
        <v>3.09E-2</v>
      </c>
      <c r="K120" s="1">
        <v>3.09E-2</v>
      </c>
    </row>
    <row r="121" spans="1:23" s="43" customFormat="1" hidden="1" x14ac:dyDescent="0.2">
      <c r="A121" s="550"/>
      <c r="B121" s="22" t="s">
        <v>11</v>
      </c>
      <c r="C121" s="4">
        <v>399765.25</v>
      </c>
      <c r="D121" s="4" t="e">
        <f t="shared" ref="D121:K121" si="38">D120*D79</f>
        <v>#REF!</v>
      </c>
      <c r="E121" s="4" t="e">
        <f t="shared" si="38"/>
        <v>#REF!</v>
      </c>
      <c r="F121" s="4" t="e">
        <f t="shared" si="38"/>
        <v>#REF!</v>
      </c>
      <c r="G121" s="4" t="e">
        <f t="shared" si="38"/>
        <v>#REF!</v>
      </c>
      <c r="H121" s="4" t="e">
        <f t="shared" si="38"/>
        <v>#REF!</v>
      </c>
      <c r="I121" s="4" t="e">
        <f t="shared" si="38"/>
        <v>#REF!</v>
      </c>
      <c r="J121" s="270">
        <f t="shared" si="38"/>
        <v>0</v>
      </c>
      <c r="K121" s="270">
        <f t="shared" si="38"/>
        <v>0</v>
      </c>
      <c r="L121" s="31"/>
      <c r="M121" s="31"/>
      <c r="N121" s="31"/>
      <c r="O121" s="31"/>
      <c r="P121" s="31"/>
      <c r="Q121" s="31"/>
      <c r="R121" s="31"/>
      <c r="S121" s="31"/>
      <c r="T121" s="31"/>
      <c r="U121" s="31"/>
    </row>
    <row r="122" spans="1:23" s="31" customFormat="1" hidden="1" x14ac:dyDescent="0.2">
      <c r="A122" s="550"/>
      <c r="B122" s="23" t="s">
        <v>26</v>
      </c>
      <c r="C122" s="49">
        <v>1.9699999999999999E-2</v>
      </c>
      <c r="D122" s="49">
        <v>1.9699999999999999E-2</v>
      </c>
      <c r="E122" s="49">
        <v>1.9699999999999999E-2</v>
      </c>
      <c r="F122" s="49">
        <v>0.02</v>
      </c>
      <c r="G122" s="49">
        <v>0.02</v>
      </c>
      <c r="H122" s="49">
        <v>0.02</v>
      </c>
      <c r="I122" s="49">
        <v>0.02</v>
      </c>
      <c r="J122" s="49">
        <v>0.02</v>
      </c>
      <c r="K122" s="49">
        <v>0.02</v>
      </c>
    </row>
    <row r="123" spans="1:23" s="43" customFormat="1" hidden="1" x14ac:dyDescent="0.2">
      <c r="A123" s="550"/>
      <c r="B123" s="22" t="s">
        <v>27</v>
      </c>
      <c r="C123" s="126">
        <v>315015.02</v>
      </c>
      <c r="D123" s="126" t="e">
        <f t="shared" ref="D123:K123" si="39">D122*D79</f>
        <v>#REF!</v>
      </c>
      <c r="E123" s="126" t="e">
        <f t="shared" si="39"/>
        <v>#REF!</v>
      </c>
      <c r="F123" s="126" t="e">
        <f t="shared" si="39"/>
        <v>#REF!</v>
      </c>
      <c r="G123" s="126" t="e">
        <f t="shared" si="39"/>
        <v>#REF!</v>
      </c>
      <c r="H123" s="126" t="e">
        <f t="shared" si="39"/>
        <v>#REF!</v>
      </c>
      <c r="I123" s="126" t="e">
        <f t="shared" si="39"/>
        <v>#REF!</v>
      </c>
      <c r="J123" s="279">
        <f t="shared" si="39"/>
        <v>0</v>
      </c>
      <c r="K123" s="279">
        <f t="shared" si="39"/>
        <v>0</v>
      </c>
      <c r="L123" s="31"/>
      <c r="M123" s="31"/>
      <c r="N123" s="31"/>
      <c r="O123" s="31"/>
      <c r="P123" s="31"/>
      <c r="Q123" s="31"/>
      <c r="R123" s="31"/>
      <c r="S123" s="31"/>
      <c r="T123" s="31"/>
      <c r="U123" s="31"/>
    </row>
    <row r="124" spans="1:23" s="46" customFormat="1" ht="13.5" hidden="1" thickBot="1" x14ac:dyDescent="0.25">
      <c r="A124" s="550"/>
      <c r="B124" s="44" t="s">
        <v>4</v>
      </c>
      <c r="C124" s="45"/>
      <c r="D124" s="45"/>
      <c r="E124" s="45"/>
      <c r="F124" s="45"/>
      <c r="G124" s="45"/>
      <c r="H124" s="45"/>
      <c r="I124" s="45"/>
      <c r="J124" s="278"/>
      <c r="K124" s="278"/>
      <c r="L124" s="122"/>
      <c r="M124" s="122"/>
      <c r="N124" s="122"/>
      <c r="O124" s="122"/>
      <c r="P124" s="122"/>
      <c r="Q124" s="122"/>
      <c r="R124" s="122"/>
      <c r="S124" s="122"/>
      <c r="T124" s="122"/>
      <c r="U124" s="122"/>
    </row>
    <row r="125" spans="1:23" s="42" customFormat="1" ht="13.5" hidden="1" thickBot="1" x14ac:dyDescent="0.25">
      <c r="A125" s="550"/>
      <c r="B125" s="40" t="s">
        <v>51</v>
      </c>
      <c r="C125" s="41"/>
      <c r="D125" s="41"/>
      <c r="E125" s="41">
        <v>546312.4</v>
      </c>
      <c r="F125" s="41">
        <v>616258.97</v>
      </c>
      <c r="G125" s="41">
        <v>608454.79</v>
      </c>
      <c r="H125" s="41">
        <v>962235.47</v>
      </c>
      <c r="I125" s="41">
        <v>965180.58</v>
      </c>
      <c r="J125" s="295"/>
      <c r="K125" s="295"/>
      <c r="L125" s="296"/>
      <c r="M125" s="296"/>
      <c r="N125" s="296"/>
      <c r="O125" s="296"/>
      <c r="P125" s="296"/>
      <c r="Q125" s="296"/>
      <c r="R125" s="296"/>
      <c r="S125" s="296"/>
      <c r="T125" s="296"/>
      <c r="U125" s="296"/>
    </row>
    <row r="126" spans="1:23" s="38" customFormat="1" ht="13.5" hidden="1" thickBot="1" x14ac:dyDescent="0.25">
      <c r="A126" s="551"/>
      <c r="B126" s="36" t="s">
        <v>59</v>
      </c>
      <c r="C126" s="89" t="e">
        <f t="shared" ref="C126:K126" si="40">C125/C79*100</f>
        <v>#REF!</v>
      </c>
      <c r="D126" s="89" t="e">
        <f t="shared" si="40"/>
        <v>#REF!</v>
      </c>
      <c r="E126" s="89" t="e">
        <f t="shared" si="40"/>
        <v>#REF!</v>
      </c>
      <c r="F126" s="89" t="e">
        <f t="shared" si="40"/>
        <v>#REF!</v>
      </c>
      <c r="G126" s="89" t="e">
        <f t="shared" si="40"/>
        <v>#REF!</v>
      </c>
      <c r="H126" s="89" t="e">
        <f t="shared" si="40"/>
        <v>#REF!</v>
      </c>
      <c r="I126" s="89" t="e">
        <f t="shared" si="40"/>
        <v>#REF!</v>
      </c>
      <c r="J126" s="297" t="e">
        <f t="shared" si="40"/>
        <v>#DIV/0!</v>
      </c>
      <c r="K126" s="297" t="e">
        <f t="shared" si="40"/>
        <v>#DIV/0!</v>
      </c>
      <c r="L126" s="284"/>
      <c r="M126" s="284"/>
      <c r="N126" s="284"/>
      <c r="O126" s="284"/>
      <c r="P126" s="284"/>
      <c r="Q126" s="284"/>
      <c r="R126" s="284"/>
      <c r="S126" s="284"/>
      <c r="T126" s="284"/>
      <c r="U126" s="284"/>
    </row>
    <row r="127" spans="1:23" s="163" customFormat="1" ht="13.5" hidden="1" thickBot="1" x14ac:dyDescent="0.25">
      <c r="A127" s="162"/>
      <c r="B127" s="163" t="s">
        <v>71</v>
      </c>
      <c r="C127" s="45" t="e">
        <f t="shared" ref="C127:K127" si="41">SUM(C96,C98,C102,C100,C104,C106,C108,C110,C112,C114,C117,C118,C119,C121,C123,C124)</f>
        <v>#REF!</v>
      </c>
      <c r="D127" s="45" t="e">
        <f t="shared" si="41"/>
        <v>#REF!</v>
      </c>
      <c r="E127" s="45" t="e">
        <f t="shared" si="41"/>
        <v>#REF!</v>
      </c>
      <c r="F127" s="45" t="e">
        <f t="shared" si="41"/>
        <v>#REF!</v>
      </c>
      <c r="G127" s="164" t="e">
        <f t="shared" si="41"/>
        <v>#REF!</v>
      </c>
      <c r="H127" s="45" t="e">
        <f t="shared" si="41"/>
        <v>#REF!</v>
      </c>
      <c r="I127" s="45" t="e">
        <f t="shared" si="41"/>
        <v>#REF!</v>
      </c>
      <c r="J127" s="278">
        <f t="shared" si="41"/>
        <v>0</v>
      </c>
      <c r="K127" s="278">
        <f t="shared" si="41"/>
        <v>0</v>
      </c>
      <c r="L127" s="286"/>
      <c r="M127" s="286"/>
      <c r="N127" s="286"/>
      <c r="O127" s="286"/>
      <c r="P127" s="286"/>
      <c r="Q127" s="286"/>
      <c r="R127" s="286"/>
      <c r="S127" s="286"/>
      <c r="T127" s="286"/>
      <c r="U127" s="286"/>
    </row>
    <row r="128" spans="1:23" s="306" customFormat="1" ht="13.5" thickBot="1" x14ac:dyDescent="0.25">
      <c r="A128" s="307"/>
      <c r="C128" s="308"/>
      <c r="D128" s="308"/>
      <c r="E128" s="308"/>
      <c r="F128" s="308"/>
      <c r="G128" s="308"/>
      <c r="H128" s="305"/>
      <c r="I128" s="305"/>
      <c r="J128" s="305"/>
      <c r="K128" s="305"/>
    </row>
    <row r="129" spans="1:23" x14ac:dyDescent="0.2">
      <c r="A129" s="555" t="s">
        <v>114</v>
      </c>
      <c r="B129" t="s">
        <v>111</v>
      </c>
      <c r="C129" s="310" t="e">
        <f t="shared" ref="C129:I129" si="42">C102+C100+C98</f>
        <v>#REF!</v>
      </c>
      <c r="D129" s="310" t="e">
        <f t="shared" si="42"/>
        <v>#REF!</v>
      </c>
      <c r="E129" s="310" t="e">
        <f t="shared" si="42"/>
        <v>#REF!</v>
      </c>
      <c r="F129" s="310" t="e">
        <f t="shared" si="42"/>
        <v>#REF!</v>
      </c>
      <c r="G129" s="310" t="e">
        <f t="shared" si="42"/>
        <v>#REF!</v>
      </c>
      <c r="H129" s="310" t="e">
        <f t="shared" si="42"/>
        <v>#REF!</v>
      </c>
      <c r="I129" s="310" t="e">
        <f t="shared" si="42"/>
        <v>#REF!</v>
      </c>
    </row>
    <row r="130" spans="1:23" x14ac:dyDescent="0.2">
      <c r="A130" s="556"/>
      <c r="B130" t="s">
        <v>110</v>
      </c>
      <c r="C130" s="309" t="e">
        <f t="shared" ref="C130:I130" si="43">C114+C110+C106+C121+C123</f>
        <v>#REF!</v>
      </c>
      <c r="D130" s="309" t="e">
        <f t="shared" si="43"/>
        <v>#REF!</v>
      </c>
      <c r="E130" s="309" t="e">
        <f t="shared" si="43"/>
        <v>#REF!</v>
      </c>
      <c r="F130" s="309" t="e">
        <f t="shared" si="43"/>
        <v>#REF!</v>
      </c>
      <c r="G130" s="309" t="e">
        <f t="shared" si="43"/>
        <v>#REF!</v>
      </c>
      <c r="H130" s="309" t="e">
        <f t="shared" si="43"/>
        <v>#REF!</v>
      </c>
      <c r="I130" s="309" t="e">
        <f t="shared" si="43"/>
        <v>#REF!</v>
      </c>
    </row>
    <row r="131" spans="1:23" ht="13.5" thickBot="1" x14ac:dyDescent="0.25">
      <c r="A131" s="557"/>
      <c r="B131" t="s">
        <v>112</v>
      </c>
      <c r="C131" s="309" t="e">
        <f t="shared" ref="C131:I131" si="44">C117</f>
        <v>#REF!</v>
      </c>
      <c r="D131" s="309" t="e">
        <f t="shared" si="44"/>
        <v>#REF!</v>
      </c>
      <c r="E131" s="309" t="e">
        <f t="shared" si="44"/>
        <v>#REF!</v>
      </c>
      <c r="F131" s="309" t="e">
        <f t="shared" si="44"/>
        <v>#REF!</v>
      </c>
      <c r="G131" s="309" t="e">
        <f t="shared" si="44"/>
        <v>#REF!</v>
      </c>
      <c r="H131" s="309" t="e">
        <f t="shared" si="44"/>
        <v>#REF!</v>
      </c>
      <c r="I131" s="309" t="e">
        <f t="shared" si="44"/>
        <v>#REF!</v>
      </c>
    </row>
    <row r="132" spans="1:23" x14ac:dyDescent="0.2">
      <c r="A132" s="307"/>
    </row>
    <row r="133" spans="1:23" x14ac:dyDescent="0.2">
      <c r="B133" s="161" t="s">
        <v>115</v>
      </c>
      <c r="C133" s="313" t="e">
        <f>C129</f>
        <v>#REF!</v>
      </c>
      <c r="D133" s="310" t="e">
        <f t="shared" ref="D133:I133" si="45">D129/D$7*$C$7</f>
        <v>#REF!</v>
      </c>
      <c r="E133" s="310" t="e">
        <f t="shared" si="45"/>
        <v>#REF!</v>
      </c>
      <c r="F133" s="310" t="e">
        <f t="shared" si="45"/>
        <v>#REF!</v>
      </c>
      <c r="G133" s="310" t="e">
        <f t="shared" si="45"/>
        <v>#REF!</v>
      </c>
      <c r="H133" s="310" t="e">
        <f t="shared" si="45"/>
        <v>#REF!</v>
      </c>
      <c r="I133" s="310" t="e">
        <f t="shared" si="45"/>
        <v>#REF!</v>
      </c>
    </row>
    <row r="134" spans="1:23" x14ac:dyDescent="0.2">
      <c r="B134" s="161" t="s">
        <v>116</v>
      </c>
      <c r="C134" s="313" t="e">
        <f>C130</f>
        <v>#REF!</v>
      </c>
      <c r="D134" s="310" t="e">
        <f t="shared" ref="D134:I135" si="46">D130/D$7*$C$7</f>
        <v>#REF!</v>
      </c>
      <c r="E134" s="310" t="e">
        <f t="shared" si="46"/>
        <v>#REF!</v>
      </c>
      <c r="F134" s="310" t="e">
        <f t="shared" si="46"/>
        <v>#REF!</v>
      </c>
      <c r="G134" s="310" t="e">
        <f t="shared" si="46"/>
        <v>#REF!</v>
      </c>
      <c r="H134" s="310" t="e">
        <f t="shared" si="46"/>
        <v>#REF!</v>
      </c>
      <c r="I134" s="310" t="e">
        <f t="shared" si="46"/>
        <v>#REF!</v>
      </c>
    </row>
    <row r="135" spans="1:23" x14ac:dyDescent="0.2">
      <c r="B135" s="161" t="s">
        <v>117</v>
      </c>
      <c r="C135" s="313" t="e">
        <f>C131</f>
        <v>#REF!</v>
      </c>
      <c r="D135" s="310" t="e">
        <f t="shared" si="46"/>
        <v>#REF!</v>
      </c>
      <c r="E135" s="310" t="e">
        <f t="shared" si="46"/>
        <v>#REF!</v>
      </c>
      <c r="F135" s="310" t="e">
        <f t="shared" si="46"/>
        <v>#REF!</v>
      </c>
      <c r="G135" s="310" t="e">
        <f t="shared" si="46"/>
        <v>#REF!</v>
      </c>
      <c r="H135" s="310" t="e">
        <f t="shared" si="46"/>
        <v>#REF!</v>
      </c>
      <c r="I135" s="310" t="e">
        <f t="shared" si="46"/>
        <v>#REF!</v>
      </c>
    </row>
    <row r="136" spans="1:23" x14ac:dyDescent="0.2">
      <c r="C136" s="64"/>
      <c r="D136" s="64"/>
    </row>
    <row r="137" spans="1:23" x14ac:dyDescent="0.2">
      <c r="B137" s="161" t="s">
        <v>118</v>
      </c>
      <c r="C137" s="315" t="e">
        <f>C133/$C133</f>
        <v>#REF!</v>
      </c>
      <c r="D137" s="315" t="e">
        <f t="shared" ref="D137:I137" si="47">D133/$C133</f>
        <v>#REF!</v>
      </c>
      <c r="E137" s="315" t="e">
        <f t="shared" si="47"/>
        <v>#REF!</v>
      </c>
      <c r="F137" s="315" t="e">
        <f t="shared" si="47"/>
        <v>#REF!</v>
      </c>
      <c r="G137" s="315" t="e">
        <f t="shared" si="47"/>
        <v>#REF!</v>
      </c>
      <c r="H137" s="315" t="e">
        <f t="shared" si="47"/>
        <v>#REF!</v>
      </c>
      <c r="I137" s="315" t="e">
        <f t="shared" si="47"/>
        <v>#REF!</v>
      </c>
    </row>
    <row r="138" spans="1:23" x14ac:dyDescent="0.2">
      <c r="B138" s="161" t="s">
        <v>120</v>
      </c>
      <c r="C138" s="315" t="e">
        <f t="shared" ref="C138:I138" si="48">C134/$C134</f>
        <v>#REF!</v>
      </c>
      <c r="D138" s="315" t="e">
        <f t="shared" si="48"/>
        <v>#REF!</v>
      </c>
      <c r="E138" s="315" t="e">
        <f t="shared" si="48"/>
        <v>#REF!</v>
      </c>
      <c r="F138" s="315" t="e">
        <f t="shared" si="48"/>
        <v>#REF!</v>
      </c>
      <c r="G138" s="315" t="e">
        <f t="shared" si="48"/>
        <v>#REF!</v>
      </c>
      <c r="H138" s="315" t="e">
        <f t="shared" si="48"/>
        <v>#REF!</v>
      </c>
      <c r="I138" s="315" t="e">
        <f t="shared" si="48"/>
        <v>#REF!</v>
      </c>
    </row>
    <row r="139" spans="1:23" x14ac:dyDescent="0.2">
      <c r="B139" s="161" t="s">
        <v>119</v>
      </c>
      <c r="C139" s="315" t="e">
        <f t="shared" ref="C139:I139" si="49">C135/$C135</f>
        <v>#REF!</v>
      </c>
      <c r="D139" s="315" t="e">
        <f t="shared" si="49"/>
        <v>#REF!</v>
      </c>
      <c r="E139" s="315" t="e">
        <f t="shared" si="49"/>
        <v>#REF!</v>
      </c>
      <c r="F139" s="315" t="e">
        <f t="shared" si="49"/>
        <v>#REF!</v>
      </c>
      <c r="G139" s="315" t="e">
        <f t="shared" si="49"/>
        <v>#REF!</v>
      </c>
      <c r="H139" s="315" t="e">
        <f t="shared" si="49"/>
        <v>#REF!</v>
      </c>
      <c r="I139" s="315" t="e">
        <f t="shared" si="49"/>
        <v>#REF!</v>
      </c>
    </row>
    <row r="140" spans="1:23" s="306" customFormat="1" x14ac:dyDescent="0.2">
      <c r="A140" s="307"/>
      <c r="B140" s="161"/>
      <c r="C140" s="313"/>
      <c r="D140" s="308"/>
      <c r="E140" s="308"/>
      <c r="F140" s="308"/>
      <c r="G140" s="308"/>
      <c r="H140" s="305"/>
      <c r="I140" s="305"/>
      <c r="J140" s="305"/>
      <c r="K140" s="305"/>
    </row>
    <row r="141" spans="1:23" ht="24.75" customHeight="1" thickBot="1" x14ac:dyDescent="0.25">
      <c r="A141" s="2"/>
      <c r="C141" s="311"/>
      <c r="D141" s="312"/>
      <c r="E141" s="312"/>
      <c r="F141" s="312"/>
      <c r="G141" s="312"/>
      <c r="H141" s="63"/>
      <c r="I141" s="63"/>
      <c r="J141" s="122"/>
      <c r="K141" s="122"/>
      <c r="L141" s="122"/>
      <c r="M141" s="122"/>
      <c r="N141" s="122"/>
      <c r="O141" s="122"/>
      <c r="P141" s="122"/>
      <c r="Q141" s="122"/>
      <c r="R141" s="122"/>
      <c r="S141" s="122"/>
      <c r="T141" s="122"/>
      <c r="U141" s="122"/>
      <c r="V141" s="63"/>
      <c r="W141" s="63"/>
    </row>
    <row r="142" spans="1:23" s="58" customFormat="1" ht="13.5" customHeight="1" x14ac:dyDescent="0.2">
      <c r="A142" s="552" t="s">
        <v>99</v>
      </c>
      <c r="B142" s="57" t="s">
        <v>56</v>
      </c>
      <c r="C142" s="67" t="e">
        <f>Eskom!#REF!</f>
        <v>#REF!</v>
      </c>
      <c r="D142" s="67" t="e">
        <f>Eskom!#REF!</f>
        <v>#REF!</v>
      </c>
      <c r="E142" s="67" t="e">
        <f>Eskom!#REF!</f>
        <v>#REF!</v>
      </c>
      <c r="F142" s="67" t="e">
        <f>Eskom!#REF!</f>
        <v>#REF!</v>
      </c>
      <c r="G142" s="67" t="e">
        <f>Eskom!#REF!</f>
        <v>#REF!</v>
      </c>
      <c r="H142" s="67" t="e">
        <f>Eskom!#REF!</f>
        <v>#REF!</v>
      </c>
      <c r="I142" s="124" t="e">
        <f>Eskom!#REF!</f>
        <v>#REF!</v>
      </c>
      <c r="J142" s="248"/>
      <c r="K142" s="248"/>
      <c r="L142" s="248"/>
      <c r="M142" s="248"/>
      <c r="N142" s="248"/>
      <c r="O142" s="248"/>
      <c r="P142" s="248"/>
      <c r="Q142" s="248"/>
      <c r="R142" s="248"/>
      <c r="S142" s="248"/>
      <c r="T142" s="248"/>
      <c r="U142" s="248"/>
      <c r="V142" s="124"/>
      <c r="W142" s="124"/>
    </row>
    <row r="143" spans="1:23" s="75" customFormat="1" x14ac:dyDescent="0.2">
      <c r="A143" s="553"/>
      <c r="B143" s="77" t="s">
        <v>55</v>
      </c>
      <c r="C143" s="125" t="e">
        <f>Eskom!#REF!</f>
        <v>#REF!</v>
      </c>
      <c r="D143" s="125" t="e">
        <f>Eskom!#REF!</f>
        <v>#REF!</v>
      </c>
      <c r="E143" s="125" t="e">
        <f>Eskom!#REF!</f>
        <v>#REF!</v>
      </c>
      <c r="F143" s="125" t="e">
        <f>Eskom!#REF!</f>
        <v>#REF!</v>
      </c>
      <c r="G143" s="125" t="e">
        <f>Eskom!#REF!</f>
        <v>#REF!</v>
      </c>
      <c r="H143" s="125" t="e">
        <f>Eskom!#REF!</f>
        <v>#REF!</v>
      </c>
      <c r="I143" s="124" t="e">
        <f>Eskom!#REF!</f>
        <v>#REF!</v>
      </c>
      <c r="J143" s="248"/>
      <c r="K143" s="248"/>
      <c r="L143" s="248"/>
      <c r="M143" s="248"/>
      <c r="N143" s="248"/>
      <c r="O143" s="248"/>
      <c r="P143" s="248"/>
      <c r="Q143" s="248"/>
      <c r="R143" s="248"/>
      <c r="S143" s="248"/>
      <c r="T143" s="248"/>
      <c r="U143" s="248"/>
      <c r="V143" s="124"/>
      <c r="W143" s="124"/>
    </row>
    <row r="144" spans="1:23" s="76" customFormat="1" ht="12.75" customHeight="1" x14ac:dyDescent="0.2">
      <c r="A144" s="553"/>
      <c r="B144" s="78" t="s">
        <v>14</v>
      </c>
      <c r="C144" s="79" t="e">
        <f>Eskom!#REF!</f>
        <v>#REF!</v>
      </c>
      <c r="D144" s="79" t="e">
        <f>Eskom!#REF!</f>
        <v>#REF!</v>
      </c>
      <c r="E144" s="79" t="e">
        <f>Eskom!#REF!</f>
        <v>#REF!</v>
      </c>
      <c r="F144" s="79" t="e">
        <f>Eskom!#REF!</f>
        <v>#REF!</v>
      </c>
      <c r="G144" s="79" t="e">
        <f>Eskom!#REF!</f>
        <v>#REF!</v>
      </c>
      <c r="H144" s="79" t="e">
        <f>Eskom!#REF!</f>
        <v>#REF!</v>
      </c>
      <c r="I144" s="123" t="e">
        <f>Eskom!#REF!</f>
        <v>#REF!</v>
      </c>
      <c r="J144" s="248"/>
      <c r="K144" s="248"/>
      <c r="L144" s="248"/>
      <c r="M144" s="248"/>
      <c r="N144" s="248"/>
      <c r="O144" s="248"/>
      <c r="P144" s="248"/>
      <c r="Q144" s="248"/>
      <c r="R144" s="248"/>
      <c r="S144" s="248"/>
      <c r="T144" s="248"/>
      <c r="U144" s="248"/>
      <c r="V144" s="123"/>
      <c r="W144" s="123"/>
    </row>
    <row r="145" spans="1:23" s="123" customFormat="1" x14ac:dyDescent="0.2">
      <c r="A145" s="553"/>
      <c r="B145" s="238" t="s">
        <v>15</v>
      </c>
      <c r="C145" s="237" t="e">
        <f>Eskom!#REF!</f>
        <v>#REF!</v>
      </c>
      <c r="D145" s="237" t="e">
        <f>Eskom!#REF!</f>
        <v>#REF!</v>
      </c>
      <c r="E145" s="237" t="e">
        <f>Eskom!#REF!</f>
        <v>#REF!</v>
      </c>
      <c r="F145" s="237" t="e">
        <f>Eskom!#REF!</f>
        <v>#REF!</v>
      </c>
      <c r="G145" s="237" t="e">
        <f>Eskom!#REF!</f>
        <v>#REF!</v>
      </c>
      <c r="H145" s="237" t="e">
        <f>Eskom!#REF!</f>
        <v>#REF!</v>
      </c>
      <c r="I145" s="123" t="e">
        <f>Eskom!#REF!</f>
        <v>#REF!</v>
      </c>
      <c r="J145" s="248"/>
      <c r="K145" s="248"/>
      <c r="L145" s="248"/>
      <c r="M145" s="248"/>
      <c r="N145" s="248"/>
      <c r="O145" s="248"/>
      <c r="P145" s="248"/>
      <c r="Q145" s="248"/>
      <c r="R145" s="248"/>
      <c r="S145" s="248"/>
      <c r="T145" s="248"/>
      <c r="U145" s="248"/>
    </row>
    <row r="146" spans="1:23" s="240" customFormat="1" ht="12.75" customHeight="1" x14ac:dyDescent="0.2">
      <c r="A146" s="553"/>
      <c r="B146" s="239" t="s">
        <v>16</v>
      </c>
      <c r="C146" s="236" t="e">
        <f>Eskom!#REF!</f>
        <v>#REF!</v>
      </c>
      <c r="D146" s="236" t="e">
        <f>Eskom!#REF!</f>
        <v>#REF!</v>
      </c>
      <c r="E146" s="236" t="e">
        <f>Eskom!#REF!</f>
        <v>#REF!</v>
      </c>
      <c r="F146" s="236" t="e">
        <f>Eskom!#REF!</f>
        <v>#REF!</v>
      </c>
      <c r="G146" s="236" t="e">
        <f>Eskom!#REF!</f>
        <v>#REF!</v>
      </c>
      <c r="H146" s="237" t="e">
        <f>Eskom!#REF!</f>
        <v>#REF!</v>
      </c>
      <c r="I146" s="240" t="e">
        <f>Eskom!#REF!</f>
        <v>#REF!</v>
      </c>
      <c r="J146" s="261"/>
      <c r="K146" s="261"/>
      <c r="L146" s="261"/>
      <c r="M146" s="261"/>
      <c r="N146" s="261"/>
      <c r="O146" s="261"/>
      <c r="P146" s="261"/>
      <c r="Q146" s="261"/>
      <c r="R146" s="261"/>
      <c r="S146" s="261"/>
      <c r="T146" s="261"/>
      <c r="U146" s="261"/>
    </row>
    <row r="147" spans="1:23" s="111" customFormat="1" x14ac:dyDescent="0.2">
      <c r="A147" s="553"/>
      <c r="B147" s="109" t="s">
        <v>17</v>
      </c>
      <c r="C147" s="110" t="e">
        <f>Eskom!#REF!</f>
        <v>#REF!</v>
      </c>
      <c r="D147" s="110" t="e">
        <f>Eskom!#REF!</f>
        <v>#REF!</v>
      </c>
      <c r="E147" s="110" t="e">
        <f>Eskom!#REF!</f>
        <v>#REF!</v>
      </c>
      <c r="F147" s="110" t="e">
        <f>Eskom!#REF!</f>
        <v>#REF!</v>
      </c>
      <c r="G147" s="110" t="e">
        <f>Eskom!#REF!</f>
        <v>#REF!</v>
      </c>
      <c r="H147" s="110" t="e">
        <f>Eskom!#REF!</f>
        <v>#REF!</v>
      </c>
      <c r="I147" s="111" t="e">
        <f>Eskom!#REF!</f>
        <v>#REF!</v>
      </c>
      <c r="J147" s="262"/>
      <c r="K147" s="262"/>
      <c r="L147" s="262"/>
      <c r="M147" s="262"/>
      <c r="N147" s="262"/>
      <c r="O147" s="262"/>
      <c r="P147" s="262"/>
      <c r="Q147" s="262"/>
      <c r="R147" s="262"/>
      <c r="S147" s="262"/>
      <c r="T147" s="262"/>
      <c r="U147" s="262"/>
    </row>
    <row r="148" spans="1:23" s="82" customFormat="1" x14ac:dyDescent="0.2">
      <c r="A148" s="553"/>
      <c r="B148" s="80" t="s">
        <v>12</v>
      </c>
      <c r="C148" s="81" t="e">
        <f>Eskom!#REF!</f>
        <v>#REF!</v>
      </c>
      <c r="D148" s="81" t="e">
        <f>Eskom!#REF!</f>
        <v>#REF!</v>
      </c>
      <c r="E148" s="81" t="e">
        <f>Eskom!#REF!</f>
        <v>#REF!</v>
      </c>
      <c r="F148" s="81" t="e">
        <f>Eskom!#REF!</f>
        <v>#REF!</v>
      </c>
      <c r="G148" s="81" t="e">
        <f>Eskom!#REF!</f>
        <v>#REF!</v>
      </c>
      <c r="H148" s="81" t="e">
        <f>Eskom!#REF!</f>
        <v>#REF!</v>
      </c>
      <c r="I148" s="82" t="e">
        <f>Eskom!#REF!</f>
        <v>#REF!</v>
      </c>
      <c r="J148" s="263"/>
      <c r="K148" s="263"/>
      <c r="L148" s="263"/>
      <c r="M148" s="263"/>
      <c r="N148" s="263"/>
      <c r="O148" s="263"/>
      <c r="P148" s="263"/>
      <c r="Q148" s="263"/>
      <c r="R148" s="263"/>
      <c r="S148" s="263"/>
      <c r="T148" s="263"/>
      <c r="U148" s="263"/>
    </row>
    <row r="149" spans="1:23" s="242" customFormat="1" x14ac:dyDescent="0.2">
      <c r="A149" s="553"/>
      <c r="B149" s="241" t="s">
        <v>6</v>
      </c>
      <c r="C149" s="93" t="e">
        <f>Eskom!#REF!</f>
        <v>#REF!</v>
      </c>
      <c r="D149" s="93" t="e">
        <f>Eskom!#REF!</f>
        <v>#REF!</v>
      </c>
      <c r="E149" s="93" t="e">
        <f>Eskom!#REF!</f>
        <v>#REF!</v>
      </c>
      <c r="F149" s="93" t="e">
        <f>Eskom!#REF!</f>
        <v>#REF!</v>
      </c>
      <c r="G149" s="93" t="e">
        <f>Eskom!#REF!</f>
        <v>#REF!</v>
      </c>
      <c r="H149" s="93" t="e">
        <f>Eskom!#REF!</f>
        <v>#REF!</v>
      </c>
      <c r="I149" s="242" t="e">
        <f>Eskom!#REF!</f>
        <v>#REF!</v>
      </c>
      <c r="J149" s="248"/>
      <c r="K149" s="248"/>
      <c r="L149" s="248"/>
      <c r="M149" s="248"/>
      <c r="N149" s="248"/>
      <c r="O149" s="248"/>
      <c r="P149" s="248"/>
      <c r="Q149" s="248"/>
      <c r="R149" s="248"/>
      <c r="S149" s="248"/>
      <c r="T149" s="248"/>
      <c r="U149" s="248"/>
    </row>
    <row r="150" spans="1:23" s="242" customFormat="1" x14ac:dyDescent="0.2">
      <c r="A150" s="553"/>
      <c r="B150" s="26" t="s">
        <v>13</v>
      </c>
      <c r="C150" s="93" t="e">
        <f>Eskom!#REF!</f>
        <v>#REF!</v>
      </c>
      <c r="D150" s="93" t="e">
        <f>Eskom!#REF!</f>
        <v>#REF!</v>
      </c>
      <c r="E150" s="93" t="e">
        <f>Eskom!#REF!</f>
        <v>#REF!</v>
      </c>
      <c r="F150" s="93" t="e">
        <f>Eskom!#REF!</f>
        <v>#REF!</v>
      </c>
      <c r="G150" s="93" t="e">
        <f>Eskom!#REF!</f>
        <v>#REF!</v>
      </c>
      <c r="H150" s="16" t="e">
        <f>Eskom!#REF!</f>
        <v>#REF!</v>
      </c>
      <c r="I150" s="242" t="e">
        <f>Eskom!#REF!</f>
        <v>#REF!</v>
      </c>
      <c r="J150" s="248"/>
      <c r="K150" s="248"/>
      <c r="L150" s="248"/>
      <c r="M150" s="248"/>
      <c r="N150" s="248"/>
      <c r="O150" s="248"/>
      <c r="P150" s="248"/>
      <c r="Q150" s="248"/>
      <c r="R150" s="248"/>
      <c r="S150" s="248"/>
      <c r="T150" s="248"/>
      <c r="U150" s="248"/>
    </row>
    <row r="151" spans="1:23" s="100" customFormat="1" ht="13.5" thickBot="1" x14ac:dyDescent="0.25">
      <c r="A151" s="553"/>
      <c r="B151" s="99" t="s">
        <v>18</v>
      </c>
      <c r="C151" s="101" t="e">
        <f>Eskom!#REF!</f>
        <v>#REF!</v>
      </c>
      <c r="D151" s="101" t="e">
        <f>Eskom!#REF!</f>
        <v>#REF!</v>
      </c>
      <c r="E151" s="101" t="e">
        <f>Eskom!#REF!</f>
        <v>#REF!</v>
      </c>
      <c r="F151" s="101" t="e">
        <f>Eskom!#REF!</f>
        <v>#REF!</v>
      </c>
      <c r="G151" s="101" t="e">
        <f>Eskom!#REF!</f>
        <v>#REF!</v>
      </c>
      <c r="H151" s="245" t="e">
        <f>Eskom!#REF!</f>
        <v>#REF!</v>
      </c>
      <c r="I151" s="259" t="e">
        <f>Eskom!#REF!</f>
        <v>#REF!</v>
      </c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</row>
    <row r="152" spans="1:23" s="28" customFormat="1" x14ac:dyDescent="0.2">
      <c r="A152" s="553"/>
      <c r="B152" s="244" t="s">
        <v>19</v>
      </c>
      <c r="C152" s="94" t="e">
        <f>Eskom!#REF!</f>
        <v>#REF!</v>
      </c>
      <c r="D152" s="94" t="e">
        <f>Eskom!#REF!</f>
        <v>#REF!</v>
      </c>
      <c r="E152" s="94" t="e">
        <f>Eskom!#REF!</f>
        <v>#REF!</v>
      </c>
      <c r="F152" s="94" t="e">
        <f>Eskom!#REF!</f>
        <v>#REF!</v>
      </c>
      <c r="G152" s="94" t="e">
        <f>Eskom!#REF!</f>
        <v>#REF!</v>
      </c>
      <c r="H152" s="94" t="e">
        <f>Eskom!#REF!</f>
        <v>#REF!</v>
      </c>
      <c r="I152" s="28" t="e">
        <f>Eskom!#REF!</f>
        <v>#REF!</v>
      </c>
      <c r="J152" s="264"/>
      <c r="K152" s="264"/>
      <c r="L152" s="264"/>
      <c r="M152" s="264"/>
      <c r="N152" s="264"/>
      <c r="O152" s="264"/>
      <c r="P152" s="264"/>
      <c r="Q152" s="264"/>
      <c r="R152" s="264"/>
      <c r="S152" s="264"/>
      <c r="T152" s="264"/>
      <c r="U152" s="264"/>
    </row>
    <row r="153" spans="1:23" s="29" customFormat="1" x14ac:dyDescent="0.2">
      <c r="A153" s="553"/>
      <c r="B153" s="243" t="s">
        <v>20</v>
      </c>
      <c r="C153" s="90" t="e">
        <f>Eskom!#REF!</f>
        <v>#REF!</v>
      </c>
      <c r="D153" s="90" t="e">
        <f>Eskom!#REF!</f>
        <v>#REF!</v>
      </c>
      <c r="E153" s="90" t="e">
        <f>Eskom!#REF!</f>
        <v>#REF!</v>
      </c>
      <c r="F153" s="90" t="e">
        <f>Eskom!#REF!</f>
        <v>#REF!</v>
      </c>
      <c r="G153" s="90" t="e">
        <f>Eskom!#REF!</f>
        <v>#REF!</v>
      </c>
      <c r="H153" s="90" t="e">
        <f>Eskom!#REF!</f>
        <v>#REF!</v>
      </c>
      <c r="I153" s="29" t="e">
        <f>Eskom!#REF!</f>
        <v>#REF!</v>
      </c>
      <c r="J153" s="248"/>
      <c r="K153" s="248"/>
      <c r="L153" s="248"/>
      <c r="M153" s="248"/>
      <c r="N153" s="248"/>
      <c r="O153" s="248"/>
      <c r="P153" s="248"/>
      <c r="Q153" s="248"/>
      <c r="R153" s="248"/>
      <c r="S153" s="248"/>
      <c r="T153" s="248"/>
      <c r="U153" s="248"/>
    </row>
    <row r="154" spans="1:23" s="29" customFormat="1" x14ac:dyDescent="0.2">
      <c r="A154" s="553"/>
      <c r="B154" s="84" t="s">
        <v>21</v>
      </c>
      <c r="C154" s="85" t="e">
        <f>Eskom!#REF!</f>
        <v>#REF!</v>
      </c>
      <c r="D154" s="85" t="e">
        <f>Eskom!#REF!</f>
        <v>#REF!</v>
      </c>
      <c r="E154" s="85" t="e">
        <f>Eskom!#REF!</f>
        <v>#REF!</v>
      </c>
      <c r="F154" s="85" t="e">
        <f>Eskom!#REF!</f>
        <v>#REF!</v>
      </c>
      <c r="G154" s="85" t="e">
        <f>Eskom!#REF!</f>
        <v>#REF!</v>
      </c>
      <c r="H154" s="85" t="e">
        <f>Eskom!#REF!</f>
        <v>#REF!</v>
      </c>
      <c r="I154" s="29" t="e">
        <f>Eskom!#REF!</f>
        <v>#REF!</v>
      </c>
      <c r="J154" s="248"/>
      <c r="K154" s="248"/>
      <c r="L154" s="248"/>
      <c r="M154" s="248"/>
      <c r="N154" s="248"/>
      <c r="O154" s="248"/>
      <c r="P154" s="248"/>
      <c r="Q154" s="248"/>
      <c r="R154" s="248"/>
      <c r="S154" s="248"/>
      <c r="T154" s="248"/>
      <c r="U154" s="248"/>
    </row>
    <row r="155" spans="1:23" s="186" customFormat="1" ht="13.5" thickBot="1" x14ac:dyDescent="0.25">
      <c r="A155" s="553"/>
      <c r="B155" s="189" t="s">
        <v>28</v>
      </c>
      <c r="C155" s="184" t="e">
        <f>Eskom!#REF!</f>
        <v>#REF!</v>
      </c>
      <c r="D155" s="184" t="e">
        <f>Eskom!#REF!</f>
        <v>#REF!</v>
      </c>
      <c r="E155" s="184" t="e">
        <f>Eskom!#REF!</f>
        <v>#REF!</v>
      </c>
      <c r="F155" s="184" t="e">
        <f>Eskom!#REF!</f>
        <v>#REF!</v>
      </c>
      <c r="G155" s="184" t="e">
        <f>Eskom!#REF!</f>
        <v>#REF!</v>
      </c>
      <c r="H155" s="184" t="e">
        <f>Eskom!#REF!</f>
        <v>#REF!</v>
      </c>
      <c r="I155" s="185" t="e">
        <f>Eskom!#REF!</f>
        <v>#REF!</v>
      </c>
      <c r="J155" s="265"/>
      <c r="K155" s="265"/>
      <c r="L155" s="265"/>
      <c r="M155" s="265"/>
      <c r="N155" s="265"/>
      <c r="O155" s="265"/>
      <c r="P155" s="265"/>
      <c r="Q155" s="265"/>
      <c r="R155" s="265"/>
      <c r="S155" s="265"/>
      <c r="T155" s="265"/>
      <c r="U155" s="265"/>
      <c r="V155" s="185"/>
      <c r="W155" s="185"/>
    </row>
    <row r="156" spans="1:23" x14ac:dyDescent="0.2">
      <c r="A156" s="553"/>
      <c r="B156" s="298" t="s">
        <v>107</v>
      </c>
      <c r="C156" s="301" t="e">
        <f>Eskom!#REF!</f>
        <v>#REF!</v>
      </c>
      <c r="D156" s="301" t="e">
        <f t="shared" ref="D156:F157" si="50">D152-D144*TAN(ACOS(0.96))</f>
        <v>#REF!</v>
      </c>
      <c r="E156" s="301" t="e">
        <f t="shared" si="50"/>
        <v>#REF!</v>
      </c>
      <c r="F156" s="301" t="e">
        <f t="shared" si="50"/>
        <v>#REF!</v>
      </c>
      <c r="G156" s="301" t="e">
        <f t="shared" ref="G156:I157" si="51">G152-G144*TAN(ACOS(0.96))</f>
        <v>#REF!</v>
      </c>
      <c r="H156" s="301" t="e">
        <f t="shared" si="51"/>
        <v>#REF!</v>
      </c>
      <c r="I156" s="301" t="e">
        <f t="shared" si="51"/>
        <v>#REF!</v>
      </c>
      <c r="J156"/>
      <c r="K156"/>
      <c r="L156"/>
      <c r="M156"/>
      <c r="N156"/>
      <c r="O156"/>
      <c r="P156"/>
      <c r="Q156"/>
      <c r="R156"/>
      <c r="S156"/>
      <c r="T156"/>
      <c r="U156"/>
    </row>
    <row r="157" spans="1:23" ht="13.5" thickBot="1" x14ac:dyDescent="0.25">
      <c r="A157" s="553"/>
      <c r="B157" s="299" t="s">
        <v>108</v>
      </c>
      <c r="C157" s="302" t="e">
        <f>Eskom!#REF!</f>
        <v>#REF!</v>
      </c>
      <c r="D157" s="302" t="e">
        <f t="shared" si="50"/>
        <v>#REF!</v>
      </c>
      <c r="E157" s="302" t="e">
        <f t="shared" si="50"/>
        <v>#REF!</v>
      </c>
      <c r="F157" s="302" t="e">
        <f t="shared" si="50"/>
        <v>#REF!</v>
      </c>
      <c r="G157" s="302" t="e">
        <f t="shared" si="51"/>
        <v>#REF!</v>
      </c>
      <c r="H157" s="302" t="e">
        <f t="shared" si="51"/>
        <v>#REF!</v>
      </c>
      <c r="I157" s="302" t="e">
        <f t="shared" si="51"/>
        <v>#REF!</v>
      </c>
      <c r="J157"/>
      <c r="K157"/>
      <c r="L157"/>
      <c r="M157"/>
      <c r="N157"/>
      <c r="O157"/>
      <c r="P157"/>
      <c r="Q157"/>
      <c r="R157"/>
      <c r="S157"/>
      <c r="T157"/>
      <c r="U157"/>
    </row>
    <row r="158" spans="1:23" ht="13.5" thickBot="1" x14ac:dyDescent="0.25">
      <c r="A158" s="553"/>
      <c r="B158" s="300" t="s">
        <v>102</v>
      </c>
      <c r="C158" s="303"/>
      <c r="D158" s="304" t="e">
        <f t="shared" ref="D158:I158" si="52">SUM(D156:D157)</f>
        <v>#REF!</v>
      </c>
      <c r="E158" s="304" t="e">
        <f t="shared" si="52"/>
        <v>#REF!</v>
      </c>
      <c r="F158" s="304" t="e">
        <f t="shared" si="52"/>
        <v>#REF!</v>
      </c>
      <c r="G158" s="304" t="e">
        <f t="shared" si="52"/>
        <v>#REF!</v>
      </c>
      <c r="H158" s="304" t="e">
        <f t="shared" si="52"/>
        <v>#REF!</v>
      </c>
      <c r="I158" s="304" t="e">
        <f t="shared" si="52"/>
        <v>#REF!</v>
      </c>
      <c r="J158"/>
      <c r="K158"/>
      <c r="L158"/>
      <c r="M158"/>
      <c r="N158"/>
      <c r="O158"/>
      <c r="P158"/>
      <c r="Q158"/>
      <c r="R158"/>
      <c r="S158"/>
      <c r="T158"/>
      <c r="U158"/>
    </row>
    <row r="159" spans="1:23" ht="16.5" customHeight="1" thickBot="1" x14ac:dyDescent="0.25">
      <c r="A159" s="553"/>
      <c r="B159" s="253" t="s">
        <v>103</v>
      </c>
      <c r="C159" s="252" t="e">
        <f t="shared" ref="C159:I159" si="53">IF(C155&gt;0,C155,C158)</f>
        <v>#REF!</v>
      </c>
      <c r="D159" s="252" t="e">
        <f t="shared" si="53"/>
        <v>#REF!</v>
      </c>
      <c r="E159" s="252" t="e">
        <f t="shared" si="53"/>
        <v>#REF!</v>
      </c>
      <c r="F159" s="252" t="e">
        <f t="shared" si="53"/>
        <v>#REF!</v>
      </c>
      <c r="G159" s="252" t="e">
        <f t="shared" si="53"/>
        <v>#REF!</v>
      </c>
      <c r="H159" s="252" t="e">
        <f t="shared" si="53"/>
        <v>#REF!</v>
      </c>
      <c r="I159" s="252" t="e">
        <f t="shared" si="53"/>
        <v>#REF!</v>
      </c>
      <c r="J159"/>
      <c r="K159"/>
      <c r="L159"/>
      <c r="M159"/>
      <c r="N159"/>
      <c r="O159"/>
      <c r="P159"/>
      <c r="Q159"/>
      <c r="R159"/>
      <c r="S159"/>
      <c r="T159"/>
      <c r="U159"/>
    </row>
    <row r="160" spans="1:23" s="8" customFormat="1" hidden="1" x14ac:dyDescent="0.2">
      <c r="A160" s="553"/>
      <c r="B160" s="141" t="s">
        <v>22</v>
      </c>
      <c r="C160" s="83"/>
      <c r="D160" s="83"/>
      <c r="E160" s="83">
        <v>78</v>
      </c>
      <c r="F160" s="83">
        <v>61</v>
      </c>
      <c r="G160" s="83">
        <v>73</v>
      </c>
      <c r="H160" s="8">
        <v>76</v>
      </c>
      <c r="I160" s="8">
        <v>78</v>
      </c>
      <c r="J160" s="266"/>
      <c r="K160" s="266"/>
      <c r="L160" s="266"/>
      <c r="M160" s="266"/>
      <c r="N160" s="266"/>
      <c r="O160" s="266"/>
      <c r="P160" s="266"/>
      <c r="Q160" s="266"/>
      <c r="R160" s="266"/>
      <c r="S160" s="266"/>
      <c r="T160" s="266"/>
      <c r="U160" s="266"/>
    </row>
    <row r="161" spans="1:21" s="5" customFormat="1" hidden="1" x14ac:dyDescent="0.2">
      <c r="A161" s="553"/>
      <c r="B161" s="142" t="s">
        <v>73</v>
      </c>
      <c r="C161" s="30"/>
      <c r="D161" s="30"/>
      <c r="E161" s="171">
        <v>31</v>
      </c>
      <c r="F161" s="171">
        <v>30</v>
      </c>
      <c r="G161" s="171">
        <v>31</v>
      </c>
      <c r="H161" s="5">
        <v>30</v>
      </c>
      <c r="I161" s="5">
        <v>31</v>
      </c>
      <c r="J161" s="267"/>
      <c r="K161" s="267"/>
      <c r="L161" s="267"/>
      <c r="M161" s="267"/>
      <c r="N161" s="267"/>
      <c r="O161" s="267"/>
      <c r="P161" s="267"/>
      <c r="Q161" s="267"/>
      <c r="R161" s="267"/>
      <c r="S161" s="267"/>
      <c r="T161" s="267"/>
      <c r="U161" s="267"/>
    </row>
    <row r="162" spans="1:21" s="170" customFormat="1" ht="4.5" hidden="1" customHeight="1" x14ac:dyDescent="0.2">
      <c r="A162" s="553"/>
      <c r="B162" s="168"/>
      <c r="C162" s="169"/>
      <c r="D162" s="169"/>
      <c r="E162" s="169"/>
      <c r="F162" s="169"/>
      <c r="G162" s="169"/>
      <c r="J162" s="267"/>
      <c r="K162" s="267"/>
      <c r="L162" s="267"/>
      <c r="M162" s="267"/>
      <c r="N162" s="267"/>
      <c r="O162" s="267"/>
      <c r="P162" s="267"/>
      <c r="Q162" s="267"/>
      <c r="R162" s="267"/>
      <c r="S162" s="267"/>
      <c r="T162" s="267"/>
      <c r="U162" s="267"/>
    </row>
    <row r="163" spans="1:21" s="174" customFormat="1" hidden="1" x14ac:dyDescent="0.2">
      <c r="A163" s="553"/>
      <c r="B163" s="172" t="s">
        <v>74</v>
      </c>
      <c r="C163" s="173"/>
      <c r="D163" s="173"/>
      <c r="E163" s="173">
        <v>42.37</v>
      </c>
      <c r="F163" s="173">
        <f t="shared" ref="F163:K163" si="54">F95</f>
        <v>52.33</v>
      </c>
      <c r="G163" s="173">
        <f t="shared" si="54"/>
        <v>52.33</v>
      </c>
      <c r="H163" s="173">
        <f t="shared" si="54"/>
        <v>52.33</v>
      </c>
      <c r="I163" s="173">
        <f t="shared" si="54"/>
        <v>52.33</v>
      </c>
      <c r="J163" s="268">
        <f t="shared" si="54"/>
        <v>52.33</v>
      </c>
      <c r="K163" s="268">
        <f t="shared" si="54"/>
        <v>52.33</v>
      </c>
      <c r="L163" s="269"/>
      <c r="M163" s="269"/>
      <c r="N163" s="269"/>
      <c r="O163" s="269"/>
      <c r="P163" s="269"/>
      <c r="Q163" s="269"/>
      <c r="R163" s="269"/>
      <c r="S163" s="269"/>
      <c r="T163" s="269"/>
      <c r="U163" s="269"/>
    </row>
    <row r="164" spans="1:21" s="182" customFormat="1" hidden="1" x14ac:dyDescent="0.2">
      <c r="A164" s="553"/>
      <c r="B164" s="181" t="s">
        <v>75</v>
      </c>
      <c r="C164" s="4">
        <v>1313.47</v>
      </c>
      <c r="D164" s="4">
        <v>1186</v>
      </c>
      <c r="E164" s="4">
        <f t="shared" ref="E164:K164" si="55">E161*E163</f>
        <v>1313.47</v>
      </c>
      <c r="F164" s="4">
        <f t="shared" si="55"/>
        <v>1569.8999999999999</v>
      </c>
      <c r="G164" s="4">
        <f t="shared" si="55"/>
        <v>1622.23</v>
      </c>
      <c r="H164" s="4">
        <f t="shared" si="55"/>
        <v>1569.8999999999999</v>
      </c>
      <c r="I164" s="4">
        <f t="shared" si="55"/>
        <v>1622.23</v>
      </c>
      <c r="J164" s="270">
        <f t="shared" si="55"/>
        <v>0</v>
      </c>
      <c r="K164" s="270">
        <f t="shared" si="55"/>
        <v>0</v>
      </c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</row>
    <row r="165" spans="1:21" s="31" customFormat="1" hidden="1" x14ac:dyDescent="0.2">
      <c r="A165" s="553"/>
      <c r="B165" s="120" t="s">
        <v>24</v>
      </c>
      <c r="C165" s="179">
        <v>2.71</v>
      </c>
      <c r="D165" s="179">
        <v>2.71</v>
      </c>
      <c r="E165" s="179">
        <v>2.71</v>
      </c>
      <c r="F165" s="179">
        <f t="shared" ref="F165:K165" si="56">F97</f>
        <v>3.35</v>
      </c>
      <c r="G165" s="179">
        <f t="shared" si="56"/>
        <v>3.35</v>
      </c>
      <c r="H165" s="179">
        <f t="shared" si="56"/>
        <v>3.35</v>
      </c>
      <c r="I165" s="179">
        <f t="shared" si="56"/>
        <v>3.35</v>
      </c>
      <c r="J165" s="179">
        <f t="shared" si="56"/>
        <v>3.35</v>
      </c>
      <c r="K165" s="179">
        <f t="shared" si="56"/>
        <v>3.35</v>
      </c>
    </row>
    <row r="166" spans="1:21" s="177" customFormat="1" hidden="1" x14ac:dyDescent="0.2">
      <c r="A166" s="553"/>
      <c r="B166" s="175" t="s">
        <v>25</v>
      </c>
      <c r="C166" s="176">
        <v>67750</v>
      </c>
      <c r="D166" s="176" t="e">
        <f t="shared" ref="D166:K166" si="57">D165*D143</f>
        <v>#REF!</v>
      </c>
      <c r="E166" s="176" t="e">
        <f t="shared" si="57"/>
        <v>#REF!</v>
      </c>
      <c r="F166" s="176" t="e">
        <f t="shared" si="57"/>
        <v>#REF!</v>
      </c>
      <c r="G166" s="176" t="e">
        <f t="shared" si="57"/>
        <v>#REF!</v>
      </c>
      <c r="H166" s="176" t="e">
        <f t="shared" si="57"/>
        <v>#REF!</v>
      </c>
      <c r="I166" s="176" t="e">
        <f t="shared" si="57"/>
        <v>#REF!</v>
      </c>
      <c r="J166" s="271">
        <f t="shared" si="57"/>
        <v>0</v>
      </c>
      <c r="K166" s="271">
        <f t="shared" si="57"/>
        <v>0</v>
      </c>
      <c r="L166" s="272"/>
      <c r="M166" s="272"/>
      <c r="N166" s="272"/>
      <c r="O166" s="272"/>
      <c r="P166" s="272"/>
      <c r="Q166" s="272"/>
      <c r="R166" s="272"/>
      <c r="S166" s="272"/>
      <c r="T166" s="272"/>
      <c r="U166" s="272"/>
    </row>
    <row r="167" spans="1:21" s="31" customFormat="1" hidden="1" x14ac:dyDescent="0.2">
      <c r="A167" s="553"/>
      <c r="B167" s="23" t="s">
        <v>7</v>
      </c>
      <c r="C167" s="3">
        <v>5.44</v>
      </c>
      <c r="D167" s="3">
        <v>5.44</v>
      </c>
      <c r="E167" s="3">
        <v>5.44</v>
      </c>
      <c r="F167" s="3">
        <f t="shared" ref="F167:K167" si="58">F99</f>
        <v>6.72</v>
      </c>
      <c r="G167" s="3">
        <f t="shared" si="58"/>
        <v>6.72</v>
      </c>
      <c r="H167" s="3">
        <f t="shared" si="58"/>
        <v>6.72</v>
      </c>
      <c r="I167" s="3">
        <f t="shared" si="58"/>
        <v>6.72</v>
      </c>
      <c r="J167" s="3">
        <f t="shared" si="58"/>
        <v>6.72</v>
      </c>
      <c r="K167" s="3">
        <f t="shared" si="58"/>
        <v>6.72</v>
      </c>
    </row>
    <row r="168" spans="1:21" s="177" customFormat="1" hidden="1" x14ac:dyDescent="0.2">
      <c r="A168" s="553"/>
      <c r="B168" s="175" t="s">
        <v>10</v>
      </c>
      <c r="C168" s="176">
        <v>136000</v>
      </c>
      <c r="D168" s="176" t="e">
        <f t="shared" ref="D168:K168" si="59">D167*D143</f>
        <v>#REF!</v>
      </c>
      <c r="E168" s="176" t="e">
        <f t="shared" si="59"/>
        <v>#REF!</v>
      </c>
      <c r="F168" s="176" t="e">
        <f t="shared" si="59"/>
        <v>#REF!</v>
      </c>
      <c r="G168" s="176" t="e">
        <f t="shared" si="59"/>
        <v>#REF!</v>
      </c>
      <c r="H168" s="176" t="e">
        <f t="shared" si="59"/>
        <v>#REF!</v>
      </c>
      <c r="I168" s="176" t="e">
        <f t="shared" si="59"/>
        <v>#REF!</v>
      </c>
      <c r="J168" s="271">
        <f t="shared" si="59"/>
        <v>0</v>
      </c>
      <c r="K168" s="271">
        <f t="shared" si="59"/>
        <v>0</v>
      </c>
      <c r="L168" s="272"/>
      <c r="M168" s="272"/>
      <c r="N168" s="272"/>
      <c r="O168" s="272"/>
      <c r="P168" s="272"/>
      <c r="Q168" s="272"/>
      <c r="R168" s="272"/>
      <c r="S168" s="272"/>
      <c r="T168" s="272"/>
      <c r="U168" s="272"/>
    </row>
    <row r="169" spans="1:21" s="31" customFormat="1" hidden="1" x14ac:dyDescent="0.2">
      <c r="A169" s="553"/>
      <c r="B169" s="23" t="s">
        <v>8</v>
      </c>
      <c r="C169" s="3">
        <v>10.31</v>
      </c>
      <c r="D169" s="3">
        <v>10.31</v>
      </c>
      <c r="E169" s="3">
        <v>10.31</v>
      </c>
      <c r="F169" s="3">
        <f t="shared" ref="F169:K169" si="60">F101</f>
        <v>12.73</v>
      </c>
      <c r="G169" s="3">
        <f t="shared" si="60"/>
        <v>12.73</v>
      </c>
      <c r="H169" s="3">
        <f t="shared" si="60"/>
        <v>12.73</v>
      </c>
      <c r="I169" s="3">
        <f t="shared" si="60"/>
        <v>12.73</v>
      </c>
      <c r="J169" s="3">
        <f t="shared" si="60"/>
        <v>12.73</v>
      </c>
      <c r="K169" s="3">
        <f t="shared" si="60"/>
        <v>12.73</v>
      </c>
    </row>
    <row r="170" spans="1:21" s="177" customFormat="1" hidden="1" x14ac:dyDescent="0.2">
      <c r="A170" s="553"/>
      <c r="B170" s="175" t="s">
        <v>2</v>
      </c>
      <c r="C170" s="176" t="e">
        <f t="shared" ref="C170:K170" si="61">C169*MAX(C149:C150)</f>
        <v>#REF!</v>
      </c>
      <c r="D170" s="176" t="e">
        <f t="shared" si="61"/>
        <v>#REF!</v>
      </c>
      <c r="E170" s="176" t="e">
        <f t="shared" si="61"/>
        <v>#REF!</v>
      </c>
      <c r="F170" s="176" t="e">
        <f t="shared" si="61"/>
        <v>#REF!</v>
      </c>
      <c r="G170" s="176" t="e">
        <f t="shared" si="61"/>
        <v>#REF!</v>
      </c>
      <c r="H170" s="176" t="e">
        <f t="shared" si="61"/>
        <v>#REF!</v>
      </c>
      <c r="I170" s="176" t="e">
        <f t="shared" si="61"/>
        <v>#REF!</v>
      </c>
      <c r="J170" s="271">
        <f t="shared" si="61"/>
        <v>0</v>
      </c>
      <c r="K170" s="271">
        <f t="shared" si="61"/>
        <v>0</v>
      </c>
      <c r="L170" s="272"/>
      <c r="M170" s="272"/>
      <c r="N170" s="272"/>
      <c r="O170" s="272"/>
      <c r="P170" s="272"/>
      <c r="Q170" s="272"/>
      <c r="R170" s="272"/>
      <c r="S170" s="272"/>
      <c r="T170" s="272"/>
      <c r="U170" s="272"/>
    </row>
    <row r="171" spans="1:21" s="31" customFormat="1" hidden="1" x14ac:dyDescent="0.2">
      <c r="A171" s="553"/>
      <c r="B171" s="120" t="s">
        <v>29</v>
      </c>
      <c r="C171" s="112"/>
      <c r="D171" s="112"/>
      <c r="E171" s="112"/>
      <c r="F171" s="112"/>
      <c r="G171" s="112"/>
      <c r="H171" s="65"/>
      <c r="I171" s="65"/>
      <c r="J171" s="65"/>
      <c r="K171" s="112">
        <f>K304</f>
        <v>0</v>
      </c>
    </row>
    <row r="172" spans="1:21" s="34" customFormat="1" hidden="1" x14ac:dyDescent="0.2">
      <c r="A172" s="553"/>
      <c r="B172" s="25" t="s">
        <v>60</v>
      </c>
      <c r="C172" s="14" t="e">
        <f>C171*C144</f>
        <v>#REF!</v>
      </c>
      <c r="D172" s="14" t="e">
        <f>D171*D144</f>
        <v>#REF!</v>
      </c>
      <c r="E172" s="14" t="e">
        <f>E171*E144</f>
        <v>#REF!</v>
      </c>
      <c r="F172" s="14" t="e">
        <f>F171*F144</f>
        <v>#REF!</v>
      </c>
      <c r="G172" s="14" t="e">
        <f>G171*G144</f>
        <v>#REF!</v>
      </c>
      <c r="H172" s="116"/>
      <c r="I172" s="116"/>
      <c r="J172" s="116"/>
      <c r="K172" s="270">
        <f>K171*K144</f>
        <v>0</v>
      </c>
      <c r="L172" s="31"/>
      <c r="M172" s="31"/>
      <c r="N172" s="31"/>
      <c r="O172" s="31"/>
      <c r="P172" s="31"/>
      <c r="Q172" s="31"/>
      <c r="R172" s="31"/>
      <c r="S172" s="31"/>
      <c r="T172" s="31"/>
      <c r="U172" s="31"/>
    </row>
    <row r="173" spans="1:21" s="31" customFormat="1" x14ac:dyDescent="0.2">
      <c r="A173" s="553"/>
      <c r="B173" s="23" t="s">
        <v>30</v>
      </c>
      <c r="C173" s="112">
        <v>0.19769999999999999</v>
      </c>
      <c r="D173" s="112">
        <v>0.19769999999999999</v>
      </c>
      <c r="E173" s="112">
        <v>0.19769999999999999</v>
      </c>
      <c r="F173" s="112">
        <v>0.19769999999999999</v>
      </c>
      <c r="G173" s="112">
        <v>0.19769999999999999</v>
      </c>
      <c r="H173" s="112">
        <v>0.19769999999999999</v>
      </c>
      <c r="I173" s="112">
        <v>0.19769999999999999</v>
      </c>
      <c r="J173" s="112">
        <v>0.19769999999999999</v>
      </c>
      <c r="K173" s="114"/>
    </row>
    <row r="174" spans="1:21" s="35" customFormat="1" x14ac:dyDescent="0.2">
      <c r="A174" s="553"/>
      <c r="B174" s="24" t="s">
        <v>61</v>
      </c>
      <c r="C174" s="33" t="e">
        <f t="shared" ref="C174:J174" si="62">C173*C144</f>
        <v>#REF!</v>
      </c>
      <c r="D174" s="33" t="e">
        <f t="shared" si="62"/>
        <v>#REF!</v>
      </c>
      <c r="E174" s="33" t="e">
        <f t="shared" si="62"/>
        <v>#REF!</v>
      </c>
      <c r="F174" s="33" t="e">
        <f t="shared" si="62"/>
        <v>#REF!</v>
      </c>
      <c r="G174" s="33" t="e">
        <f t="shared" si="62"/>
        <v>#REF!</v>
      </c>
      <c r="H174" s="33" t="e">
        <f t="shared" si="62"/>
        <v>#REF!</v>
      </c>
      <c r="I174" s="33" t="e">
        <f t="shared" si="62"/>
        <v>#REF!</v>
      </c>
      <c r="J174" s="275">
        <f t="shared" si="62"/>
        <v>0</v>
      </c>
      <c r="K174" s="115"/>
      <c r="L174" s="31"/>
      <c r="M174" s="31"/>
      <c r="N174" s="31"/>
      <c r="O174" s="31"/>
      <c r="P174" s="31"/>
      <c r="Q174" s="31"/>
      <c r="R174" s="31"/>
      <c r="S174" s="31"/>
      <c r="T174" s="31"/>
      <c r="U174" s="31"/>
    </row>
    <row r="175" spans="1:21" s="31" customFormat="1" hidden="1" x14ac:dyDescent="0.2">
      <c r="A175" s="553"/>
      <c r="B175" s="23" t="s">
        <v>31</v>
      </c>
      <c r="C175" s="112"/>
      <c r="D175" s="112"/>
      <c r="E175" s="112"/>
      <c r="F175" s="112"/>
      <c r="G175" s="112"/>
      <c r="H175" s="117"/>
      <c r="I175" s="117"/>
      <c r="J175" s="117"/>
      <c r="K175" s="112">
        <f>K308</f>
        <v>0</v>
      </c>
    </row>
    <row r="176" spans="1:21" s="34" customFormat="1" hidden="1" x14ac:dyDescent="0.2">
      <c r="A176" s="553"/>
      <c r="B176" s="25" t="s">
        <v>62</v>
      </c>
      <c r="C176" s="14" t="e">
        <f>C175*C146</f>
        <v>#REF!</v>
      </c>
      <c r="D176" s="14" t="e">
        <f>D175*D146</f>
        <v>#REF!</v>
      </c>
      <c r="E176" s="14" t="e">
        <f>E175*E146</f>
        <v>#REF!</v>
      </c>
      <c r="F176" s="14" t="e">
        <f>F175*F146</f>
        <v>#REF!</v>
      </c>
      <c r="G176" s="14" t="e">
        <f>G175*G146</f>
        <v>#REF!</v>
      </c>
      <c r="H176" s="116"/>
      <c r="I176" s="116"/>
      <c r="J176" s="116"/>
      <c r="K176" s="270">
        <f>K175*K146</f>
        <v>0</v>
      </c>
      <c r="L176" s="31"/>
      <c r="M176" s="31"/>
      <c r="N176" s="31"/>
      <c r="O176" s="31"/>
      <c r="P176" s="31"/>
      <c r="Q176" s="31"/>
      <c r="R176" s="31"/>
      <c r="S176" s="31"/>
      <c r="T176" s="31"/>
      <c r="U176" s="31"/>
    </row>
    <row r="177" spans="1:23" s="31" customFormat="1" x14ac:dyDescent="0.2">
      <c r="A177" s="553"/>
      <c r="B177" s="23" t="s">
        <v>32</v>
      </c>
      <c r="C177" s="1">
        <v>1.4238</v>
      </c>
      <c r="D177" s="1">
        <v>1.4238</v>
      </c>
      <c r="E177" s="1">
        <v>1.4238</v>
      </c>
      <c r="F177" s="1">
        <v>1.4238</v>
      </c>
      <c r="G177" s="1">
        <v>1.4238</v>
      </c>
      <c r="H177" s="1">
        <v>1.4238</v>
      </c>
      <c r="I177" s="1">
        <v>1.4238</v>
      </c>
      <c r="J177" s="1">
        <v>1.4238</v>
      </c>
      <c r="K177" s="114"/>
    </row>
    <row r="178" spans="1:23" s="35" customFormat="1" x14ac:dyDescent="0.2">
      <c r="A178" s="553"/>
      <c r="B178" s="24" t="s">
        <v>63</v>
      </c>
      <c r="C178" s="113" t="e">
        <f t="shared" ref="C178:J178" si="63">C177*C146</f>
        <v>#REF!</v>
      </c>
      <c r="D178" s="113" t="e">
        <f t="shared" si="63"/>
        <v>#REF!</v>
      </c>
      <c r="E178" s="113" t="e">
        <f t="shared" si="63"/>
        <v>#REF!</v>
      </c>
      <c r="F178" s="113" t="e">
        <f t="shared" si="63"/>
        <v>#REF!</v>
      </c>
      <c r="G178" s="113" t="e">
        <f t="shared" si="63"/>
        <v>#REF!</v>
      </c>
      <c r="H178" s="113" t="e">
        <f t="shared" si="63"/>
        <v>#REF!</v>
      </c>
      <c r="I178" s="113" t="e">
        <f t="shared" si="63"/>
        <v>#REF!</v>
      </c>
      <c r="J178" s="276">
        <f t="shared" si="63"/>
        <v>0</v>
      </c>
      <c r="K178" s="115"/>
      <c r="L178" s="31"/>
      <c r="M178" s="31"/>
      <c r="N178" s="31"/>
      <c r="O178" s="31"/>
      <c r="P178" s="31"/>
      <c r="Q178" s="31"/>
      <c r="R178" s="31"/>
      <c r="S178" s="31"/>
      <c r="T178" s="31"/>
      <c r="U178" s="31"/>
    </row>
    <row r="179" spans="1:23" s="31" customFormat="1" hidden="1" x14ac:dyDescent="0.2">
      <c r="A179" s="553"/>
      <c r="B179" s="23" t="s">
        <v>79</v>
      </c>
      <c r="C179" s="112"/>
      <c r="D179" s="1"/>
      <c r="E179" s="1"/>
      <c r="F179" s="1"/>
      <c r="G179" s="1"/>
      <c r="H179" s="117"/>
      <c r="I179" s="117"/>
      <c r="J179" s="117"/>
      <c r="K179" s="1">
        <f>K312</f>
        <v>0</v>
      </c>
    </row>
    <row r="180" spans="1:23" s="34" customFormat="1" hidden="1" x14ac:dyDescent="0.2">
      <c r="A180" s="553"/>
      <c r="B180" s="25" t="s">
        <v>64</v>
      </c>
      <c r="C180" s="14" t="e">
        <f>C179*C145</f>
        <v>#REF!</v>
      </c>
      <c r="D180" s="14" t="e">
        <f>D179*D145</f>
        <v>#REF!</v>
      </c>
      <c r="E180" s="14" t="e">
        <f>E179*E145</f>
        <v>#REF!</v>
      </c>
      <c r="F180" s="14" t="e">
        <f>F179*F145</f>
        <v>#REF!</v>
      </c>
      <c r="G180" s="14" t="e">
        <f>G179*G145</f>
        <v>#REF!</v>
      </c>
      <c r="H180" s="118"/>
      <c r="I180" s="118"/>
      <c r="J180" s="118"/>
      <c r="K180" s="270">
        <f>K179*K145</f>
        <v>0</v>
      </c>
      <c r="L180" s="31"/>
      <c r="M180" s="31"/>
      <c r="N180" s="31"/>
      <c r="O180" s="31"/>
      <c r="P180" s="31"/>
      <c r="Q180" s="31"/>
      <c r="R180" s="31"/>
      <c r="S180" s="31"/>
      <c r="T180" s="31"/>
      <c r="U180" s="31"/>
    </row>
    <row r="181" spans="1:23" s="31" customFormat="1" x14ac:dyDescent="0.2">
      <c r="A181" s="553"/>
      <c r="B181" s="53" t="s">
        <v>33</v>
      </c>
      <c r="C181" s="1">
        <v>0.37009999999999998</v>
      </c>
      <c r="D181" s="1">
        <v>0.37009999999999998</v>
      </c>
      <c r="E181" s="1">
        <v>0.37009999999999998</v>
      </c>
      <c r="F181" s="1">
        <v>0.37009999999999998</v>
      </c>
      <c r="G181" s="1">
        <v>0.37009999999999998</v>
      </c>
      <c r="H181" s="1">
        <v>0.37009999999999998</v>
      </c>
      <c r="I181" s="1">
        <v>0.37009999999999998</v>
      </c>
      <c r="J181" s="1">
        <v>0.37009999999999998</v>
      </c>
      <c r="K181" s="114"/>
    </row>
    <row r="182" spans="1:23" s="55" customFormat="1" ht="13.5" thickBot="1" x14ac:dyDescent="0.25">
      <c r="A182" s="553"/>
      <c r="B182" s="56" t="s">
        <v>65</v>
      </c>
      <c r="C182" s="247" t="e">
        <f t="shared" ref="C182:J182" si="64">C181*C145</f>
        <v>#REF!</v>
      </c>
      <c r="D182" s="247" t="e">
        <f t="shared" si="64"/>
        <v>#REF!</v>
      </c>
      <c r="E182" s="247" t="e">
        <f t="shared" si="64"/>
        <v>#REF!</v>
      </c>
      <c r="F182" s="247" t="e">
        <f t="shared" si="64"/>
        <v>#REF!</v>
      </c>
      <c r="G182" s="247" t="e">
        <f t="shared" si="64"/>
        <v>#REF!</v>
      </c>
      <c r="H182" s="247" t="e">
        <f t="shared" si="64"/>
        <v>#REF!</v>
      </c>
      <c r="I182" s="247" t="e">
        <f t="shared" si="64"/>
        <v>#REF!</v>
      </c>
      <c r="J182" s="277">
        <f t="shared" si="64"/>
        <v>0</v>
      </c>
      <c r="K182" s="122"/>
      <c r="L182" s="122"/>
      <c r="M182" s="122"/>
      <c r="N182" s="122"/>
      <c r="O182" s="122"/>
      <c r="P182" s="122"/>
      <c r="Q182" s="122"/>
      <c r="R182" s="122"/>
      <c r="S182" s="122"/>
      <c r="T182" s="122"/>
      <c r="U182" s="122"/>
      <c r="V182" s="121"/>
      <c r="W182" s="121"/>
    </row>
    <row r="183" spans="1:23" s="123" customFormat="1" x14ac:dyDescent="0.2">
      <c r="A183" s="553"/>
      <c r="B183" s="255" t="s">
        <v>104</v>
      </c>
      <c r="C183" s="85" t="e">
        <f t="shared" ref="C183:H183" si="65">C159</f>
        <v>#REF!</v>
      </c>
      <c r="D183" s="85" t="e">
        <f t="shared" si="65"/>
        <v>#REF!</v>
      </c>
      <c r="E183" s="85" t="e">
        <f t="shared" si="65"/>
        <v>#REF!</v>
      </c>
      <c r="F183" s="85" t="e">
        <f t="shared" si="65"/>
        <v>#REF!</v>
      </c>
      <c r="G183" s="85" t="e">
        <f t="shared" si="65"/>
        <v>#REF!</v>
      </c>
      <c r="H183" s="85" t="e">
        <f t="shared" si="65"/>
        <v>#REF!</v>
      </c>
      <c r="I183" s="85" t="e">
        <f>I159</f>
        <v>#REF!</v>
      </c>
      <c r="J183" s="256"/>
      <c r="K183" s="248"/>
      <c r="L183" s="248"/>
      <c r="M183" s="248"/>
      <c r="N183" s="248"/>
      <c r="O183" s="248"/>
      <c r="P183" s="248"/>
      <c r="Q183" s="248"/>
      <c r="R183" s="248"/>
      <c r="S183" s="248"/>
      <c r="T183" s="248"/>
      <c r="U183" s="248"/>
    </row>
    <row r="184" spans="1:23" s="1" customFormat="1" x14ac:dyDescent="0.2">
      <c r="A184" s="553"/>
      <c r="B184" s="254" t="s">
        <v>105</v>
      </c>
      <c r="C184" s="119">
        <v>5.8900000000000001E-2</v>
      </c>
      <c r="D184" s="119">
        <v>5.8900000000000001E-2</v>
      </c>
      <c r="E184" s="119">
        <v>5.8900000000000001E-2</v>
      </c>
      <c r="F184" s="119">
        <v>5.8900000000000001E-2</v>
      </c>
      <c r="G184" s="119">
        <v>5.8900000000000001E-2</v>
      </c>
      <c r="H184" s="119">
        <v>5.8900000000000001E-2</v>
      </c>
      <c r="I184" s="119">
        <v>5.8900000000000001E-2</v>
      </c>
      <c r="J184" s="119">
        <v>5.8900000000000001E-2</v>
      </c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</row>
    <row r="185" spans="1:23" s="55" customFormat="1" ht="13.5" thickBot="1" x14ac:dyDescent="0.25">
      <c r="A185" s="553"/>
      <c r="B185" s="246" t="s">
        <v>106</v>
      </c>
      <c r="C185" s="54" t="e">
        <f t="shared" ref="C185:I185" si="66">C184*C183</f>
        <v>#REF!</v>
      </c>
      <c r="D185" s="54" t="e">
        <f t="shared" si="66"/>
        <v>#REF!</v>
      </c>
      <c r="E185" s="54" t="e">
        <f t="shared" si="66"/>
        <v>#REF!</v>
      </c>
      <c r="F185" s="54" t="e">
        <f t="shared" si="66"/>
        <v>#REF!</v>
      </c>
      <c r="G185" s="54" t="e">
        <f t="shared" si="66"/>
        <v>#REF!</v>
      </c>
      <c r="H185" s="54" t="e">
        <f t="shared" si="66"/>
        <v>#REF!</v>
      </c>
      <c r="I185" s="54" t="e">
        <f t="shared" si="66"/>
        <v>#REF!</v>
      </c>
      <c r="J185" s="278">
        <f>J184*J155</f>
        <v>0</v>
      </c>
      <c r="K185" s="122"/>
      <c r="L185" s="122"/>
      <c r="M185" s="122"/>
      <c r="N185" s="122"/>
      <c r="O185" s="122"/>
      <c r="P185" s="122"/>
      <c r="Q185" s="122"/>
      <c r="R185" s="122"/>
      <c r="S185" s="122"/>
      <c r="T185" s="122"/>
      <c r="U185" s="122"/>
      <c r="V185" s="121"/>
      <c r="W185" s="121"/>
    </row>
    <row r="186" spans="1:23" s="43" customFormat="1" hidden="1" x14ac:dyDescent="0.2">
      <c r="A186" s="553"/>
      <c r="B186" s="52" t="s">
        <v>3</v>
      </c>
      <c r="C186" s="91"/>
      <c r="D186" s="91"/>
      <c r="E186" s="91"/>
      <c r="F186" s="91"/>
      <c r="G186" s="91"/>
      <c r="H186" s="91"/>
      <c r="I186" s="91"/>
      <c r="J186" s="180"/>
      <c r="K186" s="180"/>
      <c r="L186" s="31"/>
      <c r="M186" s="31"/>
      <c r="N186" s="31"/>
      <c r="O186" s="31"/>
      <c r="P186" s="31"/>
      <c r="Q186" s="31"/>
      <c r="R186" s="31"/>
      <c r="S186" s="31"/>
      <c r="T186" s="31"/>
      <c r="U186" s="31"/>
    </row>
    <row r="187" spans="1:23" s="43" customFormat="1" hidden="1" x14ac:dyDescent="0.2">
      <c r="A187" s="553"/>
      <c r="B187" s="22" t="s">
        <v>23</v>
      </c>
      <c r="C187" s="91"/>
      <c r="D187" s="91"/>
      <c r="E187" s="91"/>
      <c r="F187" s="91"/>
      <c r="G187" s="91"/>
      <c r="H187" s="91"/>
      <c r="I187" s="91"/>
      <c r="J187" s="180"/>
      <c r="K187" s="180"/>
      <c r="L187" s="31"/>
      <c r="M187" s="31"/>
      <c r="N187" s="31"/>
      <c r="O187" s="31"/>
      <c r="P187" s="31"/>
      <c r="Q187" s="31"/>
      <c r="R187" s="31"/>
      <c r="S187" s="31"/>
      <c r="T187" s="31"/>
      <c r="U187" s="31"/>
    </row>
    <row r="188" spans="1:23" s="31" customFormat="1" ht="12" hidden="1" customHeight="1" x14ac:dyDescent="0.2">
      <c r="A188" s="553"/>
      <c r="B188" s="23" t="s">
        <v>9</v>
      </c>
      <c r="C188" s="1">
        <v>2.5000000000000001E-2</v>
      </c>
      <c r="D188" s="1">
        <v>2.5000000000000001E-2</v>
      </c>
      <c r="E188" s="1">
        <v>2.5000000000000001E-2</v>
      </c>
      <c r="F188" s="1">
        <f t="shared" ref="F188:K188" si="67">F120</f>
        <v>3.09E-2</v>
      </c>
      <c r="G188" s="1">
        <f t="shared" si="67"/>
        <v>3.09E-2</v>
      </c>
      <c r="H188" s="1">
        <f t="shared" si="67"/>
        <v>3.09E-2</v>
      </c>
      <c r="I188" s="1">
        <f t="shared" si="67"/>
        <v>3.09E-2</v>
      </c>
      <c r="J188" s="1">
        <f t="shared" si="67"/>
        <v>3.09E-2</v>
      </c>
      <c r="K188" s="1">
        <f t="shared" si="67"/>
        <v>3.09E-2</v>
      </c>
    </row>
    <row r="189" spans="1:23" s="43" customFormat="1" hidden="1" x14ac:dyDescent="0.2">
      <c r="A189" s="553"/>
      <c r="B189" s="22" t="s">
        <v>11</v>
      </c>
      <c r="C189" s="4">
        <v>155974.23000000001</v>
      </c>
      <c r="D189" s="4" t="e">
        <f t="shared" ref="D189:K189" si="68">D188*D147</f>
        <v>#REF!</v>
      </c>
      <c r="E189" s="4" t="e">
        <f t="shared" si="68"/>
        <v>#REF!</v>
      </c>
      <c r="F189" s="4" t="e">
        <f t="shared" si="68"/>
        <v>#REF!</v>
      </c>
      <c r="G189" s="4" t="e">
        <f t="shared" si="68"/>
        <v>#REF!</v>
      </c>
      <c r="H189" s="4" t="e">
        <f t="shared" si="68"/>
        <v>#REF!</v>
      </c>
      <c r="I189" s="4" t="e">
        <f t="shared" si="68"/>
        <v>#REF!</v>
      </c>
      <c r="J189" s="270">
        <f t="shared" si="68"/>
        <v>0</v>
      </c>
      <c r="K189" s="270">
        <f t="shared" si="68"/>
        <v>0</v>
      </c>
      <c r="L189" s="31"/>
      <c r="M189" s="31"/>
      <c r="N189" s="31"/>
      <c r="O189" s="31"/>
      <c r="P189" s="31"/>
      <c r="Q189" s="31"/>
      <c r="R189" s="31"/>
      <c r="S189" s="31"/>
      <c r="T189" s="31"/>
      <c r="U189" s="31"/>
    </row>
    <row r="190" spans="1:23" s="31" customFormat="1" hidden="1" x14ac:dyDescent="0.2">
      <c r="A190" s="553"/>
      <c r="B190" s="23" t="s">
        <v>26</v>
      </c>
      <c r="C190" s="49">
        <v>1.9699999999999999E-2</v>
      </c>
      <c r="D190" s="49">
        <v>1.9699999999999999E-2</v>
      </c>
      <c r="E190" s="49">
        <v>1.9699999999999999E-2</v>
      </c>
      <c r="F190" s="49">
        <f t="shared" ref="F190:K190" si="69">F122</f>
        <v>0.02</v>
      </c>
      <c r="G190" s="49">
        <f t="shared" si="69"/>
        <v>0.02</v>
      </c>
      <c r="H190" s="49">
        <f t="shared" si="69"/>
        <v>0.02</v>
      </c>
      <c r="I190" s="49">
        <f t="shared" si="69"/>
        <v>0.02</v>
      </c>
      <c r="J190" s="49">
        <f t="shared" si="69"/>
        <v>0.02</v>
      </c>
      <c r="K190" s="49">
        <f t="shared" si="69"/>
        <v>0.02</v>
      </c>
    </row>
    <row r="191" spans="1:23" s="188" customFormat="1" hidden="1" x14ac:dyDescent="0.2">
      <c r="A191" s="553"/>
      <c r="B191" s="187" t="s">
        <v>27</v>
      </c>
      <c r="C191" s="126">
        <v>122907.69</v>
      </c>
      <c r="D191" s="126" t="e">
        <f t="shared" ref="D191:K191" si="70">D190*D147</f>
        <v>#REF!</v>
      </c>
      <c r="E191" s="126" t="e">
        <f t="shared" si="70"/>
        <v>#REF!</v>
      </c>
      <c r="F191" s="126" t="e">
        <f t="shared" si="70"/>
        <v>#REF!</v>
      </c>
      <c r="G191" s="126" t="e">
        <f t="shared" si="70"/>
        <v>#REF!</v>
      </c>
      <c r="H191" s="126" t="e">
        <f t="shared" si="70"/>
        <v>#REF!</v>
      </c>
      <c r="I191" s="126" t="e">
        <f t="shared" si="70"/>
        <v>#REF!</v>
      </c>
      <c r="J191" s="279">
        <f t="shared" si="70"/>
        <v>0</v>
      </c>
      <c r="K191" s="279">
        <f t="shared" si="70"/>
        <v>0</v>
      </c>
      <c r="L191" s="272"/>
      <c r="M191" s="272"/>
      <c r="N191" s="272"/>
      <c r="O191" s="272"/>
      <c r="P191" s="272"/>
      <c r="Q191" s="272"/>
      <c r="R191" s="272"/>
      <c r="S191" s="272"/>
      <c r="T191" s="272"/>
      <c r="U191" s="272"/>
    </row>
    <row r="192" spans="1:23" s="43" customFormat="1" hidden="1" x14ac:dyDescent="0.2">
      <c r="A192" s="553"/>
      <c r="B192" s="22" t="s">
        <v>4</v>
      </c>
      <c r="C192" s="91"/>
      <c r="D192" s="91"/>
      <c r="E192" s="91"/>
      <c r="F192" s="91"/>
      <c r="G192" s="91"/>
      <c r="H192" s="91"/>
      <c r="I192" s="91"/>
      <c r="J192" s="180"/>
      <c r="K192" s="180"/>
      <c r="L192" s="31"/>
      <c r="M192" s="31"/>
      <c r="N192" s="31"/>
      <c r="O192" s="31"/>
      <c r="P192" s="31"/>
      <c r="Q192" s="31"/>
      <c r="R192" s="31"/>
      <c r="S192" s="31"/>
      <c r="T192" s="31"/>
      <c r="U192" s="31"/>
    </row>
    <row r="193" spans="1:21" s="46" customFormat="1" ht="13.5" hidden="1" thickBot="1" x14ac:dyDescent="0.25">
      <c r="A193" s="553"/>
      <c r="B193" s="143" t="s">
        <v>34</v>
      </c>
      <c r="C193" s="92"/>
      <c r="D193" s="92"/>
      <c r="E193" s="92"/>
      <c r="F193" s="196"/>
      <c r="G193" s="92"/>
      <c r="H193" s="92"/>
      <c r="I193" s="92"/>
      <c r="J193" s="280"/>
      <c r="K193" s="280"/>
      <c r="L193" s="122"/>
      <c r="M193" s="122"/>
      <c r="N193" s="122"/>
      <c r="O193" s="122"/>
      <c r="P193" s="122"/>
      <c r="Q193" s="122"/>
      <c r="R193" s="122"/>
      <c r="S193" s="122"/>
      <c r="T193" s="122"/>
      <c r="U193" s="122"/>
    </row>
    <row r="194" spans="1:21" s="48" customFormat="1" ht="13.5" hidden="1" thickBot="1" x14ac:dyDescent="0.25">
      <c r="A194" s="553"/>
      <c r="B194" s="47" t="s">
        <v>51</v>
      </c>
      <c r="C194" s="73"/>
      <c r="D194" s="73"/>
      <c r="E194" s="73">
        <v>1718778.92</v>
      </c>
      <c r="F194" s="73">
        <v>1938596.5</v>
      </c>
      <c r="G194" s="73">
        <v>2020576.71</v>
      </c>
      <c r="H194" s="73">
        <v>3451015.65</v>
      </c>
      <c r="I194" s="73">
        <v>3667059.58</v>
      </c>
      <c r="J194" s="281">
        <v>2658205.04</v>
      </c>
      <c r="K194" s="281">
        <v>2658206.04</v>
      </c>
      <c r="L194" s="282"/>
      <c r="M194" s="282"/>
      <c r="N194" s="282"/>
      <c r="O194" s="282"/>
      <c r="P194" s="282"/>
      <c r="Q194" s="282"/>
      <c r="R194" s="282"/>
      <c r="S194" s="282"/>
      <c r="T194" s="282"/>
      <c r="U194" s="282"/>
    </row>
    <row r="195" spans="1:21" s="38" customFormat="1" ht="13.5" hidden="1" thickBot="1" x14ac:dyDescent="0.25">
      <c r="A195" s="554"/>
      <c r="B195" s="39" t="s">
        <v>59</v>
      </c>
      <c r="C195" s="37" t="e">
        <f t="shared" ref="C195:K195" si="71">C194/C147*100</f>
        <v>#REF!</v>
      </c>
      <c r="D195" s="37" t="e">
        <f t="shared" si="71"/>
        <v>#REF!</v>
      </c>
      <c r="E195" s="37" t="e">
        <f t="shared" si="71"/>
        <v>#REF!</v>
      </c>
      <c r="F195" s="37" t="e">
        <f t="shared" si="71"/>
        <v>#REF!</v>
      </c>
      <c r="G195" s="37" t="e">
        <f t="shared" si="71"/>
        <v>#REF!</v>
      </c>
      <c r="H195" s="37" t="e">
        <f t="shared" si="71"/>
        <v>#REF!</v>
      </c>
      <c r="I195" s="37" t="e">
        <f t="shared" si="71"/>
        <v>#REF!</v>
      </c>
      <c r="J195" s="283" t="e">
        <f t="shared" si="71"/>
        <v>#DIV/0!</v>
      </c>
      <c r="K195" s="283" t="e">
        <f t="shared" si="71"/>
        <v>#DIV/0!</v>
      </c>
      <c r="L195" s="284"/>
      <c r="M195" s="284"/>
      <c r="N195" s="284"/>
      <c r="O195" s="284"/>
      <c r="P195" s="284"/>
      <c r="Q195" s="284"/>
      <c r="R195" s="284"/>
      <c r="S195" s="284"/>
      <c r="T195" s="284"/>
      <c r="U195" s="284"/>
    </row>
    <row r="196" spans="1:21" ht="13.5" thickBot="1" x14ac:dyDescent="0.25">
      <c r="C196" s="64"/>
      <c r="D196" s="64"/>
    </row>
    <row r="197" spans="1:21" x14ac:dyDescent="0.2">
      <c r="A197" s="543" t="s">
        <v>101</v>
      </c>
      <c r="B197" t="s">
        <v>111</v>
      </c>
      <c r="C197" s="310" t="e">
        <f t="shared" ref="C197:I197" si="72">C170+C168+C166</f>
        <v>#REF!</v>
      </c>
      <c r="D197" s="310" t="e">
        <f t="shared" si="72"/>
        <v>#REF!</v>
      </c>
      <c r="E197" s="310" t="e">
        <f t="shared" si="72"/>
        <v>#REF!</v>
      </c>
      <c r="F197" s="310" t="e">
        <f t="shared" si="72"/>
        <v>#REF!</v>
      </c>
      <c r="G197" s="310" t="e">
        <f t="shared" si="72"/>
        <v>#REF!</v>
      </c>
      <c r="H197" s="310" t="e">
        <f t="shared" si="72"/>
        <v>#REF!</v>
      </c>
      <c r="I197" s="310" t="e">
        <f t="shared" si="72"/>
        <v>#REF!</v>
      </c>
    </row>
    <row r="198" spans="1:21" x14ac:dyDescent="0.2">
      <c r="A198" s="544"/>
      <c r="B198" t="s">
        <v>110</v>
      </c>
      <c r="C198" s="309" t="e">
        <f t="shared" ref="C198:I198" si="73">C182+C178+C174+C189+C191</f>
        <v>#REF!</v>
      </c>
      <c r="D198" s="309" t="e">
        <f t="shared" si="73"/>
        <v>#REF!</v>
      </c>
      <c r="E198" s="309" t="e">
        <f t="shared" si="73"/>
        <v>#REF!</v>
      </c>
      <c r="F198" s="309" t="e">
        <f t="shared" si="73"/>
        <v>#REF!</v>
      </c>
      <c r="G198" s="309" t="e">
        <f t="shared" si="73"/>
        <v>#REF!</v>
      </c>
      <c r="H198" s="309" t="e">
        <f t="shared" si="73"/>
        <v>#REF!</v>
      </c>
      <c r="I198" s="309" t="e">
        <f t="shared" si="73"/>
        <v>#REF!</v>
      </c>
    </row>
    <row r="199" spans="1:21" ht="13.5" thickBot="1" x14ac:dyDescent="0.25">
      <c r="A199" s="545"/>
      <c r="B199" t="s">
        <v>112</v>
      </c>
      <c r="C199" s="309" t="e">
        <f t="shared" ref="C199:I199" si="74">C185</f>
        <v>#REF!</v>
      </c>
      <c r="D199" s="309" t="e">
        <f t="shared" si="74"/>
        <v>#REF!</v>
      </c>
      <c r="E199" s="309" t="e">
        <f t="shared" si="74"/>
        <v>#REF!</v>
      </c>
      <c r="F199" s="309" t="e">
        <f t="shared" si="74"/>
        <v>#REF!</v>
      </c>
      <c r="G199" s="309" t="e">
        <f t="shared" si="74"/>
        <v>#REF!</v>
      </c>
      <c r="H199" s="309" t="e">
        <f t="shared" si="74"/>
        <v>#REF!</v>
      </c>
      <c r="I199" s="309" t="e">
        <f t="shared" si="74"/>
        <v>#REF!</v>
      </c>
    </row>
    <row r="200" spans="1:21" x14ac:dyDescent="0.2">
      <c r="C200" s="309"/>
      <c r="D200" s="309"/>
      <c r="E200" s="309"/>
      <c r="F200" s="309"/>
      <c r="G200" s="309"/>
      <c r="H200" s="309"/>
      <c r="I200" s="309"/>
    </row>
    <row r="201" spans="1:21" x14ac:dyDescent="0.2">
      <c r="B201" s="161" t="s">
        <v>115</v>
      </c>
      <c r="C201" s="313" t="e">
        <f>C197</f>
        <v>#REF!</v>
      </c>
      <c r="D201" s="310" t="e">
        <f t="shared" ref="D201:I201" si="75">D197/D$7*$C$7</f>
        <v>#REF!</v>
      </c>
      <c r="E201" s="310" t="e">
        <f t="shared" si="75"/>
        <v>#REF!</v>
      </c>
      <c r="F201" s="310" t="e">
        <f t="shared" si="75"/>
        <v>#REF!</v>
      </c>
      <c r="G201" s="310" t="e">
        <f t="shared" si="75"/>
        <v>#REF!</v>
      </c>
      <c r="H201" s="310" t="e">
        <f t="shared" si="75"/>
        <v>#REF!</v>
      </c>
      <c r="I201" s="310" t="e">
        <f t="shared" si="75"/>
        <v>#REF!</v>
      </c>
    </row>
    <row r="202" spans="1:21" x14ac:dyDescent="0.2">
      <c r="B202" s="161" t="s">
        <v>116</v>
      </c>
      <c r="C202" s="313" t="e">
        <f>C198</f>
        <v>#REF!</v>
      </c>
      <c r="D202" s="310" t="e">
        <f t="shared" ref="D202:I203" si="76">D198/D$7*$C$7</f>
        <v>#REF!</v>
      </c>
      <c r="E202" s="310" t="e">
        <f t="shared" si="76"/>
        <v>#REF!</v>
      </c>
      <c r="F202" s="310" t="e">
        <f t="shared" si="76"/>
        <v>#REF!</v>
      </c>
      <c r="G202" s="310" t="e">
        <f t="shared" si="76"/>
        <v>#REF!</v>
      </c>
      <c r="H202" s="310" t="e">
        <f t="shared" si="76"/>
        <v>#REF!</v>
      </c>
      <c r="I202" s="310" t="e">
        <f t="shared" si="76"/>
        <v>#REF!</v>
      </c>
    </row>
    <row r="203" spans="1:21" x14ac:dyDescent="0.2">
      <c r="B203" s="161" t="s">
        <v>117</v>
      </c>
      <c r="C203" s="313" t="e">
        <f>C199</f>
        <v>#REF!</v>
      </c>
      <c r="D203" s="310" t="e">
        <f t="shared" si="76"/>
        <v>#REF!</v>
      </c>
      <c r="E203" s="310" t="e">
        <f t="shared" si="76"/>
        <v>#REF!</v>
      </c>
      <c r="F203" s="310" t="e">
        <f t="shared" si="76"/>
        <v>#REF!</v>
      </c>
      <c r="G203" s="310" t="e">
        <f t="shared" si="76"/>
        <v>#REF!</v>
      </c>
      <c r="H203" s="310" t="e">
        <f t="shared" si="76"/>
        <v>#REF!</v>
      </c>
      <c r="I203" s="310" t="e">
        <f t="shared" si="76"/>
        <v>#REF!</v>
      </c>
    </row>
    <row r="204" spans="1:21" x14ac:dyDescent="0.2">
      <c r="C204" s="64"/>
      <c r="D204" s="64"/>
    </row>
    <row r="205" spans="1:21" x14ac:dyDescent="0.2">
      <c r="B205" s="161" t="s">
        <v>118</v>
      </c>
      <c r="C205" s="315" t="e">
        <f>C201/$C201</f>
        <v>#REF!</v>
      </c>
      <c r="D205" s="315" t="e">
        <f t="shared" ref="D205:I205" si="77">D201/$C201</f>
        <v>#REF!</v>
      </c>
      <c r="E205" s="315" t="e">
        <f t="shared" si="77"/>
        <v>#REF!</v>
      </c>
      <c r="F205" s="315" t="e">
        <f t="shared" si="77"/>
        <v>#REF!</v>
      </c>
      <c r="G205" s="315" t="e">
        <f t="shared" si="77"/>
        <v>#REF!</v>
      </c>
      <c r="H205" s="315" t="e">
        <f t="shared" si="77"/>
        <v>#REF!</v>
      </c>
      <c r="I205" s="315" t="e">
        <f t="shared" si="77"/>
        <v>#REF!</v>
      </c>
    </row>
    <row r="206" spans="1:21" x14ac:dyDescent="0.2">
      <c r="B206" s="161" t="s">
        <v>120</v>
      </c>
      <c r="C206" s="315" t="e">
        <f t="shared" ref="C206:I206" si="78">C202/$C202</f>
        <v>#REF!</v>
      </c>
      <c r="D206" s="315" t="e">
        <f t="shared" si="78"/>
        <v>#REF!</v>
      </c>
      <c r="E206" s="315" t="e">
        <f t="shared" si="78"/>
        <v>#REF!</v>
      </c>
      <c r="F206" s="315" t="e">
        <f t="shared" si="78"/>
        <v>#REF!</v>
      </c>
      <c r="G206" s="315" t="e">
        <f t="shared" si="78"/>
        <v>#REF!</v>
      </c>
      <c r="H206" s="315" t="e">
        <f t="shared" si="78"/>
        <v>#REF!</v>
      </c>
      <c r="I206" s="315" t="e">
        <f t="shared" si="78"/>
        <v>#REF!</v>
      </c>
    </row>
    <row r="207" spans="1:21" x14ac:dyDescent="0.2">
      <c r="B207" s="161" t="s">
        <v>119</v>
      </c>
      <c r="C207" s="315" t="e">
        <f t="shared" ref="C207:I207" si="79">C203/$C203</f>
        <v>#REF!</v>
      </c>
      <c r="D207" s="315" t="e">
        <f t="shared" si="79"/>
        <v>#REF!</v>
      </c>
      <c r="E207" s="315" t="e">
        <f t="shared" si="79"/>
        <v>#REF!</v>
      </c>
      <c r="F207" s="315" t="e">
        <f t="shared" si="79"/>
        <v>#REF!</v>
      </c>
      <c r="G207" s="315" t="e">
        <f t="shared" si="79"/>
        <v>#REF!</v>
      </c>
      <c r="H207" s="315" t="e">
        <f t="shared" si="79"/>
        <v>#REF!</v>
      </c>
      <c r="I207" s="315" t="e">
        <f t="shared" si="79"/>
        <v>#REF!</v>
      </c>
    </row>
    <row r="208" spans="1:21" x14ac:dyDescent="0.2">
      <c r="C208" s="64"/>
      <c r="D208" s="64"/>
    </row>
    <row r="209" spans="3:4" x14ac:dyDescent="0.2">
      <c r="C209" s="64"/>
      <c r="D209" s="64"/>
    </row>
    <row r="210" spans="3:4" x14ac:dyDescent="0.2">
      <c r="C210" s="64"/>
      <c r="D210" s="64"/>
    </row>
    <row r="211" spans="3:4" x14ac:dyDescent="0.2">
      <c r="C211" s="64"/>
      <c r="D211" s="64"/>
    </row>
    <row r="212" spans="3:4" x14ac:dyDescent="0.2">
      <c r="C212" s="64"/>
      <c r="D212" s="64"/>
    </row>
    <row r="213" spans="3:4" x14ac:dyDescent="0.2">
      <c r="C213" s="64"/>
      <c r="D213" s="64"/>
    </row>
    <row r="214" spans="3:4" x14ac:dyDescent="0.2">
      <c r="C214" s="64"/>
      <c r="D214" s="64"/>
    </row>
    <row r="215" spans="3:4" x14ac:dyDescent="0.2">
      <c r="C215" s="64"/>
      <c r="D215" s="64"/>
    </row>
    <row r="216" spans="3:4" x14ac:dyDescent="0.2">
      <c r="C216" s="64"/>
      <c r="D216" s="64"/>
    </row>
    <row r="217" spans="3:4" x14ac:dyDescent="0.2">
      <c r="C217" s="64"/>
      <c r="D217" s="64"/>
    </row>
    <row r="218" spans="3:4" x14ac:dyDescent="0.2">
      <c r="C218" s="64"/>
      <c r="D218" s="64"/>
    </row>
    <row r="219" spans="3:4" x14ac:dyDescent="0.2">
      <c r="C219" s="64"/>
      <c r="D219" s="64"/>
    </row>
    <row r="220" spans="3:4" x14ac:dyDescent="0.2">
      <c r="C220" s="64"/>
      <c r="D220" s="64"/>
    </row>
    <row r="221" spans="3:4" x14ac:dyDescent="0.2">
      <c r="C221" s="64"/>
      <c r="D221" s="64"/>
    </row>
    <row r="222" spans="3:4" x14ac:dyDescent="0.2">
      <c r="C222" s="64"/>
      <c r="D222" s="64"/>
    </row>
    <row r="223" spans="3:4" x14ac:dyDescent="0.2">
      <c r="C223" s="64"/>
      <c r="D223" s="64"/>
    </row>
    <row r="224" spans="3:4" x14ac:dyDescent="0.2">
      <c r="C224" s="64"/>
      <c r="D224" s="64"/>
    </row>
    <row r="225" spans="3:4" x14ac:dyDescent="0.2">
      <c r="C225" s="64"/>
      <c r="D225" s="64"/>
    </row>
    <row r="226" spans="3:4" x14ac:dyDescent="0.2">
      <c r="C226" s="64"/>
      <c r="D226" s="64"/>
    </row>
    <row r="227" spans="3:4" x14ac:dyDescent="0.2">
      <c r="C227" s="64"/>
      <c r="D227" s="64"/>
    </row>
    <row r="228" spans="3:4" x14ac:dyDescent="0.2">
      <c r="C228" s="64"/>
      <c r="D228" s="64"/>
    </row>
    <row r="229" spans="3:4" x14ac:dyDescent="0.2">
      <c r="C229" s="64"/>
      <c r="D229" s="64"/>
    </row>
    <row r="230" spans="3:4" x14ac:dyDescent="0.2">
      <c r="C230" s="64"/>
      <c r="D230" s="64"/>
    </row>
    <row r="231" spans="3:4" x14ac:dyDescent="0.2">
      <c r="C231" s="64"/>
      <c r="D231" s="64"/>
    </row>
    <row r="232" spans="3:4" x14ac:dyDescent="0.2">
      <c r="C232" s="64"/>
      <c r="D232" s="64"/>
    </row>
    <row r="233" spans="3:4" x14ac:dyDescent="0.2">
      <c r="C233" s="64"/>
      <c r="D233" s="64"/>
    </row>
    <row r="234" spans="3:4" x14ac:dyDescent="0.2">
      <c r="C234" s="64"/>
      <c r="D234" s="64"/>
    </row>
    <row r="235" spans="3:4" x14ac:dyDescent="0.2">
      <c r="C235" s="64"/>
      <c r="D235" s="64"/>
    </row>
    <row r="236" spans="3:4" x14ac:dyDescent="0.2">
      <c r="C236" s="64"/>
      <c r="D236" s="64"/>
    </row>
    <row r="237" spans="3:4" x14ac:dyDescent="0.2">
      <c r="C237" s="64"/>
      <c r="D237" s="64"/>
    </row>
    <row r="238" spans="3:4" x14ac:dyDescent="0.2">
      <c r="C238" s="64"/>
      <c r="D238" s="64"/>
    </row>
    <row r="239" spans="3:4" x14ac:dyDescent="0.2">
      <c r="C239" s="64"/>
      <c r="D239" s="64"/>
    </row>
    <row r="240" spans="3:4" x14ac:dyDescent="0.2">
      <c r="C240" s="64"/>
      <c r="D240" s="64"/>
    </row>
    <row r="241" spans="3:4" x14ac:dyDescent="0.2">
      <c r="C241" s="64"/>
      <c r="D241" s="64"/>
    </row>
    <row r="242" spans="3:4" x14ac:dyDescent="0.2">
      <c r="C242" s="64"/>
      <c r="D242" s="64"/>
    </row>
    <row r="243" spans="3:4" x14ac:dyDescent="0.2">
      <c r="C243" s="64"/>
      <c r="D243" s="64"/>
    </row>
    <row r="244" spans="3:4" x14ac:dyDescent="0.2">
      <c r="C244" s="64"/>
      <c r="D244" s="64"/>
    </row>
    <row r="245" spans="3:4" x14ac:dyDescent="0.2">
      <c r="C245" s="64"/>
      <c r="D245" s="64"/>
    </row>
    <row r="246" spans="3:4" x14ac:dyDescent="0.2">
      <c r="C246" s="64"/>
      <c r="D246" s="64"/>
    </row>
    <row r="247" spans="3:4" x14ac:dyDescent="0.2">
      <c r="C247" s="64"/>
      <c r="D247" s="64"/>
    </row>
    <row r="248" spans="3:4" x14ac:dyDescent="0.2">
      <c r="C248" s="64"/>
      <c r="D248" s="64"/>
    </row>
    <row r="249" spans="3:4" x14ac:dyDescent="0.2">
      <c r="C249" s="64"/>
      <c r="D249" s="64"/>
    </row>
    <row r="250" spans="3:4" x14ac:dyDescent="0.2">
      <c r="C250" s="64"/>
      <c r="D250" s="64"/>
    </row>
    <row r="251" spans="3:4" x14ac:dyDescent="0.2">
      <c r="C251" s="64"/>
      <c r="D251" s="64"/>
    </row>
    <row r="252" spans="3:4" x14ac:dyDescent="0.2">
      <c r="C252" s="64"/>
      <c r="D252" s="64"/>
    </row>
    <row r="253" spans="3:4" x14ac:dyDescent="0.2">
      <c r="C253" s="64"/>
      <c r="D253" s="64"/>
    </row>
    <row r="254" spans="3:4" x14ac:dyDescent="0.2">
      <c r="C254" s="64"/>
      <c r="D254" s="64"/>
    </row>
    <row r="255" spans="3:4" x14ac:dyDescent="0.2">
      <c r="C255" s="64"/>
      <c r="D255" s="64"/>
    </row>
    <row r="256" spans="3:4" x14ac:dyDescent="0.2">
      <c r="C256" s="64"/>
      <c r="D256" s="64"/>
    </row>
    <row r="257" spans="3:4" x14ac:dyDescent="0.2">
      <c r="C257" s="64"/>
      <c r="D257" s="64"/>
    </row>
    <row r="258" spans="3:4" x14ac:dyDescent="0.2">
      <c r="C258" s="64"/>
      <c r="D258" s="64"/>
    </row>
    <row r="259" spans="3:4" x14ac:dyDescent="0.2">
      <c r="C259" s="64"/>
      <c r="D259" s="64"/>
    </row>
    <row r="260" spans="3:4" x14ac:dyDescent="0.2">
      <c r="C260" s="64"/>
      <c r="D260" s="64"/>
    </row>
    <row r="261" spans="3:4" x14ac:dyDescent="0.2">
      <c r="C261" s="64"/>
      <c r="D261" s="64"/>
    </row>
    <row r="262" spans="3:4" x14ac:dyDescent="0.2">
      <c r="C262" s="64"/>
      <c r="D262" s="64"/>
    </row>
    <row r="263" spans="3:4" x14ac:dyDescent="0.2">
      <c r="C263" s="64"/>
      <c r="D263" s="64"/>
    </row>
    <row r="264" spans="3:4" x14ac:dyDescent="0.2">
      <c r="C264" s="64"/>
      <c r="D264" s="64"/>
    </row>
    <row r="265" spans="3:4" x14ac:dyDescent="0.2">
      <c r="C265" s="64"/>
      <c r="D265" s="64"/>
    </row>
    <row r="266" spans="3:4" x14ac:dyDescent="0.2">
      <c r="C266" s="64"/>
      <c r="D266" s="64"/>
    </row>
    <row r="267" spans="3:4" x14ac:dyDescent="0.2">
      <c r="C267" s="64"/>
      <c r="D267" s="64"/>
    </row>
    <row r="268" spans="3:4" x14ac:dyDescent="0.2">
      <c r="C268" s="64"/>
      <c r="D268" s="64"/>
    </row>
    <row r="269" spans="3:4" x14ac:dyDescent="0.2">
      <c r="C269" s="64"/>
      <c r="D269" s="64"/>
    </row>
    <row r="270" spans="3:4" x14ac:dyDescent="0.2">
      <c r="C270" s="64"/>
      <c r="D270" s="64"/>
    </row>
    <row r="271" spans="3:4" x14ac:dyDescent="0.2">
      <c r="C271" s="64"/>
      <c r="D271" s="64"/>
    </row>
    <row r="272" spans="3:4" x14ac:dyDescent="0.2">
      <c r="C272" s="64"/>
      <c r="D272" s="64"/>
    </row>
    <row r="273" spans="3:4" x14ac:dyDescent="0.2">
      <c r="C273" s="64"/>
      <c r="D273" s="64"/>
    </row>
    <row r="274" spans="3:4" x14ac:dyDescent="0.2">
      <c r="C274" s="64"/>
      <c r="D274" s="64"/>
    </row>
    <row r="275" spans="3:4" x14ac:dyDescent="0.2">
      <c r="C275" s="64"/>
      <c r="D275" s="64"/>
    </row>
    <row r="276" spans="3:4" x14ac:dyDescent="0.2">
      <c r="C276" s="64"/>
      <c r="D276" s="64"/>
    </row>
    <row r="277" spans="3:4" x14ac:dyDescent="0.2">
      <c r="C277" s="64"/>
      <c r="D277" s="64"/>
    </row>
    <row r="278" spans="3:4" x14ac:dyDescent="0.2">
      <c r="C278" s="64"/>
      <c r="D278" s="64"/>
    </row>
    <row r="279" spans="3:4" x14ac:dyDescent="0.2">
      <c r="C279" s="64"/>
      <c r="D279" s="64"/>
    </row>
    <row r="280" spans="3:4" x14ac:dyDescent="0.2">
      <c r="C280" s="64"/>
      <c r="D280" s="64"/>
    </row>
    <row r="281" spans="3:4" x14ac:dyDescent="0.2">
      <c r="C281" s="64"/>
      <c r="D281" s="64"/>
    </row>
    <row r="282" spans="3:4" x14ac:dyDescent="0.2">
      <c r="C282" s="64"/>
      <c r="D282" s="64"/>
    </row>
    <row r="283" spans="3:4" x14ac:dyDescent="0.2">
      <c r="C283" s="64"/>
      <c r="D283" s="64"/>
    </row>
    <row r="284" spans="3:4" x14ac:dyDescent="0.2">
      <c r="C284" s="64"/>
      <c r="D284" s="64"/>
    </row>
    <row r="285" spans="3:4" x14ac:dyDescent="0.2">
      <c r="C285" s="64"/>
      <c r="D285" s="64"/>
    </row>
    <row r="286" spans="3:4" x14ac:dyDescent="0.2">
      <c r="C286" s="64"/>
      <c r="D286" s="64"/>
    </row>
    <row r="287" spans="3:4" x14ac:dyDescent="0.2">
      <c r="C287" s="64"/>
      <c r="D287" s="64"/>
    </row>
    <row r="288" spans="3:4" x14ac:dyDescent="0.2">
      <c r="C288" s="64"/>
      <c r="D288" s="64"/>
    </row>
    <row r="289" spans="3:4" x14ac:dyDescent="0.2">
      <c r="C289" s="64"/>
      <c r="D289" s="64"/>
    </row>
    <row r="290" spans="3:4" x14ac:dyDescent="0.2">
      <c r="C290" s="64"/>
      <c r="D290" s="64"/>
    </row>
    <row r="291" spans="3:4" x14ac:dyDescent="0.2">
      <c r="C291" s="64"/>
      <c r="D291" s="64"/>
    </row>
    <row r="292" spans="3:4" x14ac:dyDescent="0.2">
      <c r="C292" s="64"/>
      <c r="D292" s="64"/>
    </row>
  </sheetData>
  <mergeCells count="6">
    <mergeCell ref="A197:A199"/>
    <mergeCell ref="A2:A55"/>
    <mergeCell ref="A74:A126"/>
    <mergeCell ref="A142:A195"/>
    <mergeCell ref="A129:A131"/>
    <mergeCell ref="A60:A71"/>
  </mergeCells>
  <conditionalFormatting sqref="J79:W79">
    <cfRule type="expression" dxfId="28" priority="30" stopIfTrue="1">
      <formula>J79&lt;&gt;SUM(J76:J78)</formula>
    </cfRule>
  </conditionalFormatting>
  <conditionalFormatting sqref="B155 K155:GY155 K15:GY15 B15">
    <cfRule type="cellIs" dxfId="27" priority="29" stopIfTrue="1" operator="equal">
      <formula>""""""</formula>
    </cfRule>
  </conditionalFormatting>
  <conditionalFormatting sqref="J15 J155">
    <cfRule type="cellIs" dxfId="26" priority="28" stopIfTrue="1" operator="greaterThan">
      <formula>0</formula>
    </cfRule>
  </conditionalFormatting>
  <conditionalFormatting sqref="J83:XFD83">
    <cfRule type="expression" dxfId="25" priority="27" stopIfTrue="1">
      <formula>J83&lt;&gt;MAX(J81:J82)</formula>
    </cfRule>
  </conditionalFormatting>
  <conditionalFormatting sqref="J151:XFD151">
    <cfRule type="expression" dxfId="24" priority="26" stopIfTrue="1">
      <formula>J151&lt;&gt;MAX(J149:J150)</formula>
    </cfRule>
  </conditionalFormatting>
  <conditionalFormatting sqref="A147 J7:XFD7 J147:XFD147">
    <cfRule type="expression" dxfId="23" priority="25">
      <formula>A$147&lt;&gt;SUM(A$144:A$146)</formula>
    </cfRule>
  </conditionalFormatting>
  <conditionalFormatting sqref="J11:XFD11">
    <cfRule type="expression" dxfId="22" priority="24" stopIfTrue="1">
      <formula>J11&lt;&gt;MAX(J9:J10)</formula>
    </cfRule>
  </conditionalFormatting>
  <conditionalFormatting sqref="A7">
    <cfRule type="expression" dxfId="21" priority="23">
      <formula>A$147&lt;&gt;SUM(A$144:A$146)</formula>
    </cfRule>
  </conditionalFormatting>
  <conditionalFormatting sqref="C11:I11">
    <cfRule type="expression" dxfId="20" priority="18" stopIfTrue="1">
      <formula>C11&lt;&gt;MAX(C9:C10)</formula>
    </cfRule>
  </conditionalFormatting>
  <conditionalFormatting sqref="C155:I155">
    <cfRule type="cellIs" dxfId="19" priority="17" stopIfTrue="1" operator="greaterThan">
      <formula>0</formula>
    </cfRule>
  </conditionalFormatting>
  <conditionalFormatting sqref="C151:I151">
    <cfRule type="expression" dxfId="18" priority="16" stopIfTrue="1">
      <formula>C151&lt;&gt;MAX(C149:C150)</formula>
    </cfRule>
  </conditionalFormatting>
  <conditionalFormatting sqref="C147:AI147">
    <cfRule type="expression" dxfId="17" priority="15">
      <formula>C$147&lt;&gt;SUM(C$144:C$146)</formula>
    </cfRule>
  </conditionalFormatting>
  <conditionalFormatting sqref="C15:G15">
    <cfRule type="cellIs" dxfId="16" priority="14" stopIfTrue="1" operator="greaterThan">
      <formula>0</formula>
    </cfRule>
  </conditionalFormatting>
  <conditionalFormatting sqref="C11:G11">
    <cfRule type="expression" dxfId="15" priority="13" stopIfTrue="1">
      <formula>C11&lt;&gt;MAX(C9:C10)</formula>
    </cfRule>
  </conditionalFormatting>
  <conditionalFormatting sqref="C7:AG7">
    <cfRule type="expression" dxfId="14" priority="12">
      <formula>C$7&lt;&gt;SUM(C$4:C$6)</formula>
    </cfRule>
  </conditionalFormatting>
  <conditionalFormatting sqref="H15:I15">
    <cfRule type="cellIs" dxfId="13" priority="11" stopIfTrue="1" operator="greaterThan">
      <formula>0</formula>
    </cfRule>
  </conditionalFormatting>
  <conditionalFormatting sqref="H11:I11">
    <cfRule type="expression" dxfId="12" priority="10" stopIfTrue="1">
      <formula>H11&lt;&gt;MAX(H9:H10)</formula>
    </cfRule>
  </conditionalFormatting>
  <conditionalFormatting sqref="H7:I7">
    <cfRule type="expression" dxfId="11" priority="9">
      <formula>H$113&lt;&gt;SUM(H$110:H$112)</formula>
    </cfRule>
  </conditionalFormatting>
  <conditionalFormatting sqref="C83:I83">
    <cfRule type="expression" dxfId="10" priority="8" stopIfTrue="1">
      <formula>C83&lt;&gt;MAX(C81:C82)</formula>
    </cfRule>
  </conditionalFormatting>
  <conditionalFormatting sqref="C87:G87">
    <cfRule type="cellIs" dxfId="9" priority="7" stopIfTrue="1" operator="greaterThan">
      <formula>0</formula>
    </cfRule>
  </conditionalFormatting>
  <conditionalFormatting sqref="C83:G83">
    <cfRule type="expression" dxfId="8" priority="6" stopIfTrue="1">
      <formula>C83&lt;&gt;MAX(C81:C82)</formula>
    </cfRule>
  </conditionalFormatting>
  <conditionalFormatting sqref="C79:AG79">
    <cfRule type="expression" dxfId="7" priority="5">
      <formula>C$79&lt;&gt;SUM(C$76:C$78)</formula>
    </cfRule>
  </conditionalFormatting>
  <conditionalFormatting sqref="H87:I87">
    <cfRule type="cellIs" dxfId="6" priority="4" stopIfTrue="1" operator="greaterThan">
      <formula>0</formula>
    </cfRule>
  </conditionalFormatting>
  <conditionalFormatting sqref="H83:I83">
    <cfRule type="expression" dxfId="5" priority="3" stopIfTrue="1">
      <formula>H83&lt;&gt;MAX(H81:H82)</formula>
    </cfRule>
  </conditionalFormatting>
  <conditionalFormatting sqref="H79:I79">
    <cfRule type="expression" dxfId="4" priority="2">
      <formula>H$113&lt;&gt;SUM(H$110:H$112)</formula>
    </cfRule>
  </conditionalFormatting>
  <conditionalFormatting sqref="H7:I7">
    <cfRule type="expression" dxfId="3" priority="1">
      <formula>H$7&lt;&gt;SUM(H$4:H$6)</formula>
    </cfRule>
  </conditionalFormatting>
  <pageMargins left="0.75" right="0.75" top="1" bottom="1" header="0.5" footer="0.5"/>
  <pageSetup paperSize="9" orientation="portrait" horizontalDpi="4294967293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Q41"/>
  <sheetViews>
    <sheetView workbookViewId="0">
      <selection activeCell="P32" sqref="P32"/>
    </sheetView>
  </sheetViews>
  <sheetFormatPr defaultRowHeight="12.75" x14ac:dyDescent="0.2"/>
  <cols>
    <col min="1" max="1" width="27.5703125" style="481" bestFit="1" customWidth="1"/>
    <col min="2" max="2" width="12.28515625" style="481" bestFit="1" customWidth="1"/>
    <col min="3" max="3" width="9.28515625" style="481" bestFit="1" customWidth="1"/>
    <col min="4" max="9" width="11.140625" style="481" bestFit="1" customWidth="1"/>
    <col min="10" max="15" width="9.28515625" style="481" bestFit="1" customWidth="1"/>
    <col min="16" max="16" width="10.5703125" style="481" bestFit="1" customWidth="1"/>
    <col min="17" max="22" width="9.28515625" style="481" bestFit="1" customWidth="1"/>
    <col min="23" max="16384" width="9.140625" style="481"/>
  </cols>
  <sheetData>
    <row r="1" spans="1:95" s="350" customFormat="1" ht="13.5" thickBot="1" x14ac:dyDescent="0.25">
      <c r="A1" s="349"/>
      <c r="B1" s="365"/>
      <c r="C1" s="351">
        <v>40188</v>
      </c>
      <c r="D1" s="351">
        <v>40219</v>
      </c>
      <c r="E1" s="352">
        <v>40247</v>
      </c>
      <c r="F1" s="351">
        <v>40278</v>
      </c>
      <c r="G1" s="351">
        <v>40308</v>
      </c>
      <c r="H1" s="351">
        <v>40339</v>
      </c>
      <c r="I1" s="351">
        <v>40369</v>
      </c>
      <c r="J1" s="351">
        <v>40400</v>
      </c>
      <c r="K1" s="351">
        <v>40431</v>
      </c>
      <c r="L1" s="351">
        <v>40461</v>
      </c>
      <c r="M1" s="351">
        <v>40492</v>
      </c>
      <c r="N1" s="351">
        <v>40522</v>
      </c>
      <c r="O1" s="351"/>
      <c r="P1" s="351"/>
      <c r="Q1" s="351"/>
      <c r="R1" s="351"/>
      <c r="S1" s="351"/>
      <c r="T1" s="351"/>
      <c r="U1" s="351"/>
      <c r="V1" s="351"/>
      <c r="W1" s="351"/>
      <c r="X1" s="351"/>
      <c r="Y1" s="351"/>
      <c r="Z1" s="351"/>
      <c r="AA1" s="351"/>
      <c r="AB1" s="351"/>
      <c r="AC1" s="351"/>
      <c r="AD1" s="351"/>
      <c r="AE1" s="351"/>
      <c r="AF1" s="351"/>
      <c r="AG1" s="351"/>
      <c r="AH1" s="351"/>
      <c r="AI1" s="351"/>
      <c r="AJ1" s="351"/>
      <c r="AK1" s="351"/>
      <c r="AL1" s="351"/>
      <c r="AM1" s="351"/>
      <c r="AN1" s="351"/>
      <c r="AO1" s="351"/>
      <c r="AP1" s="351"/>
      <c r="AQ1" s="351"/>
      <c r="AR1" s="351"/>
      <c r="AS1" s="351"/>
      <c r="AT1" s="351"/>
      <c r="AU1" s="351"/>
      <c r="AV1" s="351"/>
      <c r="AW1" s="351"/>
      <c r="AX1" s="351"/>
      <c r="AY1" s="351"/>
      <c r="AZ1" s="351"/>
      <c r="BA1" s="351"/>
      <c r="BB1" s="351"/>
      <c r="BC1" s="351"/>
      <c r="BD1" s="351"/>
      <c r="BE1" s="351"/>
      <c r="BF1" s="351"/>
      <c r="BG1" s="351"/>
      <c r="BH1" s="351"/>
      <c r="BI1" s="351"/>
      <c r="BJ1" s="351"/>
      <c r="BK1" s="351"/>
      <c r="BL1" s="351"/>
      <c r="BM1" s="351"/>
      <c r="BN1" s="351"/>
      <c r="BO1" s="386"/>
      <c r="BP1" s="386"/>
      <c r="BQ1" s="386"/>
      <c r="BR1" s="386"/>
      <c r="BS1" s="386"/>
      <c r="BT1" s="386"/>
      <c r="BU1" s="386"/>
      <c r="BV1" s="386"/>
      <c r="BW1" s="386"/>
      <c r="BX1" s="386"/>
      <c r="BY1" s="386"/>
      <c r="BZ1" s="386"/>
      <c r="CA1" s="386"/>
      <c r="CB1" s="386"/>
      <c r="CC1" s="386"/>
      <c r="CD1" s="386"/>
      <c r="CE1" s="386"/>
      <c r="CF1" s="386"/>
      <c r="CG1" s="386"/>
      <c r="CH1" s="386"/>
      <c r="CI1" s="386"/>
      <c r="CJ1" s="386"/>
      <c r="CK1" s="386"/>
      <c r="CL1" s="386"/>
      <c r="CM1" s="386"/>
      <c r="CN1" s="386"/>
      <c r="CO1" s="386"/>
      <c r="CP1" s="386"/>
      <c r="CQ1" s="386"/>
    </row>
    <row r="2" spans="1:95" s="474" customFormat="1" x14ac:dyDescent="0.2">
      <c r="A2" s="473" t="str">
        <f>Eskom!A39</f>
        <v>Gemsbok</v>
      </c>
      <c r="B2" s="484">
        <f>Eskom!$J$10</f>
        <v>12.73</v>
      </c>
    </row>
    <row r="3" spans="1:95" s="472" customFormat="1" x14ac:dyDescent="0.2">
      <c r="A3" s="475" t="str">
        <f>Eskom!B39</f>
        <v>Notified Max Demand</v>
      </c>
      <c r="B3" s="472">
        <f>Eskom!C39</f>
        <v>4500</v>
      </c>
      <c r="C3" s="472">
        <f>Eskom!D39</f>
        <v>4500</v>
      </c>
      <c r="D3" s="472">
        <f>Eskom!E39</f>
        <v>4500</v>
      </c>
      <c r="E3" s="472">
        <f>Eskom!F39</f>
        <v>4500</v>
      </c>
      <c r="F3" s="472">
        <f>Eskom!G39</f>
        <v>0</v>
      </c>
      <c r="G3" s="472">
        <f>Eskom!H39</f>
        <v>0</v>
      </c>
      <c r="H3" s="472">
        <f>Eskom!I39</f>
        <v>0</v>
      </c>
      <c r="I3" s="472">
        <f>Eskom!J39</f>
        <v>4500</v>
      </c>
      <c r="J3" s="472" t="str">
        <f>Eskom!K39</f>
        <v>x</v>
      </c>
      <c r="K3" s="472">
        <f>Eskom!L39</f>
        <v>0</v>
      </c>
      <c r="L3" s="472">
        <f>Eskom!M39</f>
        <v>0</v>
      </c>
      <c r="M3" s="472">
        <f>Eskom!N39</f>
        <v>0</v>
      </c>
      <c r="N3" s="472">
        <f>Eskom!O39</f>
        <v>0</v>
      </c>
    </row>
    <row r="4" spans="1:95" s="468" customFormat="1" x14ac:dyDescent="0.2">
      <c r="A4" s="476" t="str">
        <f>Eskom!B45</f>
        <v>Off-Peak Demand Consumption</v>
      </c>
      <c r="B4" s="468">
        <f>Eskom!C45</f>
        <v>2281.11</v>
      </c>
      <c r="C4" s="468">
        <f>Eskom!D45</f>
        <v>0</v>
      </c>
      <c r="D4" s="468">
        <f>Eskom!E45</f>
        <v>2326.23</v>
      </c>
      <c r="E4" s="468">
        <f>Eskom!F45</f>
        <v>2326.52</v>
      </c>
      <c r="F4" s="468">
        <f>Eskom!G45</f>
        <v>0</v>
      </c>
      <c r="G4" s="468">
        <f>Eskom!H45</f>
        <v>0</v>
      </c>
      <c r="H4" s="468">
        <f>Eskom!I45</f>
        <v>0</v>
      </c>
      <c r="I4" s="468">
        <f>Eskom!J45</f>
        <v>1998.72</v>
      </c>
      <c r="K4" s="468">
        <f>Eskom!L45</f>
        <v>0</v>
      </c>
      <c r="L4" s="468">
        <f>Eskom!M45</f>
        <v>0</v>
      </c>
      <c r="M4" s="468">
        <f>Eskom!N45</f>
        <v>0</v>
      </c>
      <c r="N4" s="468">
        <f>Eskom!O45</f>
        <v>0</v>
      </c>
    </row>
    <row r="5" spans="1:95" s="469" customFormat="1" x14ac:dyDescent="0.2">
      <c r="A5" s="477" t="str">
        <f>Eskom!B46</f>
        <v>Std Demand Consumption</v>
      </c>
      <c r="B5" s="469">
        <f>Eskom!C46</f>
        <v>2336.35</v>
      </c>
      <c r="C5" s="469">
        <f>Eskom!D46</f>
        <v>0</v>
      </c>
      <c r="D5" s="469">
        <f>Eskom!E46</f>
        <v>2379.92</v>
      </c>
      <c r="E5" s="469">
        <f>Eskom!F46</f>
        <v>2359.12</v>
      </c>
      <c r="F5" s="469">
        <f>Eskom!G46</f>
        <v>0</v>
      </c>
      <c r="G5" s="469">
        <f>Eskom!H46</f>
        <v>0</v>
      </c>
      <c r="H5" s="469">
        <f>Eskom!I46</f>
        <v>0</v>
      </c>
      <c r="I5" s="469">
        <f>Eskom!J46</f>
        <v>2106</v>
      </c>
      <c r="K5" s="469">
        <f>Eskom!L46</f>
        <v>0</v>
      </c>
      <c r="L5" s="469">
        <f>Eskom!M46</f>
        <v>0</v>
      </c>
      <c r="M5" s="469">
        <f>Eskom!N46</f>
        <v>0</v>
      </c>
      <c r="N5" s="469">
        <f>Eskom!O46</f>
        <v>0</v>
      </c>
    </row>
    <row r="6" spans="1:95" s="470" customFormat="1" x14ac:dyDescent="0.2">
      <c r="A6" s="478" t="str">
        <f>Eskom!B47</f>
        <v>Peak Demand Consumption</v>
      </c>
      <c r="B6" s="470">
        <f>Eskom!C47</f>
        <v>2331.84</v>
      </c>
      <c r="C6" s="470">
        <f>Eskom!D47</f>
        <v>0</v>
      </c>
      <c r="D6" s="470">
        <f>Eskom!E47</f>
        <v>2366.3200000000002</v>
      </c>
      <c r="E6" s="470">
        <f>Eskom!F47</f>
        <v>2363.6799999999998</v>
      </c>
      <c r="F6" s="470">
        <f>Eskom!G47</f>
        <v>0</v>
      </c>
      <c r="G6" s="470">
        <f>Eskom!H47</f>
        <v>0</v>
      </c>
      <c r="H6" s="470">
        <f>Eskom!I47</f>
        <v>0</v>
      </c>
      <c r="I6" s="470">
        <f>Eskom!J47</f>
        <v>2121.84</v>
      </c>
      <c r="K6" s="470">
        <f>Eskom!L47</f>
        <v>0</v>
      </c>
      <c r="L6" s="470">
        <f>Eskom!M47</f>
        <v>0</v>
      </c>
      <c r="M6" s="470">
        <f>Eskom!N47</f>
        <v>0</v>
      </c>
      <c r="N6" s="470">
        <f>Eskom!O47</f>
        <v>0</v>
      </c>
    </row>
    <row r="7" spans="1:95" s="471" customFormat="1" x14ac:dyDescent="0.2">
      <c r="A7" s="479" t="str">
        <f>Eskom!B48</f>
        <v>Demand Reading kW/kVA</v>
      </c>
      <c r="B7" s="471">
        <f>Eskom!C48</f>
        <v>2336.35</v>
      </c>
      <c r="C7" s="471">
        <f>Eskom!D48</f>
        <v>0</v>
      </c>
      <c r="D7" s="471">
        <f>Eskom!E48</f>
        <v>2379.92</v>
      </c>
      <c r="E7" s="471">
        <f>Eskom!F48</f>
        <v>2363.6799999999998</v>
      </c>
      <c r="F7" s="471">
        <f>Eskom!G48</f>
        <v>0</v>
      </c>
      <c r="G7" s="471">
        <f>Eskom!H48</f>
        <v>0</v>
      </c>
      <c r="H7" s="471">
        <f>Eskom!I48</f>
        <v>0</v>
      </c>
      <c r="I7" s="471">
        <f>Eskom!J48</f>
        <v>2121.84</v>
      </c>
      <c r="K7" s="471">
        <f>Eskom!L48</f>
        <v>0</v>
      </c>
      <c r="L7" s="471">
        <f>Eskom!M48</f>
        <v>0</v>
      </c>
      <c r="M7" s="471">
        <f>Eskom!N48</f>
        <v>0</v>
      </c>
      <c r="N7" s="471">
        <f>Eskom!O48</f>
        <v>0</v>
      </c>
    </row>
    <row r="13" spans="1:95" x14ac:dyDescent="0.2">
      <c r="A13" s="480" t="str">
        <f>Eskom!A95</f>
        <v>Waterpan Mill</v>
      </c>
    </row>
    <row r="14" spans="1:95" s="472" customFormat="1" x14ac:dyDescent="0.2">
      <c r="A14" s="475" t="str">
        <f>Eskom!B95</f>
        <v>Notified Max Demand</v>
      </c>
      <c r="B14" s="472">
        <f>Eskom!C95</f>
        <v>0</v>
      </c>
      <c r="C14" s="472">
        <f>Eskom!D95</f>
        <v>0</v>
      </c>
      <c r="D14" s="472">
        <f>Eskom!E95</f>
        <v>0</v>
      </c>
      <c r="E14" s="472">
        <f>Eskom!F95</f>
        <v>0</v>
      </c>
      <c r="F14" s="472">
        <f>Eskom!G95</f>
        <v>0</v>
      </c>
      <c r="G14" s="472">
        <f>Eskom!H95</f>
        <v>0</v>
      </c>
      <c r="H14" s="472">
        <f>Eskom!I95</f>
        <v>0</v>
      </c>
      <c r="I14" s="472">
        <f>Eskom!J95</f>
        <v>0</v>
      </c>
      <c r="J14" s="472">
        <f>Eskom!K95</f>
        <v>0</v>
      </c>
      <c r="K14" s="472">
        <f>Eskom!L95</f>
        <v>0</v>
      </c>
      <c r="L14" s="472">
        <f>Eskom!M95</f>
        <v>0</v>
      </c>
      <c r="M14" s="472">
        <f>Eskom!N95</f>
        <v>0</v>
      </c>
      <c r="N14" s="472">
        <f>Eskom!O95</f>
        <v>0</v>
      </c>
    </row>
    <row r="15" spans="1:95" s="468" customFormat="1" x14ac:dyDescent="0.2">
      <c r="A15" s="476" t="str">
        <f>Eskom!B101</f>
        <v>Off-Peak Demand Consumption</v>
      </c>
      <c r="B15" s="468">
        <f>Eskom!C101</f>
        <v>0</v>
      </c>
      <c r="C15" s="468">
        <f>Eskom!D101</f>
        <v>0</v>
      </c>
      <c r="D15" s="468">
        <f>Eskom!E101</f>
        <v>0</v>
      </c>
      <c r="E15" s="468">
        <f>Eskom!F101</f>
        <v>0</v>
      </c>
      <c r="F15" s="468">
        <f>Eskom!G101</f>
        <v>0</v>
      </c>
      <c r="G15" s="468">
        <f>Eskom!H101</f>
        <v>0</v>
      </c>
      <c r="H15" s="468">
        <f>Eskom!I101</f>
        <v>0</v>
      </c>
      <c r="I15" s="468">
        <f>Eskom!J101</f>
        <v>0</v>
      </c>
      <c r="J15" s="468">
        <f>Eskom!K101</f>
        <v>0</v>
      </c>
      <c r="K15" s="468">
        <f>Eskom!L101</f>
        <v>0</v>
      </c>
      <c r="L15" s="468">
        <f>Eskom!M101</f>
        <v>0</v>
      </c>
      <c r="M15" s="468">
        <f>Eskom!N101</f>
        <v>0</v>
      </c>
      <c r="N15" s="468">
        <f>Eskom!O101</f>
        <v>0</v>
      </c>
    </row>
    <row r="16" spans="1:95" s="469" customFormat="1" x14ac:dyDescent="0.2">
      <c r="A16" s="477" t="str">
        <f>Eskom!B102</f>
        <v>Std Demand Consumption</v>
      </c>
      <c r="B16" s="469">
        <f>Eskom!C102</f>
        <v>0</v>
      </c>
      <c r="C16" s="469">
        <f>Eskom!D102</f>
        <v>0</v>
      </c>
      <c r="D16" s="469">
        <f>Eskom!E102</f>
        <v>0</v>
      </c>
      <c r="E16" s="469">
        <f>Eskom!F102</f>
        <v>0</v>
      </c>
      <c r="F16" s="469">
        <f>Eskom!G102</f>
        <v>0</v>
      </c>
      <c r="G16" s="469">
        <f>Eskom!H102</f>
        <v>0</v>
      </c>
      <c r="H16" s="469">
        <f>Eskom!I102</f>
        <v>0</v>
      </c>
      <c r="I16" s="469">
        <f>Eskom!J102</f>
        <v>0</v>
      </c>
      <c r="J16" s="469">
        <f>Eskom!K102</f>
        <v>0</v>
      </c>
      <c r="K16" s="469">
        <f>Eskom!L102</f>
        <v>0</v>
      </c>
      <c r="L16" s="469">
        <f>Eskom!M102</f>
        <v>0</v>
      </c>
      <c r="M16" s="469">
        <f>Eskom!N102</f>
        <v>0</v>
      </c>
      <c r="N16" s="469">
        <f>Eskom!O102</f>
        <v>0</v>
      </c>
    </row>
    <row r="17" spans="1:22" s="470" customFormat="1" x14ac:dyDescent="0.2">
      <c r="A17" s="478" t="str">
        <f>Eskom!B103</f>
        <v>Peak Demand Consumption</v>
      </c>
      <c r="B17" s="470">
        <f>Eskom!C103</f>
        <v>0</v>
      </c>
      <c r="C17" s="470">
        <f>Eskom!D103</f>
        <v>0</v>
      </c>
      <c r="D17" s="470">
        <f>Eskom!E103</f>
        <v>0</v>
      </c>
      <c r="E17" s="470">
        <f>Eskom!F103</f>
        <v>0</v>
      </c>
      <c r="F17" s="470">
        <f>Eskom!G103</f>
        <v>0</v>
      </c>
      <c r="G17" s="470">
        <f>Eskom!H103</f>
        <v>0</v>
      </c>
      <c r="H17" s="470">
        <f>Eskom!I103</f>
        <v>0</v>
      </c>
      <c r="I17" s="470">
        <f>Eskom!J103</f>
        <v>0</v>
      </c>
      <c r="J17" s="470">
        <f>Eskom!K103</f>
        <v>0</v>
      </c>
      <c r="K17" s="470">
        <f>Eskom!L103</f>
        <v>0</v>
      </c>
      <c r="L17" s="470">
        <f>Eskom!M103</f>
        <v>0</v>
      </c>
      <c r="M17" s="470">
        <f>Eskom!N103</f>
        <v>0</v>
      </c>
      <c r="N17" s="470">
        <f>Eskom!O103</f>
        <v>0</v>
      </c>
    </row>
    <row r="18" spans="1:22" s="471" customFormat="1" x14ac:dyDescent="0.2">
      <c r="A18" s="479" t="str">
        <f>Eskom!B104</f>
        <v>Demand Reading kW/kVA</v>
      </c>
      <c r="B18" s="471">
        <f>Eskom!C104</f>
        <v>0</v>
      </c>
      <c r="C18" s="471">
        <f>Eskom!D104</f>
        <v>0</v>
      </c>
      <c r="D18" s="471">
        <f>Eskom!E104</f>
        <v>0</v>
      </c>
      <c r="E18" s="471">
        <f>Eskom!F104</f>
        <v>0</v>
      </c>
      <c r="F18" s="471">
        <f>Eskom!G104</f>
        <v>0</v>
      </c>
      <c r="G18" s="471">
        <f>Eskom!H104</f>
        <v>0</v>
      </c>
      <c r="H18" s="471">
        <f>Eskom!I104</f>
        <v>0</v>
      </c>
      <c r="I18" s="471">
        <f>Eskom!J104</f>
        <v>0</v>
      </c>
      <c r="J18" s="471">
        <f>Eskom!K104</f>
        <v>0</v>
      </c>
      <c r="K18" s="471">
        <f>Eskom!L104</f>
        <v>0</v>
      </c>
      <c r="L18" s="471">
        <f>Eskom!M104</f>
        <v>0</v>
      </c>
      <c r="M18" s="471">
        <f>Eskom!N104</f>
        <v>0</v>
      </c>
      <c r="N18" s="471">
        <f>Eskom!O104</f>
        <v>0</v>
      </c>
    </row>
    <row r="24" spans="1:22" x14ac:dyDescent="0.2">
      <c r="A24" s="480" t="e">
        <f>Eskom!#REF!</f>
        <v>#REF!</v>
      </c>
    </row>
    <row r="25" spans="1:22" s="472" customFormat="1" x14ac:dyDescent="0.2">
      <c r="A25" s="475" t="e">
        <f>Eskom!#REF!</f>
        <v>#REF!</v>
      </c>
      <c r="B25" s="472" t="e">
        <f>Eskom!#REF!</f>
        <v>#REF!</v>
      </c>
      <c r="C25" s="472" t="e">
        <f>Eskom!#REF!</f>
        <v>#REF!</v>
      </c>
      <c r="D25" s="472" t="e">
        <f>Eskom!#REF!</f>
        <v>#REF!</v>
      </c>
      <c r="E25" s="472" t="e">
        <f>Eskom!#REF!</f>
        <v>#REF!</v>
      </c>
      <c r="F25" s="472" t="e">
        <f>Eskom!#REF!</f>
        <v>#REF!</v>
      </c>
      <c r="G25" s="472" t="e">
        <f>Eskom!#REF!</f>
        <v>#REF!</v>
      </c>
      <c r="H25" s="472" t="e">
        <f>Eskom!#REF!</f>
        <v>#REF!</v>
      </c>
      <c r="I25" s="472" t="e">
        <f>Eskom!#REF!</f>
        <v>#REF!</v>
      </c>
      <c r="J25" s="472" t="e">
        <f>Eskom!#REF!</f>
        <v>#REF!</v>
      </c>
      <c r="K25" s="472" t="e">
        <f>Eskom!#REF!</f>
        <v>#REF!</v>
      </c>
      <c r="L25" s="472" t="e">
        <f>Eskom!#REF!</f>
        <v>#REF!</v>
      </c>
      <c r="M25" s="472" t="e">
        <f>Eskom!#REF!</f>
        <v>#REF!</v>
      </c>
      <c r="N25" s="472" t="e">
        <f>Eskom!#REF!</f>
        <v>#REF!</v>
      </c>
    </row>
    <row r="26" spans="1:22" s="468" customFormat="1" x14ac:dyDescent="0.2">
      <c r="A26" s="476" t="e">
        <f>Eskom!#REF!</f>
        <v>#REF!</v>
      </c>
      <c r="B26" s="468" t="e">
        <f>Eskom!#REF!</f>
        <v>#REF!</v>
      </c>
      <c r="C26" s="468" t="e">
        <f>Eskom!#REF!</f>
        <v>#REF!</v>
      </c>
      <c r="D26" s="468" t="e">
        <f>Eskom!#REF!</f>
        <v>#REF!</v>
      </c>
      <c r="E26" s="468" t="e">
        <f>Eskom!#REF!</f>
        <v>#REF!</v>
      </c>
      <c r="F26" s="468" t="e">
        <f>Eskom!#REF!</f>
        <v>#REF!</v>
      </c>
      <c r="G26" s="468" t="e">
        <f>Eskom!#REF!</f>
        <v>#REF!</v>
      </c>
      <c r="H26" s="468" t="e">
        <f>Eskom!#REF!</f>
        <v>#REF!</v>
      </c>
      <c r="I26" s="468" t="e">
        <f>Eskom!#REF!</f>
        <v>#REF!</v>
      </c>
      <c r="J26" s="468" t="e">
        <f>Eskom!#REF!</f>
        <v>#REF!</v>
      </c>
      <c r="K26" s="468" t="e">
        <f>Eskom!#REF!</f>
        <v>#REF!</v>
      </c>
      <c r="L26" s="468" t="e">
        <f>Eskom!#REF!</f>
        <v>#REF!</v>
      </c>
      <c r="M26" s="468" t="e">
        <f>Eskom!#REF!</f>
        <v>#REF!</v>
      </c>
      <c r="N26" s="468" t="e">
        <f>Eskom!#REF!</f>
        <v>#REF!</v>
      </c>
    </row>
    <row r="27" spans="1:22" s="469" customFormat="1" x14ac:dyDescent="0.2">
      <c r="A27" s="477" t="e">
        <f>Eskom!#REF!</f>
        <v>#REF!</v>
      </c>
      <c r="B27" s="469" t="e">
        <f>Eskom!#REF!</f>
        <v>#REF!</v>
      </c>
      <c r="C27" s="469" t="e">
        <f>Eskom!#REF!</f>
        <v>#REF!</v>
      </c>
      <c r="D27" s="469" t="e">
        <f>Eskom!#REF!</f>
        <v>#REF!</v>
      </c>
      <c r="E27" s="469" t="e">
        <f>Eskom!#REF!</f>
        <v>#REF!</v>
      </c>
      <c r="F27" s="469" t="e">
        <f>Eskom!#REF!</f>
        <v>#REF!</v>
      </c>
      <c r="G27" s="469" t="e">
        <f>Eskom!#REF!</f>
        <v>#REF!</v>
      </c>
      <c r="H27" s="469" t="e">
        <f>Eskom!#REF!</f>
        <v>#REF!</v>
      </c>
      <c r="I27" s="469" t="e">
        <f>Eskom!#REF!</f>
        <v>#REF!</v>
      </c>
      <c r="J27" s="469" t="e">
        <f>Eskom!#REF!</f>
        <v>#REF!</v>
      </c>
      <c r="K27" s="469" t="e">
        <f>Eskom!#REF!</f>
        <v>#REF!</v>
      </c>
      <c r="L27" s="469" t="e">
        <f>Eskom!#REF!</f>
        <v>#REF!</v>
      </c>
      <c r="M27" s="469" t="e">
        <f>Eskom!#REF!</f>
        <v>#REF!</v>
      </c>
      <c r="N27" s="469" t="e">
        <f>Eskom!#REF!</f>
        <v>#REF!</v>
      </c>
    </row>
    <row r="28" spans="1:22" s="470" customFormat="1" x14ac:dyDescent="0.2">
      <c r="A28" s="478" t="e">
        <f>Eskom!#REF!</f>
        <v>#REF!</v>
      </c>
      <c r="B28" s="470" t="e">
        <f>Eskom!#REF!</f>
        <v>#REF!</v>
      </c>
      <c r="D28" s="470" t="e">
        <f>Eskom!#REF!</f>
        <v>#REF!</v>
      </c>
      <c r="E28" s="470" t="e">
        <f>Eskom!#REF!</f>
        <v>#REF!</v>
      </c>
      <c r="F28" s="470" t="e">
        <f>Eskom!#REF!</f>
        <v>#REF!</v>
      </c>
      <c r="G28" s="470" t="e">
        <f>Eskom!#REF!</f>
        <v>#REF!</v>
      </c>
      <c r="H28" s="470" t="e">
        <f>Eskom!#REF!</f>
        <v>#REF!</v>
      </c>
      <c r="I28" s="470" t="e">
        <f>Eskom!#REF!</f>
        <v>#REF!</v>
      </c>
      <c r="J28" s="470" t="e">
        <f>Eskom!#REF!</f>
        <v>#REF!</v>
      </c>
      <c r="K28" s="470" t="e">
        <f>Eskom!#REF!</f>
        <v>#REF!</v>
      </c>
      <c r="L28" s="470" t="e">
        <f>Eskom!#REF!</f>
        <v>#REF!</v>
      </c>
      <c r="M28" s="470" t="e">
        <f>Eskom!#REF!</f>
        <v>#REF!</v>
      </c>
      <c r="N28" s="470" t="e">
        <f>Eskom!#REF!</f>
        <v>#REF!</v>
      </c>
    </row>
    <row r="29" spans="1:22" s="471" customFormat="1" x14ac:dyDescent="0.2">
      <c r="A29" s="479" t="e">
        <f>Eskom!#REF!</f>
        <v>#REF!</v>
      </c>
      <c r="B29" s="471" t="e">
        <f>Eskom!#REF!</f>
        <v>#REF!</v>
      </c>
      <c r="D29" s="471" t="e">
        <f>Eskom!#REF!</f>
        <v>#REF!</v>
      </c>
      <c r="E29" s="471" t="e">
        <f>Eskom!#REF!</f>
        <v>#REF!</v>
      </c>
      <c r="F29" s="471" t="e">
        <f>Eskom!#REF!</f>
        <v>#REF!</v>
      </c>
      <c r="G29" s="471" t="e">
        <f>Eskom!#REF!</f>
        <v>#REF!</v>
      </c>
      <c r="H29" s="471" t="e">
        <f>Eskom!#REF!</f>
        <v>#REF!</v>
      </c>
      <c r="I29" s="471" t="e">
        <f>Eskom!#REF!</f>
        <v>#REF!</v>
      </c>
      <c r="J29" s="471" t="e">
        <f>Eskom!#REF!</f>
        <v>#REF!</v>
      </c>
      <c r="K29" s="471" t="e">
        <f>Eskom!#REF!</f>
        <v>#REF!</v>
      </c>
      <c r="L29" s="471" t="e">
        <f>Eskom!#REF!</f>
        <v>#REF!</v>
      </c>
      <c r="M29" s="471" t="e">
        <f>Eskom!#REF!</f>
        <v>#REF!</v>
      </c>
      <c r="N29" s="471" t="e">
        <f>Eskom!#REF!</f>
        <v>#REF!</v>
      </c>
    </row>
    <row r="30" spans="1:22" x14ac:dyDescent="0.2">
      <c r="A30" s="482" t="s">
        <v>147</v>
      </c>
      <c r="B30" s="482" t="e">
        <f>B29-MAX(B27:B28)</f>
        <v>#REF!</v>
      </c>
      <c r="C30" s="482" t="e">
        <f t="shared" ref="C30:N30" si="0">C29-MAX(C27:C28)</f>
        <v>#REF!</v>
      </c>
      <c r="D30" s="482" t="e">
        <f t="shared" si="0"/>
        <v>#REF!</v>
      </c>
      <c r="E30" s="482" t="e">
        <f t="shared" si="0"/>
        <v>#REF!</v>
      </c>
      <c r="F30" s="482" t="e">
        <f t="shared" si="0"/>
        <v>#REF!</v>
      </c>
      <c r="G30" s="482" t="e">
        <f t="shared" si="0"/>
        <v>#REF!</v>
      </c>
      <c r="H30" s="482" t="e">
        <f t="shared" si="0"/>
        <v>#REF!</v>
      </c>
      <c r="I30" s="482" t="e">
        <f t="shared" si="0"/>
        <v>#REF!</v>
      </c>
      <c r="J30" s="482" t="e">
        <f t="shared" si="0"/>
        <v>#REF!</v>
      </c>
      <c r="K30" s="482" t="e">
        <f t="shared" si="0"/>
        <v>#REF!</v>
      </c>
      <c r="L30" s="482" t="e">
        <f t="shared" si="0"/>
        <v>#REF!</v>
      </c>
      <c r="M30" s="482" t="e">
        <f t="shared" si="0"/>
        <v>#REF!</v>
      </c>
      <c r="N30" s="482" t="e">
        <f t="shared" si="0"/>
        <v>#REF!</v>
      </c>
      <c r="O30" s="482"/>
      <c r="P30" s="482"/>
      <c r="Q30" s="482"/>
      <c r="R30" s="482"/>
      <c r="S30" s="482"/>
      <c r="T30" s="482"/>
      <c r="U30" s="482"/>
      <c r="V30" s="482"/>
    </row>
    <row r="31" spans="1:22" x14ac:dyDescent="0.2">
      <c r="A31" s="482" t="s">
        <v>148</v>
      </c>
      <c r="B31" s="483" t="e">
        <f>B30*$B$2</f>
        <v>#REF!</v>
      </c>
      <c r="C31" s="483" t="e">
        <f t="shared" ref="C31:N31" si="1">C30*$B$2</f>
        <v>#REF!</v>
      </c>
      <c r="D31" s="483" t="e">
        <f t="shared" si="1"/>
        <v>#REF!</v>
      </c>
      <c r="E31" s="483" t="e">
        <f t="shared" si="1"/>
        <v>#REF!</v>
      </c>
      <c r="F31" s="483" t="e">
        <f t="shared" si="1"/>
        <v>#REF!</v>
      </c>
      <c r="G31" s="483" t="e">
        <f t="shared" si="1"/>
        <v>#REF!</v>
      </c>
      <c r="H31" s="483" t="e">
        <f t="shared" si="1"/>
        <v>#REF!</v>
      </c>
      <c r="I31" s="483" t="e">
        <f t="shared" si="1"/>
        <v>#REF!</v>
      </c>
      <c r="J31" s="483" t="e">
        <f t="shared" si="1"/>
        <v>#REF!</v>
      </c>
      <c r="K31" s="483" t="e">
        <f t="shared" si="1"/>
        <v>#REF!</v>
      </c>
      <c r="L31" s="483" t="e">
        <f t="shared" si="1"/>
        <v>#REF!</v>
      </c>
      <c r="M31" s="483" t="e">
        <f t="shared" si="1"/>
        <v>#REF!</v>
      </c>
      <c r="N31" s="483" t="e">
        <f t="shared" si="1"/>
        <v>#REF!</v>
      </c>
      <c r="O31" s="485" t="s">
        <v>149</v>
      </c>
      <c r="P31" s="483" t="e">
        <f>SUM(B31:N31)</f>
        <v>#REF!</v>
      </c>
      <c r="Q31" s="483"/>
      <c r="R31" s="483"/>
      <c r="S31" s="483"/>
      <c r="T31" s="483"/>
      <c r="U31" s="483"/>
      <c r="V31" s="483"/>
    </row>
    <row r="34" spans="1:22" x14ac:dyDescent="0.2">
      <c r="A34" s="480" t="e">
        <f>Eskom!#REF!</f>
        <v>#REF!</v>
      </c>
    </row>
    <row r="35" spans="1:22" s="472" customFormat="1" x14ac:dyDescent="0.2">
      <c r="A35" s="475" t="e">
        <f>Eskom!#REF!</f>
        <v>#REF!</v>
      </c>
      <c r="B35" s="472" t="e">
        <f>Eskom!#REF!</f>
        <v>#REF!</v>
      </c>
      <c r="C35" s="472" t="e">
        <f>Eskom!#REF!</f>
        <v>#REF!</v>
      </c>
      <c r="D35" s="472" t="e">
        <f>Eskom!#REF!</f>
        <v>#REF!</v>
      </c>
      <c r="E35" s="472" t="e">
        <f>Eskom!#REF!</f>
        <v>#REF!</v>
      </c>
      <c r="F35" s="472" t="e">
        <f>Eskom!#REF!</f>
        <v>#REF!</v>
      </c>
      <c r="G35" s="472" t="e">
        <f>Eskom!#REF!</f>
        <v>#REF!</v>
      </c>
      <c r="H35" s="472" t="e">
        <f>Eskom!#REF!</f>
        <v>#REF!</v>
      </c>
      <c r="I35" s="472" t="e">
        <f>Eskom!#REF!</f>
        <v>#REF!</v>
      </c>
      <c r="J35" s="472" t="e">
        <f>Eskom!#REF!</f>
        <v>#REF!</v>
      </c>
      <c r="K35" s="472" t="e">
        <f>Eskom!#REF!</f>
        <v>#REF!</v>
      </c>
      <c r="L35" s="472" t="e">
        <f>Eskom!#REF!</f>
        <v>#REF!</v>
      </c>
      <c r="M35" s="472" t="e">
        <f>Eskom!#REF!</f>
        <v>#REF!</v>
      </c>
      <c r="N35" s="472" t="e">
        <f>Eskom!#REF!</f>
        <v>#REF!</v>
      </c>
    </row>
    <row r="36" spans="1:22" s="468" customFormat="1" x14ac:dyDescent="0.2">
      <c r="A36" s="476" t="e">
        <f>Eskom!#REF!</f>
        <v>#REF!</v>
      </c>
      <c r="B36" s="468" t="e">
        <f>Eskom!#REF!</f>
        <v>#REF!</v>
      </c>
      <c r="C36" s="468" t="e">
        <f>Eskom!#REF!</f>
        <v>#REF!</v>
      </c>
      <c r="D36" s="468" t="e">
        <f>Eskom!#REF!</f>
        <v>#REF!</v>
      </c>
      <c r="E36" s="468" t="e">
        <f>Eskom!#REF!</f>
        <v>#REF!</v>
      </c>
      <c r="F36" s="468" t="e">
        <f>Eskom!#REF!</f>
        <v>#REF!</v>
      </c>
      <c r="G36" s="468" t="e">
        <f>Eskom!#REF!</f>
        <v>#REF!</v>
      </c>
      <c r="H36" s="468" t="e">
        <f>Eskom!#REF!</f>
        <v>#REF!</v>
      </c>
      <c r="I36" s="468" t="e">
        <f>Eskom!#REF!</f>
        <v>#REF!</v>
      </c>
      <c r="J36" s="468" t="e">
        <f>Eskom!#REF!</f>
        <v>#REF!</v>
      </c>
      <c r="K36" s="468" t="e">
        <f>Eskom!#REF!</f>
        <v>#REF!</v>
      </c>
      <c r="L36" s="468" t="e">
        <f>Eskom!#REF!</f>
        <v>#REF!</v>
      </c>
      <c r="M36" s="468" t="e">
        <f>Eskom!#REF!</f>
        <v>#REF!</v>
      </c>
      <c r="N36" s="468" t="e">
        <f>Eskom!#REF!</f>
        <v>#REF!</v>
      </c>
    </row>
    <row r="37" spans="1:22" s="469" customFormat="1" x14ac:dyDescent="0.2">
      <c r="A37" s="477" t="e">
        <f>Eskom!#REF!</f>
        <v>#REF!</v>
      </c>
      <c r="B37" s="469" t="e">
        <f>Eskom!#REF!</f>
        <v>#REF!</v>
      </c>
      <c r="C37" s="469" t="e">
        <f>Eskom!#REF!</f>
        <v>#REF!</v>
      </c>
      <c r="D37" s="469" t="e">
        <f>Eskom!#REF!</f>
        <v>#REF!</v>
      </c>
      <c r="E37" s="469" t="e">
        <f>Eskom!#REF!</f>
        <v>#REF!</v>
      </c>
      <c r="F37" s="469" t="e">
        <f>Eskom!#REF!</f>
        <v>#REF!</v>
      </c>
      <c r="G37" s="469" t="e">
        <f>Eskom!#REF!</f>
        <v>#REF!</v>
      </c>
      <c r="H37" s="469" t="e">
        <f>Eskom!#REF!</f>
        <v>#REF!</v>
      </c>
      <c r="I37" s="469" t="e">
        <f>Eskom!#REF!</f>
        <v>#REF!</v>
      </c>
      <c r="J37" s="469" t="e">
        <f>Eskom!#REF!</f>
        <v>#REF!</v>
      </c>
      <c r="K37" s="469" t="e">
        <f>Eskom!#REF!</f>
        <v>#REF!</v>
      </c>
      <c r="L37" s="469" t="e">
        <f>Eskom!#REF!</f>
        <v>#REF!</v>
      </c>
      <c r="M37" s="469" t="e">
        <f>Eskom!#REF!</f>
        <v>#REF!</v>
      </c>
      <c r="N37" s="469" t="e">
        <f>Eskom!#REF!</f>
        <v>#REF!</v>
      </c>
    </row>
    <row r="38" spans="1:22" s="470" customFormat="1" x14ac:dyDescent="0.2">
      <c r="A38" s="478" t="e">
        <f>Eskom!#REF!</f>
        <v>#REF!</v>
      </c>
      <c r="B38" s="470" t="e">
        <f>Eskom!#REF!</f>
        <v>#REF!</v>
      </c>
      <c r="C38" s="470" t="e">
        <f>Eskom!#REF!</f>
        <v>#REF!</v>
      </c>
      <c r="D38" s="470" t="e">
        <f>Eskom!#REF!</f>
        <v>#REF!</v>
      </c>
      <c r="E38" s="470" t="e">
        <f>Eskom!#REF!</f>
        <v>#REF!</v>
      </c>
      <c r="F38" s="470" t="e">
        <f>Eskom!#REF!</f>
        <v>#REF!</v>
      </c>
      <c r="G38" s="470" t="e">
        <f>Eskom!#REF!</f>
        <v>#REF!</v>
      </c>
      <c r="H38" s="470" t="e">
        <f>Eskom!#REF!</f>
        <v>#REF!</v>
      </c>
      <c r="I38" s="470" t="e">
        <f>Eskom!#REF!</f>
        <v>#REF!</v>
      </c>
      <c r="J38" s="470" t="e">
        <f>Eskom!#REF!</f>
        <v>#REF!</v>
      </c>
      <c r="K38" s="470" t="e">
        <f>Eskom!#REF!</f>
        <v>#REF!</v>
      </c>
      <c r="L38" s="470" t="e">
        <f>Eskom!#REF!</f>
        <v>#REF!</v>
      </c>
      <c r="M38" s="470" t="e">
        <f>Eskom!#REF!</f>
        <v>#REF!</v>
      </c>
      <c r="N38" s="470" t="e">
        <f>Eskom!#REF!</f>
        <v>#REF!</v>
      </c>
    </row>
    <row r="39" spans="1:22" s="471" customFormat="1" x14ac:dyDescent="0.2">
      <c r="A39" s="479" t="e">
        <f>Eskom!#REF!</f>
        <v>#REF!</v>
      </c>
      <c r="B39" s="471" t="e">
        <f>Eskom!#REF!</f>
        <v>#REF!</v>
      </c>
      <c r="C39" s="471" t="e">
        <f>Eskom!#REF!</f>
        <v>#REF!</v>
      </c>
      <c r="D39" s="471" t="e">
        <f>Eskom!#REF!</f>
        <v>#REF!</v>
      </c>
      <c r="E39" s="471" t="e">
        <f>Eskom!#REF!</f>
        <v>#REF!</v>
      </c>
      <c r="F39" s="471" t="e">
        <f>Eskom!#REF!</f>
        <v>#REF!</v>
      </c>
      <c r="G39" s="471" t="e">
        <f>Eskom!#REF!</f>
        <v>#REF!</v>
      </c>
      <c r="H39" s="471" t="e">
        <f>Eskom!#REF!</f>
        <v>#REF!</v>
      </c>
      <c r="I39" s="471" t="e">
        <f>Eskom!#REF!</f>
        <v>#REF!</v>
      </c>
      <c r="J39" s="471" t="e">
        <f>Eskom!#REF!</f>
        <v>#REF!</v>
      </c>
      <c r="K39" s="471" t="e">
        <f>Eskom!#REF!</f>
        <v>#REF!</v>
      </c>
      <c r="L39" s="471" t="e">
        <f>Eskom!#REF!</f>
        <v>#REF!</v>
      </c>
      <c r="M39" s="471" t="e">
        <f>Eskom!#REF!</f>
        <v>#REF!</v>
      </c>
      <c r="N39" s="471" t="e">
        <f>Eskom!#REF!</f>
        <v>#REF!</v>
      </c>
    </row>
    <row r="40" spans="1:22" x14ac:dyDescent="0.2">
      <c r="A40" s="482" t="s">
        <v>147</v>
      </c>
      <c r="B40" s="482" t="e">
        <f>B39-MAX(B37:B38)</f>
        <v>#REF!</v>
      </c>
      <c r="C40" s="482" t="e">
        <f t="shared" ref="C40" si="2">C39-MAX(C37:C38)</f>
        <v>#REF!</v>
      </c>
      <c r="D40" s="482" t="e">
        <f t="shared" ref="D40" si="3">D39-MAX(D37:D38)</f>
        <v>#REF!</v>
      </c>
      <c r="E40" s="482" t="e">
        <f t="shared" ref="E40" si="4">E39-MAX(E37:E38)</f>
        <v>#REF!</v>
      </c>
      <c r="F40" s="482" t="e">
        <f t="shared" ref="F40" si="5">F39-MAX(F37:F38)</f>
        <v>#REF!</v>
      </c>
      <c r="G40" s="482" t="e">
        <f t="shared" ref="G40" si="6">G39-MAX(G37:G38)</f>
        <v>#REF!</v>
      </c>
      <c r="H40" s="482" t="e">
        <f t="shared" ref="H40" si="7">H39-MAX(H37:H38)</f>
        <v>#REF!</v>
      </c>
      <c r="I40" s="482" t="e">
        <f t="shared" ref="I40" si="8">I39-MAX(I37:I38)</f>
        <v>#REF!</v>
      </c>
      <c r="J40" s="482" t="e">
        <f t="shared" ref="J40" si="9">J39-MAX(J37:J38)</f>
        <v>#REF!</v>
      </c>
      <c r="K40" s="482" t="e">
        <f t="shared" ref="K40" si="10">K39-MAX(K37:K38)</f>
        <v>#REF!</v>
      </c>
      <c r="L40" s="482" t="e">
        <f t="shared" ref="L40" si="11">L39-MAX(L37:L38)</f>
        <v>#REF!</v>
      </c>
      <c r="M40" s="482" t="e">
        <f t="shared" ref="M40" si="12">M39-MAX(M37:M38)</f>
        <v>#REF!</v>
      </c>
      <c r="N40" s="482" t="e">
        <f t="shared" ref="N40" si="13">N39-MAX(N37:N38)</f>
        <v>#REF!</v>
      </c>
      <c r="O40" s="482"/>
      <c r="P40" s="482"/>
      <c r="Q40" s="482"/>
      <c r="R40" s="482"/>
      <c r="S40" s="482"/>
      <c r="T40" s="482"/>
      <c r="U40" s="482"/>
      <c r="V40" s="482"/>
    </row>
    <row r="41" spans="1:22" x14ac:dyDescent="0.2">
      <c r="A41" s="482" t="s">
        <v>148</v>
      </c>
      <c r="B41" s="483" t="e">
        <f>B40*$B$2</f>
        <v>#REF!</v>
      </c>
      <c r="C41" s="483" t="e">
        <f t="shared" ref="C41" si="14">C40*$B$2</f>
        <v>#REF!</v>
      </c>
      <c r="D41" s="483" t="e">
        <f t="shared" ref="D41" si="15">D40*$B$2</f>
        <v>#REF!</v>
      </c>
      <c r="E41" s="483" t="e">
        <f t="shared" ref="E41" si="16">E40*$B$2</f>
        <v>#REF!</v>
      </c>
      <c r="F41" s="483" t="e">
        <f t="shared" ref="F41" si="17">F40*$B$2</f>
        <v>#REF!</v>
      </c>
      <c r="G41" s="483" t="e">
        <f t="shared" ref="G41" si="18">G40*$B$2</f>
        <v>#REF!</v>
      </c>
      <c r="H41" s="483" t="e">
        <f t="shared" ref="H41" si="19">H40*$B$2</f>
        <v>#REF!</v>
      </c>
      <c r="I41" s="483" t="e">
        <f t="shared" ref="I41" si="20">I40*$B$2</f>
        <v>#REF!</v>
      </c>
      <c r="J41" s="483" t="e">
        <f t="shared" ref="J41" si="21">J40*$B$2</f>
        <v>#REF!</v>
      </c>
      <c r="K41" s="483" t="e">
        <f t="shared" ref="K41" si="22">K40*$B$2</f>
        <v>#REF!</v>
      </c>
      <c r="L41" s="483" t="e">
        <f t="shared" ref="L41" si="23">L40*$B$2</f>
        <v>#REF!</v>
      </c>
      <c r="M41" s="483" t="e">
        <f t="shared" ref="M41" si="24">M40*$B$2</f>
        <v>#REF!</v>
      </c>
      <c r="N41" s="483" t="e">
        <f t="shared" ref="N41" si="25">N40*$B$2</f>
        <v>#REF!</v>
      </c>
      <c r="O41" s="483"/>
      <c r="P41" s="483"/>
      <c r="Q41" s="483"/>
      <c r="R41" s="483"/>
      <c r="S41" s="483"/>
      <c r="T41" s="483"/>
      <c r="U41" s="483"/>
      <c r="V41" s="483"/>
    </row>
  </sheetData>
  <conditionalFormatting sqref="B29:V29">
    <cfRule type="expression" dxfId="2" priority="2">
      <formula>B29&gt;MAX(B27:B28)</formula>
    </cfRule>
  </conditionalFormatting>
  <conditionalFormatting sqref="B39:V39">
    <cfRule type="expression" dxfId="1" priority="1">
      <formula>B39&gt;MAX(B37:B38)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Eskom</vt:lpstr>
      <vt:lpstr>Vent-3#</vt:lpstr>
      <vt:lpstr>Load Shifting Savings</vt:lpstr>
      <vt:lpstr>PFC Savings2</vt:lpstr>
      <vt:lpstr>Demand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Flip</dc:creator>
  <cp:lastModifiedBy>Marthinus</cp:lastModifiedBy>
  <cp:lastPrinted>2009-02-03T13:49:56Z</cp:lastPrinted>
  <dcterms:created xsi:type="dcterms:W3CDTF">2006-05-02T11:11:18Z</dcterms:created>
  <dcterms:modified xsi:type="dcterms:W3CDTF">2010-10-17T06:34:09Z</dcterms:modified>
</cp:coreProperties>
</file>