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kmx20\Downloads\Gestor de inventario\"/>
    </mc:Choice>
  </mc:AlternateContent>
  <xr:revisionPtr revIDLastSave="0" documentId="13_ncr:1_{BD7ED9F3-04FB-4F11-A7B0-C8DF6725BB49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ARANCEL" sheetId="1" r:id="rId1"/>
    <sheet name="CONSULTA ENFERMERIA" sheetId="2" r:id="rId2"/>
    <sheet name="Hoja 4" sheetId="3" r:id="rId3"/>
    <sheet name="Hoja 5" sheetId="4" r:id="rId4"/>
    <sheet name="CONSULTA EMERGENCIA" sheetId="5" r:id="rId5"/>
    <sheet name="CONSULTA GENERAL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70" i="6" l="1"/>
  <c r="H370" i="6"/>
  <c r="G370" i="6"/>
  <c r="F370" i="6"/>
  <c r="E370" i="6"/>
  <c r="C370" i="6"/>
  <c r="B370" i="6"/>
  <c r="I369" i="6"/>
  <c r="H369" i="6"/>
  <c r="G369" i="6"/>
  <c r="F369" i="6"/>
  <c r="E369" i="6"/>
  <c r="C369" i="6"/>
  <c r="B369" i="6"/>
  <c r="I368" i="6"/>
  <c r="H368" i="6"/>
  <c r="G368" i="6"/>
  <c r="F368" i="6"/>
  <c r="E368" i="6"/>
  <c r="C368" i="6"/>
  <c r="B368" i="6"/>
  <c r="I367" i="6"/>
  <c r="H367" i="6"/>
  <c r="G367" i="6"/>
  <c r="F367" i="6"/>
  <c r="E367" i="6"/>
  <c r="C367" i="6"/>
  <c r="B367" i="6"/>
  <c r="I366" i="6"/>
  <c r="H366" i="6"/>
  <c r="G366" i="6"/>
  <c r="F366" i="6"/>
  <c r="E366" i="6"/>
  <c r="C366" i="6"/>
  <c r="B366" i="6"/>
  <c r="I365" i="6"/>
  <c r="H365" i="6"/>
  <c r="G365" i="6"/>
  <c r="F365" i="6"/>
  <c r="E365" i="6"/>
  <c r="C365" i="6"/>
  <c r="B365" i="6"/>
  <c r="I364" i="6"/>
  <c r="H364" i="6"/>
  <c r="G364" i="6"/>
  <c r="F364" i="6"/>
  <c r="E364" i="6"/>
  <c r="C364" i="6"/>
  <c r="B364" i="6"/>
  <c r="I363" i="6"/>
  <c r="H363" i="6"/>
  <c r="G363" i="6"/>
  <c r="F363" i="6"/>
  <c r="E363" i="6"/>
  <c r="C363" i="6"/>
  <c r="B363" i="6"/>
  <c r="I362" i="6"/>
  <c r="H362" i="6"/>
  <c r="G362" i="6"/>
  <c r="F362" i="6"/>
  <c r="E362" i="6"/>
  <c r="C362" i="6"/>
  <c r="B362" i="6"/>
  <c r="I361" i="6"/>
  <c r="H361" i="6"/>
  <c r="G361" i="6"/>
  <c r="F361" i="6"/>
  <c r="E361" i="6"/>
  <c r="C361" i="6"/>
  <c r="B361" i="6"/>
  <c r="I360" i="6"/>
  <c r="H360" i="6"/>
  <c r="G360" i="6"/>
  <c r="F360" i="6"/>
  <c r="E360" i="6"/>
  <c r="C360" i="6"/>
  <c r="B360" i="6"/>
  <c r="I359" i="6"/>
  <c r="H359" i="6"/>
  <c r="G359" i="6"/>
  <c r="F359" i="6"/>
  <c r="E359" i="6"/>
  <c r="C359" i="6"/>
  <c r="B359" i="6"/>
  <c r="I358" i="6"/>
  <c r="H358" i="6"/>
  <c r="G358" i="6"/>
  <c r="F358" i="6"/>
  <c r="E358" i="6"/>
  <c r="C358" i="6"/>
  <c r="B358" i="6"/>
  <c r="I357" i="6"/>
  <c r="H357" i="6"/>
  <c r="G357" i="6"/>
  <c r="F357" i="6"/>
  <c r="E357" i="6"/>
  <c r="C357" i="6"/>
  <c r="B357" i="6"/>
  <c r="I356" i="6"/>
  <c r="H356" i="6"/>
  <c r="G356" i="6"/>
  <c r="F356" i="6"/>
  <c r="E356" i="6"/>
  <c r="C356" i="6"/>
  <c r="B356" i="6"/>
  <c r="I355" i="6"/>
  <c r="H355" i="6"/>
  <c r="G355" i="6"/>
  <c r="F355" i="6"/>
  <c r="E355" i="6"/>
  <c r="C355" i="6"/>
  <c r="B355" i="6"/>
  <c r="I354" i="6"/>
  <c r="H354" i="6"/>
  <c r="G354" i="6"/>
  <c r="F354" i="6"/>
  <c r="E354" i="6"/>
  <c r="C354" i="6"/>
  <c r="B354" i="6"/>
  <c r="I353" i="6"/>
  <c r="H353" i="6"/>
  <c r="G353" i="6"/>
  <c r="F353" i="6"/>
  <c r="E353" i="6"/>
  <c r="C353" i="6"/>
  <c r="B353" i="6"/>
  <c r="I352" i="6"/>
  <c r="H352" i="6"/>
  <c r="G352" i="6"/>
  <c r="F352" i="6"/>
  <c r="E352" i="6"/>
  <c r="C352" i="6"/>
  <c r="B352" i="6"/>
  <c r="I351" i="6"/>
  <c r="H351" i="6"/>
  <c r="G351" i="6"/>
  <c r="F351" i="6"/>
  <c r="E351" i="6"/>
  <c r="C351" i="6"/>
  <c r="B351" i="6"/>
  <c r="I350" i="6"/>
  <c r="H350" i="6"/>
  <c r="G350" i="6"/>
  <c r="F350" i="6"/>
  <c r="E350" i="6"/>
  <c r="C350" i="6"/>
  <c r="B350" i="6"/>
  <c r="I349" i="6"/>
  <c r="H349" i="6"/>
  <c r="G349" i="6"/>
  <c r="F349" i="6"/>
  <c r="E349" i="6"/>
  <c r="C349" i="6"/>
  <c r="B349" i="6"/>
  <c r="I348" i="6"/>
  <c r="H348" i="6"/>
  <c r="G348" i="6"/>
  <c r="F348" i="6"/>
  <c r="E348" i="6"/>
  <c r="C348" i="6"/>
  <c r="B348" i="6"/>
  <c r="I347" i="6"/>
  <c r="H347" i="6"/>
  <c r="G347" i="6"/>
  <c r="F347" i="6"/>
  <c r="E347" i="6"/>
  <c r="C347" i="6"/>
  <c r="B347" i="6"/>
  <c r="I346" i="6"/>
  <c r="H346" i="6"/>
  <c r="G346" i="6"/>
  <c r="F346" i="6"/>
  <c r="E346" i="6"/>
  <c r="C346" i="6"/>
  <c r="B346" i="6"/>
  <c r="I345" i="6"/>
  <c r="H345" i="6"/>
  <c r="G345" i="6"/>
  <c r="F345" i="6"/>
  <c r="E345" i="6"/>
  <c r="C345" i="6"/>
  <c r="B345" i="6"/>
  <c r="I344" i="6"/>
  <c r="H344" i="6"/>
  <c r="G344" i="6"/>
  <c r="F344" i="6"/>
  <c r="E344" i="6"/>
  <c r="C344" i="6"/>
  <c r="B344" i="6"/>
  <c r="I343" i="6"/>
  <c r="H343" i="6"/>
  <c r="G343" i="6"/>
  <c r="E343" i="6"/>
  <c r="C343" i="6"/>
  <c r="B343" i="6"/>
  <c r="I342" i="6"/>
  <c r="H342" i="6"/>
  <c r="G342" i="6"/>
  <c r="F342" i="6"/>
  <c r="E342" i="6"/>
  <c r="C342" i="6"/>
  <c r="B342" i="6"/>
  <c r="I341" i="6"/>
  <c r="H341" i="6"/>
  <c r="G341" i="6"/>
  <c r="E341" i="6"/>
  <c r="C341" i="6"/>
  <c r="B341" i="6"/>
  <c r="I340" i="6"/>
  <c r="H340" i="6"/>
  <c r="G340" i="6"/>
  <c r="F340" i="6"/>
  <c r="E340" i="6"/>
  <c r="C340" i="6"/>
  <c r="B340" i="6"/>
  <c r="I339" i="6"/>
  <c r="H339" i="6"/>
  <c r="G339" i="6"/>
  <c r="F339" i="6"/>
  <c r="E339" i="6"/>
  <c r="C339" i="6"/>
  <c r="B339" i="6"/>
  <c r="I338" i="6"/>
  <c r="H338" i="6"/>
  <c r="G338" i="6"/>
  <c r="F338" i="6"/>
  <c r="E338" i="6"/>
  <c r="C338" i="6"/>
  <c r="B338" i="6"/>
  <c r="I337" i="6"/>
  <c r="H337" i="6"/>
  <c r="G337" i="6"/>
  <c r="F337" i="6"/>
  <c r="E337" i="6"/>
  <c r="C337" i="6"/>
  <c r="B337" i="6"/>
  <c r="I336" i="6"/>
  <c r="H336" i="6"/>
  <c r="G336" i="6"/>
  <c r="E336" i="6"/>
  <c r="C336" i="6"/>
  <c r="B336" i="6"/>
  <c r="I335" i="6"/>
  <c r="H335" i="6"/>
  <c r="G335" i="6"/>
  <c r="F335" i="6"/>
  <c r="E335" i="6"/>
  <c r="C335" i="6"/>
  <c r="B335" i="6"/>
  <c r="I334" i="6"/>
  <c r="H334" i="6"/>
  <c r="G334" i="6"/>
  <c r="F334" i="6"/>
  <c r="E334" i="6"/>
  <c r="C334" i="6"/>
  <c r="B334" i="6"/>
  <c r="I333" i="6"/>
  <c r="H333" i="6"/>
  <c r="G333" i="6"/>
  <c r="F333" i="6"/>
  <c r="E333" i="6"/>
  <c r="C333" i="6"/>
  <c r="B333" i="6"/>
  <c r="I332" i="6"/>
  <c r="H332" i="6"/>
  <c r="G332" i="6"/>
  <c r="F332" i="6"/>
  <c r="E332" i="6"/>
  <c r="C332" i="6"/>
  <c r="B332" i="6"/>
  <c r="I331" i="6"/>
  <c r="H331" i="6"/>
  <c r="G331" i="6"/>
  <c r="F331" i="6"/>
  <c r="E331" i="6"/>
  <c r="C331" i="6"/>
  <c r="B331" i="6"/>
  <c r="I330" i="6"/>
  <c r="H330" i="6"/>
  <c r="G330" i="6"/>
  <c r="F330" i="6"/>
  <c r="E330" i="6"/>
  <c r="C330" i="6"/>
  <c r="B330" i="6"/>
  <c r="I329" i="6"/>
  <c r="H329" i="6"/>
  <c r="G329" i="6"/>
  <c r="E329" i="6"/>
  <c r="C329" i="6"/>
  <c r="B329" i="6"/>
  <c r="I328" i="6"/>
  <c r="H328" i="6"/>
  <c r="G328" i="6"/>
  <c r="E328" i="6"/>
  <c r="C328" i="6"/>
  <c r="B328" i="6"/>
  <c r="I327" i="6"/>
  <c r="H327" i="6"/>
  <c r="G327" i="6"/>
  <c r="E327" i="6"/>
  <c r="C327" i="6"/>
  <c r="B327" i="6"/>
  <c r="I326" i="6"/>
  <c r="H326" i="6"/>
  <c r="G326" i="6"/>
  <c r="E326" i="6"/>
  <c r="C326" i="6"/>
  <c r="B326" i="6"/>
  <c r="I325" i="6"/>
  <c r="H325" i="6"/>
  <c r="G325" i="6"/>
  <c r="E325" i="6"/>
  <c r="C325" i="6"/>
  <c r="B325" i="6"/>
  <c r="I324" i="6"/>
  <c r="H324" i="6"/>
  <c r="G324" i="6"/>
  <c r="E324" i="6"/>
  <c r="C324" i="6"/>
  <c r="B324" i="6"/>
  <c r="I323" i="6"/>
  <c r="H323" i="6"/>
  <c r="G323" i="6"/>
  <c r="E323" i="6"/>
  <c r="C323" i="6"/>
  <c r="B323" i="6"/>
  <c r="I322" i="6"/>
  <c r="H322" i="6"/>
  <c r="G322" i="6"/>
  <c r="E322" i="6"/>
  <c r="C322" i="6"/>
  <c r="B322" i="6"/>
  <c r="I321" i="6"/>
  <c r="H321" i="6"/>
  <c r="G321" i="6"/>
  <c r="F321" i="6"/>
  <c r="E321" i="6"/>
  <c r="C321" i="6"/>
  <c r="B321" i="6"/>
  <c r="I320" i="6"/>
  <c r="H320" i="6"/>
  <c r="G320" i="6"/>
  <c r="E320" i="6"/>
  <c r="C320" i="6"/>
  <c r="B320" i="6"/>
  <c r="I319" i="6"/>
  <c r="H319" i="6"/>
  <c r="G319" i="6"/>
  <c r="F319" i="6"/>
  <c r="E319" i="6"/>
  <c r="C319" i="6"/>
  <c r="B319" i="6"/>
  <c r="I318" i="6"/>
  <c r="H318" i="6"/>
  <c r="G318" i="6"/>
  <c r="F318" i="6"/>
  <c r="E318" i="6"/>
  <c r="C318" i="6"/>
  <c r="B318" i="6"/>
  <c r="I317" i="6"/>
  <c r="H317" i="6"/>
  <c r="G317" i="6"/>
  <c r="F317" i="6"/>
  <c r="E317" i="6"/>
  <c r="C317" i="6"/>
  <c r="B317" i="6"/>
  <c r="I316" i="6"/>
  <c r="H316" i="6"/>
  <c r="G316" i="6"/>
  <c r="F316" i="6"/>
  <c r="E316" i="6"/>
  <c r="C316" i="6"/>
  <c r="B316" i="6"/>
  <c r="I315" i="6"/>
  <c r="H315" i="6"/>
  <c r="G315" i="6"/>
  <c r="F315" i="6"/>
  <c r="E315" i="6"/>
  <c r="C315" i="6"/>
  <c r="B315" i="6"/>
  <c r="I314" i="6"/>
  <c r="H314" i="6"/>
  <c r="G314" i="6"/>
  <c r="F314" i="6"/>
  <c r="E314" i="6"/>
  <c r="C314" i="6"/>
  <c r="B314" i="6"/>
  <c r="I313" i="6"/>
  <c r="H313" i="6"/>
  <c r="G313" i="6"/>
  <c r="E313" i="6"/>
  <c r="C313" i="6"/>
  <c r="B313" i="6"/>
  <c r="I312" i="6"/>
  <c r="H312" i="6"/>
  <c r="G312" i="6"/>
  <c r="F312" i="6"/>
  <c r="E312" i="6"/>
  <c r="C312" i="6"/>
  <c r="B312" i="6"/>
  <c r="I311" i="6"/>
  <c r="H311" i="6"/>
  <c r="G311" i="6"/>
  <c r="E311" i="6"/>
  <c r="C311" i="6"/>
  <c r="B311" i="6"/>
  <c r="I310" i="6"/>
  <c r="H310" i="6"/>
  <c r="G310" i="6"/>
  <c r="F310" i="6"/>
  <c r="E310" i="6"/>
  <c r="C310" i="6"/>
  <c r="B310" i="6"/>
  <c r="I309" i="6"/>
  <c r="H309" i="6"/>
  <c r="G309" i="6"/>
  <c r="E309" i="6"/>
  <c r="C309" i="6"/>
  <c r="B309" i="6"/>
  <c r="I308" i="6"/>
  <c r="H308" i="6"/>
  <c r="G308" i="6"/>
  <c r="E308" i="6"/>
  <c r="C308" i="6"/>
  <c r="B308" i="6"/>
  <c r="I307" i="6"/>
  <c r="H307" i="6"/>
  <c r="G307" i="6"/>
  <c r="C307" i="6"/>
  <c r="B307" i="6"/>
  <c r="I306" i="6"/>
  <c r="H306" i="6"/>
  <c r="G306" i="6"/>
  <c r="F306" i="6"/>
  <c r="C306" i="6"/>
  <c r="B306" i="6"/>
  <c r="I305" i="6"/>
  <c r="H305" i="6"/>
  <c r="G305" i="6"/>
  <c r="F305" i="6"/>
  <c r="E305" i="6"/>
  <c r="C305" i="6"/>
  <c r="B305" i="6"/>
  <c r="I304" i="6"/>
  <c r="H304" i="6"/>
  <c r="G304" i="6"/>
  <c r="F304" i="6"/>
  <c r="E304" i="6"/>
  <c r="C304" i="6"/>
  <c r="B304" i="6"/>
  <c r="I303" i="6"/>
  <c r="H303" i="6"/>
  <c r="G303" i="6"/>
  <c r="F303" i="6"/>
  <c r="E303" i="6"/>
  <c r="C303" i="6"/>
  <c r="B303" i="6"/>
  <c r="I302" i="6"/>
  <c r="H302" i="6"/>
  <c r="G302" i="6"/>
  <c r="E302" i="6"/>
  <c r="C302" i="6"/>
  <c r="B302" i="6"/>
  <c r="I301" i="6"/>
  <c r="H301" i="6"/>
  <c r="G301" i="6"/>
  <c r="F301" i="6"/>
  <c r="C301" i="6"/>
  <c r="B301" i="6"/>
  <c r="I300" i="6"/>
  <c r="H300" i="6"/>
  <c r="G300" i="6"/>
  <c r="F300" i="6"/>
  <c r="E300" i="6"/>
  <c r="C300" i="6"/>
  <c r="B300" i="6"/>
  <c r="I299" i="6"/>
  <c r="H299" i="6"/>
  <c r="G299" i="6"/>
  <c r="F299" i="6"/>
  <c r="E299" i="6"/>
  <c r="C299" i="6"/>
  <c r="B299" i="6"/>
  <c r="I298" i="6"/>
  <c r="H298" i="6"/>
  <c r="G298" i="6"/>
  <c r="F298" i="6"/>
  <c r="E298" i="6"/>
  <c r="C298" i="6"/>
  <c r="B298" i="6"/>
  <c r="I297" i="6"/>
  <c r="H297" i="6"/>
  <c r="G297" i="6"/>
  <c r="F297" i="6"/>
  <c r="E297" i="6"/>
  <c r="C297" i="6"/>
  <c r="B297" i="6"/>
  <c r="I296" i="6"/>
  <c r="H296" i="6"/>
  <c r="G296" i="6"/>
  <c r="F296" i="6"/>
  <c r="E296" i="6"/>
  <c r="C296" i="6"/>
  <c r="B296" i="6"/>
  <c r="I295" i="6"/>
  <c r="H295" i="6"/>
  <c r="G295" i="6"/>
  <c r="F295" i="6"/>
  <c r="E295" i="6"/>
  <c r="C295" i="6"/>
  <c r="B295" i="6"/>
  <c r="I294" i="6"/>
  <c r="H294" i="6"/>
  <c r="G294" i="6"/>
  <c r="F294" i="6"/>
  <c r="E294" i="6"/>
  <c r="C294" i="6"/>
  <c r="B294" i="6"/>
  <c r="I293" i="6"/>
  <c r="H293" i="6"/>
  <c r="G293" i="6"/>
  <c r="F293" i="6"/>
  <c r="E293" i="6"/>
  <c r="C293" i="6"/>
  <c r="B293" i="6"/>
  <c r="I292" i="6"/>
  <c r="H292" i="6"/>
  <c r="G292" i="6"/>
  <c r="F292" i="6"/>
  <c r="E292" i="6"/>
  <c r="C292" i="6"/>
  <c r="B292" i="6"/>
  <c r="I291" i="6"/>
  <c r="H291" i="6"/>
  <c r="G291" i="6"/>
  <c r="F291" i="6"/>
  <c r="E291" i="6"/>
  <c r="C291" i="6"/>
  <c r="B291" i="6"/>
  <c r="I290" i="6"/>
  <c r="H290" i="6"/>
  <c r="G290" i="6"/>
  <c r="F290" i="6"/>
  <c r="E290" i="6"/>
  <c r="C290" i="6"/>
  <c r="B290" i="6"/>
  <c r="I289" i="6"/>
  <c r="H289" i="6"/>
  <c r="G289" i="6"/>
  <c r="F289" i="6"/>
  <c r="E289" i="6"/>
  <c r="C289" i="6"/>
  <c r="B289" i="6"/>
  <c r="I288" i="6"/>
  <c r="H288" i="6"/>
  <c r="G288" i="6"/>
  <c r="F288" i="6"/>
  <c r="E288" i="6"/>
  <c r="C288" i="6"/>
  <c r="B288" i="6"/>
  <c r="I287" i="6"/>
  <c r="H287" i="6"/>
  <c r="G287" i="6"/>
  <c r="F287" i="6"/>
  <c r="E287" i="6"/>
  <c r="C287" i="6"/>
  <c r="B287" i="6"/>
  <c r="I286" i="6"/>
  <c r="H286" i="6"/>
  <c r="G286" i="6"/>
  <c r="F286" i="6"/>
  <c r="E286" i="6"/>
  <c r="C286" i="6"/>
  <c r="B286" i="6"/>
  <c r="I285" i="6"/>
  <c r="H285" i="6"/>
  <c r="G285" i="6"/>
  <c r="F285" i="6"/>
  <c r="E285" i="6"/>
  <c r="C285" i="6"/>
  <c r="B285" i="6"/>
  <c r="I284" i="6"/>
  <c r="H284" i="6"/>
  <c r="G284" i="6"/>
  <c r="F284" i="6"/>
  <c r="E284" i="6"/>
  <c r="C284" i="6"/>
  <c r="B284" i="6"/>
  <c r="I283" i="6"/>
  <c r="H283" i="6"/>
  <c r="G283" i="6"/>
  <c r="F283" i="6"/>
  <c r="E283" i="6"/>
  <c r="C283" i="6"/>
  <c r="B283" i="6"/>
  <c r="I282" i="6"/>
  <c r="H282" i="6"/>
  <c r="G282" i="6"/>
  <c r="F282" i="6"/>
  <c r="E282" i="6"/>
  <c r="C282" i="6"/>
  <c r="B282" i="6"/>
  <c r="I281" i="6"/>
  <c r="H281" i="6"/>
  <c r="G281" i="6"/>
  <c r="F281" i="6"/>
  <c r="E281" i="6"/>
  <c r="C281" i="6"/>
  <c r="B281" i="6"/>
  <c r="I280" i="6"/>
  <c r="H280" i="6"/>
  <c r="G280" i="6"/>
  <c r="F280" i="6"/>
  <c r="E280" i="6"/>
  <c r="C280" i="6"/>
  <c r="B280" i="6"/>
  <c r="I279" i="6"/>
  <c r="H279" i="6"/>
  <c r="G279" i="6"/>
  <c r="F279" i="6"/>
  <c r="E279" i="6"/>
  <c r="C279" i="6"/>
  <c r="B279" i="6"/>
  <c r="I278" i="6"/>
  <c r="H278" i="6"/>
  <c r="G278" i="6"/>
  <c r="F278" i="6"/>
  <c r="E278" i="6"/>
  <c r="C278" i="6"/>
  <c r="B278" i="6"/>
  <c r="I277" i="6"/>
  <c r="H277" i="6"/>
  <c r="G277" i="6"/>
  <c r="F277" i="6"/>
  <c r="E277" i="6"/>
  <c r="C277" i="6"/>
  <c r="B277" i="6"/>
  <c r="I276" i="6"/>
  <c r="H276" i="6"/>
  <c r="G276" i="6"/>
  <c r="F276" i="6"/>
  <c r="E276" i="6"/>
  <c r="C276" i="6"/>
  <c r="B276" i="6"/>
  <c r="I275" i="6"/>
  <c r="H275" i="6"/>
  <c r="G275" i="6"/>
  <c r="F275" i="6"/>
  <c r="E275" i="6"/>
  <c r="C275" i="6"/>
  <c r="B275" i="6"/>
  <c r="I274" i="6"/>
  <c r="H274" i="6"/>
  <c r="G274" i="6"/>
  <c r="F274" i="6"/>
  <c r="E274" i="6"/>
  <c r="C274" i="6"/>
  <c r="B274" i="6"/>
  <c r="I273" i="6"/>
  <c r="H273" i="6"/>
  <c r="G273" i="6"/>
  <c r="F273" i="6"/>
  <c r="E273" i="6"/>
  <c r="C273" i="6"/>
  <c r="B273" i="6"/>
  <c r="I272" i="6"/>
  <c r="H272" i="6"/>
  <c r="G272" i="6"/>
  <c r="F272" i="6"/>
  <c r="E272" i="6"/>
  <c r="C272" i="6"/>
  <c r="B272" i="6"/>
  <c r="I271" i="6"/>
  <c r="H271" i="6"/>
  <c r="G271" i="6"/>
  <c r="F271" i="6"/>
  <c r="E271" i="6"/>
  <c r="D271" i="6"/>
  <c r="C271" i="6"/>
  <c r="B271" i="6"/>
  <c r="I270" i="6"/>
  <c r="H270" i="6"/>
  <c r="G270" i="6"/>
  <c r="F270" i="6"/>
  <c r="E270" i="6"/>
  <c r="D270" i="6"/>
  <c r="C270" i="6"/>
  <c r="B270" i="6"/>
  <c r="I269" i="6"/>
  <c r="H269" i="6"/>
  <c r="G269" i="6"/>
  <c r="F269" i="6"/>
  <c r="E269" i="6"/>
  <c r="D269" i="6"/>
  <c r="C269" i="6"/>
  <c r="B269" i="6"/>
  <c r="I268" i="6"/>
  <c r="H268" i="6"/>
  <c r="G268" i="6"/>
  <c r="F268" i="6"/>
  <c r="E268" i="6"/>
  <c r="D268" i="6"/>
  <c r="C268" i="6"/>
  <c r="B268" i="6"/>
  <c r="I267" i="6"/>
  <c r="H267" i="6"/>
  <c r="G267" i="6"/>
  <c r="F267" i="6"/>
  <c r="E267" i="6"/>
  <c r="D267" i="6"/>
  <c r="C267" i="6"/>
  <c r="B267" i="6"/>
  <c r="I266" i="6"/>
  <c r="H266" i="6"/>
  <c r="G266" i="6"/>
  <c r="F266" i="6"/>
  <c r="E266" i="6"/>
  <c r="D266" i="6"/>
  <c r="C266" i="6"/>
  <c r="B266" i="6"/>
  <c r="I265" i="6"/>
  <c r="H265" i="6"/>
  <c r="G265" i="6"/>
  <c r="F265" i="6"/>
  <c r="E265" i="6"/>
  <c r="D265" i="6"/>
  <c r="C265" i="6"/>
  <c r="B265" i="6"/>
  <c r="I264" i="6"/>
  <c r="H264" i="6"/>
  <c r="G264" i="6"/>
  <c r="F264" i="6"/>
  <c r="E264" i="6"/>
  <c r="D264" i="6"/>
  <c r="C264" i="6"/>
  <c r="B264" i="6"/>
  <c r="I263" i="6"/>
  <c r="H263" i="6"/>
  <c r="G263" i="6"/>
  <c r="F263" i="6"/>
  <c r="E263" i="6"/>
  <c r="D263" i="6"/>
  <c r="C263" i="6"/>
  <c r="B263" i="6"/>
  <c r="I262" i="6"/>
  <c r="H262" i="6"/>
  <c r="G262" i="6"/>
  <c r="F262" i="6"/>
  <c r="E262" i="6"/>
  <c r="D262" i="6"/>
  <c r="C262" i="6"/>
  <c r="B262" i="6"/>
  <c r="I261" i="6"/>
  <c r="H261" i="6"/>
  <c r="G261" i="6"/>
  <c r="F261" i="6"/>
  <c r="E261" i="6"/>
  <c r="D261" i="6"/>
  <c r="C261" i="6"/>
  <c r="B261" i="6"/>
  <c r="I260" i="6"/>
  <c r="H260" i="6"/>
  <c r="G260" i="6"/>
  <c r="F260" i="6"/>
  <c r="E260" i="6"/>
  <c r="D260" i="6"/>
  <c r="C260" i="6"/>
  <c r="B260" i="6"/>
  <c r="I259" i="6"/>
  <c r="H259" i="6"/>
  <c r="G259" i="6"/>
  <c r="F259" i="6"/>
  <c r="E259" i="6"/>
  <c r="D259" i="6"/>
  <c r="C259" i="6"/>
  <c r="B259" i="6"/>
  <c r="I258" i="6"/>
  <c r="H258" i="6"/>
  <c r="G258" i="6"/>
  <c r="F258" i="6"/>
  <c r="E258" i="6"/>
  <c r="D258" i="6"/>
  <c r="C258" i="6"/>
  <c r="B258" i="6"/>
  <c r="I257" i="6"/>
  <c r="H257" i="6"/>
  <c r="G257" i="6"/>
  <c r="F257" i="6"/>
  <c r="E257" i="6"/>
  <c r="D257" i="6"/>
  <c r="C257" i="6"/>
  <c r="B257" i="6"/>
  <c r="I256" i="6"/>
  <c r="H256" i="6"/>
  <c r="G256" i="6"/>
  <c r="F256" i="6"/>
  <c r="E256" i="6"/>
  <c r="D256" i="6"/>
  <c r="C256" i="6"/>
  <c r="B256" i="6"/>
  <c r="I255" i="6"/>
  <c r="H255" i="6"/>
  <c r="G255" i="6"/>
  <c r="F255" i="6"/>
  <c r="E255" i="6"/>
  <c r="D255" i="6"/>
  <c r="C255" i="6"/>
  <c r="B255" i="6"/>
  <c r="I254" i="6"/>
  <c r="H254" i="6"/>
  <c r="G254" i="6"/>
  <c r="F254" i="6"/>
  <c r="E254" i="6"/>
  <c r="D254" i="6"/>
  <c r="C254" i="6"/>
  <c r="B254" i="6"/>
  <c r="I253" i="6"/>
  <c r="H253" i="6"/>
  <c r="G253" i="6"/>
  <c r="F253" i="6"/>
  <c r="E253" i="6"/>
  <c r="D253" i="6"/>
  <c r="C253" i="6"/>
  <c r="B253" i="6"/>
  <c r="I252" i="6"/>
  <c r="H252" i="6"/>
  <c r="G252" i="6"/>
  <c r="F252" i="6"/>
  <c r="E252" i="6"/>
  <c r="D252" i="6"/>
  <c r="C252" i="6"/>
  <c r="B252" i="6"/>
  <c r="I251" i="6"/>
  <c r="H251" i="6"/>
  <c r="G251" i="6"/>
  <c r="F251" i="6"/>
  <c r="E251" i="6"/>
  <c r="D251" i="6"/>
  <c r="C251" i="6"/>
  <c r="B251" i="6"/>
  <c r="I250" i="6"/>
  <c r="H250" i="6"/>
  <c r="G250" i="6"/>
  <c r="F250" i="6"/>
  <c r="E250" i="6"/>
  <c r="D250" i="6"/>
  <c r="C250" i="6"/>
  <c r="B250" i="6"/>
  <c r="I249" i="6"/>
  <c r="H249" i="6"/>
  <c r="G249" i="6"/>
  <c r="F249" i="6"/>
  <c r="E249" i="6"/>
  <c r="D249" i="6"/>
  <c r="C249" i="6"/>
  <c r="B249" i="6"/>
  <c r="I248" i="6"/>
  <c r="H248" i="6"/>
  <c r="G248" i="6"/>
  <c r="F248" i="6"/>
  <c r="E248" i="6"/>
  <c r="D248" i="6"/>
  <c r="C248" i="6"/>
  <c r="B248" i="6"/>
  <c r="I247" i="6"/>
  <c r="H247" i="6"/>
  <c r="G247" i="6"/>
  <c r="F247" i="6"/>
  <c r="E247" i="6"/>
  <c r="D247" i="6"/>
  <c r="C247" i="6"/>
  <c r="B247" i="6"/>
  <c r="I246" i="6"/>
  <c r="H246" i="6"/>
  <c r="G246" i="6"/>
  <c r="F246" i="6"/>
  <c r="E246" i="6"/>
  <c r="D246" i="6"/>
  <c r="C246" i="6"/>
  <c r="B246" i="6"/>
  <c r="I245" i="6"/>
  <c r="H245" i="6"/>
  <c r="G245" i="6"/>
  <c r="F245" i="6"/>
  <c r="E245" i="6"/>
  <c r="D245" i="6"/>
  <c r="C245" i="6"/>
  <c r="B245" i="6"/>
  <c r="I244" i="6"/>
  <c r="H244" i="6"/>
  <c r="G244" i="6"/>
  <c r="F244" i="6"/>
  <c r="E244" i="6"/>
  <c r="D244" i="6"/>
  <c r="C244" i="6"/>
  <c r="B244" i="6"/>
  <c r="I243" i="6"/>
  <c r="H243" i="6"/>
  <c r="G243" i="6"/>
  <c r="F243" i="6"/>
  <c r="E243" i="6"/>
  <c r="D243" i="6"/>
  <c r="C243" i="6"/>
  <c r="B243" i="6"/>
  <c r="I242" i="6"/>
  <c r="H242" i="6"/>
  <c r="G242" i="6"/>
  <c r="F242" i="6"/>
  <c r="E242" i="6"/>
  <c r="D242" i="6"/>
  <c r="C242" i="6"/>
  <c r="B242" i="6"/>
  <c r="I241" i="6"/>
  <c r="H241" i="6"/>
  <c r="G241" i="6"/>
  <c r="F241" i="6"/>
  <c r="E241" i="6"/>
  <c r="D241" i="6"/>
  <c r="C241" i="6"/>
  <c r="B241" i="6"/>
  <c r="I240" i="6"/>
  <c r="H240" i="6"/>
  <c r="G240" i="6"/>
  <c r="F240" i="6"/>
  <c r="E240" i="6"/>
  <c r="D240" i="6"/>
  <c r="C240" i="6"/>
  <c r="B240" i="6"/>
  <c r="I239" i="6"/>
  <c r="H239" i="6"/>
  <c r="G239" i="6"/>
  <c r="F239" i="6"/>
  <c r="E239" i="6"/>
  <c r="D239" i="6"/>
  <c r="C239" i="6"/>
  <c r="B239" i="6"/>
  <c r="I238" i="6"/>
  <c r="H238" i="6"/>
  <c r="G238" i="6"/>
  <c r="F238" i="6"/>
  <c r="E238" i="6"/>
  <c r="D238" i="6"/>
  <c r="C238" i="6"/>
  <c r="B238" i="6"/>
  <c r="I237" i="6"/>
  <c r="H237" i="6"/>
  <c r="G237" i="6"/>
  <c r="F237" i="6"/>
  <c r="E237" i="6"/>
  <c r="D237" i="6"/>
  <c r="C237" i="6"/>
  <c r="B237" i="6"/>
  <c r="I236" i="6"/>
  <c r="H236" i="6"/>
  <c r="G236" i="6"/>
  <c r="F236" i="6"/>
  <c r="E236" i="6"/>
  <c r="D236" i="6"/>
  <c r="C236" i="6"/>
  <c r="B236" i="6"/>
  <c r="I235" i="6"/>
  <c r="H235" i="6"/>
  <c r="G235" i="6"/>
  <c r="F235" i="6"/>
  <c r="E235" i="6"/>
  <c r="D235" i="6"/>
  <c r="C235" i="6"/>
  <c r="B235" i="6"/>
  <c r="I234" i="6"/>
  <c r="H234" i="6"/>
  <c r="G234" i="6"/>
  <c r="F234" i="6"/>
  <c r="E234" i="6"/>
  <c r="D234" i="6"/>
  <c r="C234" i="6"/>
  <c r="B234" i="6"/>
  <c r="I233" i="6"/>
  <c r="H233" i="6"/>
  <c r="G233" i="6"/>
  <c r="F233" i="6"/>
  <c r="E233" i="6"/>
  <c r="D233" i="6"/>
  <c r="C233" i="6"/>
  <c r="B233" i="6"/>
  <c r="I232" i="6"/>
  <c r="H232" i="6"/>
  <c r="G232" i="6"/>
  <c r="F232" i="6"/>
  <c r="E232" i="6"/>
  <c r="D232" i="6"/>
  <c r="C232" i="6"/>
  <c r="B232" i="6"/>
  <c r="I231" i="6"/>
  <c r="H231" i="6"/>
  <c r="G231" i="6"/>
  <c r="F231" i="6"/>
  <c r="E231" i="6"/>
  <c r="D231" i="6"/>
  <c r="C231" i="6"/>
  <c r="B231" i="6"/>
  <c r="I230" i="6"/>
  <c r="H230" i="6"/>
  <c r="G230" i="6"/>
  <c r="F230" i="6"/>
  <c r="E230" i="6"/>
  <c r="D230" i="6"/>
  <c r="C230" i="6"/>
  <c r="B230" i="6"/>
  <c r="I229" i="6"/>
  <c r="H229" i="6"/>
  <c r="G229" i="6"/>
  <c r="F229" i="6"/>
  <c r="E229" i="6"/>
  <c r="D229" i="6"/>
  <c r="C229" i="6"/>
  <c r="B229" i="6"/>
  <c r="I228" i="6"/>
  <c r="H228" i="6"/>
  <c r="G228" i="6"/>
  <c r="F228" i="6"/>
  <c r="E228" i="6"/>
  <c r="D228" i="6"/>
  <c r="C228" i="6"/>
  <c r="B228" i="6"/>
  <c r="I227" i="6"/>
  <c r="H227" i="6"/>
  <c r="G227" i="6"/>
  <c r="F227" i="6"/>
  <c r="E227" i="6"/>
  <c r="D227" i="6"/>
  <c r="C227" i="6"/>
  <c r="B227" i="6"/>
  <c r="I226" i="6"/>
  <c r="H226" i="6"/>
  <c r="G226" i="6"/>
  <c r="F226" i="6"/>
  <c r="E226" i="6"/>
  <c r="D226" i="6"/>
  <c r="C226" i="6"/>
  <c r="B226" i="6"/>
  <c r="I225" i="6"/>
  <c r="H225" i="6"/>
  <c r="G225" i="6"/>
  <c r="F225" i="6"/>
  <c r="E225" i="6"/>
  <c r="D225" i="6"/>
  <c r="C225" i="6"/>
  <c r="B225" i="6"/>
  <c r="I224" i="6"/>
  <c r="H224" i="6"/>
  <c r="G224" i="6"/>
  <c r="F224" i="6"/>
  <c r="E224" i="6"/>
  <c r="D224" i="6"/>
  <c r="C224" i="6"/>
  <c r="B224" i="6"/>
  <c r="I223" i="6"/>
  <c r="H223" i="6"/>
  <c r="G223" i="6"/>
  <c r="F223" i="6"/>
  <c r="E223" i="6"/>
  <c r="D223" i="6"/>
  <c r="C223" i="6"/>
  <c r="B223" i="6"/>
  <c r="I222" i="6"/>
  <c r="H222" i="6"/>
  <c r="G222" i="6"/>
  <c r="F222" i="6"/>
  <c r="E222" i="6"/>
  <c r="D222" i="6"/>
  <c r="C222" i="6"/>
  <c r="B222" i="6"/>
  <c r="I221" i="6"/>
  <c r="H221" i="6"/>
  <c r="G221" i="6"/>
  <c r="F221" i="6"/>
  <c r="E221" i="6"/>
  <c r="D221" i="6"/>
  <c r="C221" i="6"/>
  <c r="B221" i="6"/>
  <c r="I220" i="6"/>
  <c r="H220" i="6"/>
  <c r="G220" i="6"/>
  <c r="F220" i="6"/>
  <c r="E220" i="6"/>
  <c r="D220" i="6"/>
  <c r="C220" i="6"/>
  <c r="B220" i="6"/>
  <c r="I219" i="6"/>
  <c r="H219" i="6"/>
  <c r="G219" i="6"/>
  <c r="F219" i="6"/>
  <c r="E219" i="6"/>
  <c r="D219" i="6"/>
  <c r="C219" i="6"/>
  <c r="B219" i="6"/>
  <c r="I218" i="6"/>
  <c r="H218" i="6"/>
  <c r="G218" i="6"/>
  <c r="F218" i="6"/>
  <c r="E218" i="6"/>
  <c r="D218" i="6"/>
  <c r="C218" i="6"/>
  <c r="B218" i="6"/>
  <c r="I217" i="6"/>
  <c r="H217" i="6"/>
  <c r="G217" i="6"/>
  <c r="F217" i="6"/>
  <c r="E217" i="6"/>
  <c r="D217" i="6"/>
  <c r="C217" i="6"/>
  <c r="B217" i="6"/>
  <c r="I216" i="6"/>
  <c r="H216" i="6"/>
  <c r="G216" i="6"/>
  <c r="F216" i="6"/>
  <c r="E216" i="6"/>
  <c r="D216" i="6"/>
  <c r="C216" i="6"/>
  <c r="B216" i="6"/>
  <c r="I215" i="6"/>
  <c r="H215" i="6"/>
  <c r="G215" i="6"/>
  <c r="F215" i="6"/>
  <c r="E215" i="6"/>
  <c r="D215" i="6"/>
  <c r="C215" i="6"/>
  <c r="B215" i="6"/>
  <c r="I214" i="6"/>
  <c r="H214" i="6"/>
  <c r="G214" i="6"/>
  <c r="F214" i="6"/>
  <c r="E214" i="6"/>
  <c r="D214" i="6"/>
  <c r="C214" i="6"/>
  <c r="B214" i="6"/>
  <c r="I213" i="6"/>
  <c r="H213" i="6"/>
  <c r="G213" i="6"/>
  <c r="F213" i="6"/>
  <c r="E213" i="6"/>
  <c r="D213" i="6"/>
  <c r="C213" i="6"/>
  <c r="B213" i="6"/>
  <c r="I212" i="6"/>
  <c r="H212" i="6"/>
  <c r="G212" i="6"/>
  <c r="F212" i="6"/>
  <c r="E212" i="6"/>
  <c r="D212" i="6"/>
  <c r="C212" i="6"/>
  <c r="B212" i="6"/>
  <c r="I211" i="6"/>
  <c r="H211" i="6"/>
  <c r="G211" i="6"/>
  <c r="F211" i="6"/>
  <c r="E211" i="6"/>
  <c r="D211" i="6"/>
  <c r="C211" i="6"/>
  <c r="B211" i="6"/>
  <c r="I210" i="6"/>
  <c r="H210" i="6"/>
  <c r="G210" i="6"/>
  <c r="F210" i="6"/>
  <c r="E210" i="6"/>
  <c r="D210" i="6"/>
  <c r="C210" i="6"/>
  <c r="B210" i="6"/>
  <c r="I209" i="6"/>
  <c r="H209" i="6"/>
  <c r="G209" i="6"/>
  <c r="F209" i="6"/>
  <c r="E209" i="6"/>
  <c r="D209" i="6"/>
  <c r="C209" i="6"/>
  <c r="B209" i="6"/>
  <c r="I208" i="6"/>
  <c r="H208" i="6"/>
  <c r="G208" i="6"/>
  <c r="F208" i="6"/>
  <c r="E208" i="6"/>
  <c r="D208" i="6"/>
  <c r="C208" i="6"/>
  <c r="B208" i="6"/>
  <c r="I207" i="6"/>
  <c r="H207" i="6"/>
  <c r="G207" i="6"/>
  <c r="F207" i="6"/>
  <c r="E207" i="6"/>
  <c r="D207" i="6"/>
  <c r="C207" i="6"/>
  <c r="B207" i="6"/>
  <c r="I206" i="6"/>
  <c r="H206" i="6"/>
  <c r="G206" i="6"/>
  <c r="F206" i="6"/>
  <c r="E206" i="6"/>
  <c r="D206" i="6"/>
  <c r="C206" i="6"/>
  <c r="B206" i="6"/>
  <c r="I205" i="6"/>
  <c r="H205" i="6"/>
  <c r="G205" i="6"/>
  <c r="F205" i="6"/>
  <c r="E205" i="6"/>
  <c r="D205" i="6"/>
  <c r="C205" i="6"/>
  <c r="B205" i="6"/>
  <c r="I204" i="6"/>
  <c r="H204" i="6"/>
  <c r="G204" i="6"/>
  <c r="F204" i="6"/>
  <c r="E204" i="6"/>
  <c r="D204" i="6"/>
  <c r="C204" i="6"/>
  <c r="B204" i="6"/>
  <c r="I203" i="6"/>
  <c r="H203" i="6"/>
  <c r="G203" i="6"/>
  <c r="F203" i="6"/>
  <c r="E203" i="6"/>
  <c r="D203" i="6"/>
  <c r="C203" i="6"/>
  <c r="B203" i="6"/>
  <c r="I202" i="6"/>
  <c r="H202" i="6"/>
  <c r="G202" i="6"/>
  <c r="F202" i="6"/>
  <c r="E202" i="6"/>
  <c r="D202" i="6"/>
  <c r="C202" i="6"/>
  <c r="B202" i="6"/>
  <c r="I201" i="6"/>
  <c r="H201" i="6"/>
  <c r="G201" i="6"/>
  <c r="F201" i="6"/>
  <c r="E201" i="6"/>
  <c r="D201" i="6"/>
  <c r="C201" i="6"/>
  <c r="B201" i="6"/>
  <c r="I200" i="6"/>
  <c r="H200" i="6"/>
  <c r="G200" i="6"/>
  <c r="F200" i="6"/>
  <c r="E200" i="6"/>
  <c r="D200" i="6"/>
  <c r="C200" i="6"/>
  <c r="B200" i="6"/>
  <c r="I199" i="6"/>
  <c r="H199" i="6"/>
  <c r="G199" i="6"/>
  <c r="F199" i="6"/>
  <c r="E199" i="6"/>
  <c r="D199" i="6"/>
  <c r="C199" i="6"/>
  <c r="B199" i="6"/>
  <c r="I198" i="6"/>
  <c r="H198" i="6"/>
  <c r="G198" i="6"/>
  <c r="F198" i="6"/>
  <c r="E198" i="6"/>
  <c r="D198" i="6"/>
  <c r="C198" i="6"/>
  <c r="B198" i="6"/>
  <c r="I197" i="6"/>
  <c r="H197" i="6"/>
  <c r="G197" i="6"/>
  <c r="F197" i="6"/>
  <c r="E197" i="6"/>
  <c r="D197" i="6"/>
  <c r="C197" i="6"/>
  <c r="B197" i="6"/>
  <c r="I196" i="6"/>
  <c r="H196" i="6"/>
  <c r="G196" i="6"/>
  <c r="F196" i="6"/>
  <c r="E196" i="6"/>
  <c r="D196" i="6"/>
  <c r="C196" i="6"/>
  <c r="B196" i="6"/>
  <c r="I195" i="6"/>
  <c r="H195" i="6"/>
  <c r="G195" i="6"/>
  <c r="F195" i="6"/>
  <c r="E195" i="6"/>
  <c r="D195" i="6"/>
  <c r="C195" i="6"/>
  <c r="B195" i="6"/>
  <c r="I194" i="6"/>
  <c r="H194" i="6"/>
  <c r="G194" i="6"/>
  <c r="F194" i="6"/>
  <c r="E194" i="6"/>
  <c r="D194" i="6"/>
  <c r="C194" i="6"/>
  <c r="B194" i="6"/>
  <c r="I193" i="6"/>
  <c r="H193" i="6"/>
  <c r="G193" i="6"/>
  <c r="F193" i="6"/>
  <c r="E193" i="6"/>
  <c r="D193" i="6"/>
  <c r="C193" i="6"/>
  <c r="B193" i="6"/>
  <c r="I192" i="6"/>
  <c r="H192" i="6"/>
  <c r="G192" i="6"/>
  <c r="F192" i="6"/>
  <c r="E192" i="6"/>
  <c r="D192" i="6"/>
  <c r="C192" i="6"/>
  <c r="B192" i="6"/>
  <c r="I191" i="6"/>
  <c r="H191" i="6"/>
  <c r="G191" i="6"/>
  <c r="F191" i="6"/>
  <c r="E191" i="6"/>
  <c r="D191" i="6"/>
  <c r="C191" i="6"/>
  <c r="B191" i="6"/>
  <c r="I190" i="6"/>
  <c r="H190" i="6"/>
  <c r="G190" i="6"/>
  <c r="F190" i="6"/>
  <c r="E190" i="6"/>
  <c r="D190" i="6"/>
  <c r="C190" i="6"/>
  <c r="B190" i="6"/>
  <c r="I189" i="6"/>
  <c r="H189" i="6"/>
  <c r="G189" i="6"/>
  <c r="F189" i="6"/>
  <c r="E189" i="6"/>
  <c r="D189" i="6"/>
  <c r="C189" i="6"/>
  <c r="B189" i="6"/>
  <c r="I188" i="6"/>
  <c r="H188" i="6"/>
  <c r="G188" i="6"/>
  <c r="F188" i="6"/>
  <c r="E188" i="6"/>
  <c r="D188" i="6"/>
  <c r="C188" i="6"/>
  <c r="B188" i="6"/>
  <c r="I187" i="6"/>
  <c r="H187" i="6"/>
  <c r="G187" i="6"/>
  <c r="F187" i="6"/>
  <c r="E187" i="6"/>
  <c r="D187" i="6"/>
  <c r="C187" i="6"/>
  <c r="B187" i="6"/>
  <c r="I186" i="6"/>
  <c r="H186" i="6"/>
  <c r="G186" i="6"/>
  <c r="F186" i="6"/>
  <c r="E186" i="6"/>
  <c r="D186" i="6"/>
  <c r="C186" i="6"/>
  <c r="B186" i="6"/>
  <c r="I185" i="6"/>
  <c r="H185" i="6"/>
  <c r="G185" i="6"/>
  <c r="F185" i="6"/>
  <c r="E185" i="6"/>
  <c r="D185" i="6"/>
  <c r="C185" i="6"/>
  <c r="B185" i="6"/>
  <c r="I184" i="6"/>
  <c r="H184" i="6"/>
  <c r="G184" i="6"/>
  <c r="F184" i="6"/>
  <c r="E184" i="6"/>
  <c r="D184" i="6"/>
  <c r="C184" i="6"/>
  <c r="B184" i="6"/>
  <c r="I183" i="6"/>
  <c r="H183" i="6"/>
  <c r="G183" i="6"/>
  <c r="F183" i="6"/>
  <c r="E183" i="6"/>
  <c r="D183" i="6"/>
  <c r="C183" i="6"/>
  <c r="B183" i="6"/>
  <c r="I182" i="6"/>
  <c r="H182" i="6"/>
  <c r="G182" i="6"/>
  <c r="F182" i="6"/>
  <c r="D182" i="6"/>
  <c r="C182" i="6"/>
  <c r="B182" i="6"/>
  <c r="I181" i="6"/>
  <c r="H181" i="6"/>
  <c r="G181" i="6"/>
  <c r="F181" i="6"/>
  <c r="E181" i="6"/>
  <c r="D181" i="6"/>
  <c r="C181" i="6"/>
  <c r="B181" i="6"/>
  <c r="I180" i="6"/>
  <c r="H180" i="6"/>
  <c r="G180" i="6"/>
  <c r="F180" i="6"/>
  <c r="E180" i="6"/>
  <c r="D180" i="6"/>
  <c r="C180" i="6"/>
  <c r="B180" i="6"/>
  <c r="I179" i="6"/>
  <c r="H179" i="6"/>
  <c r="G179" i="6"/>
  <c r="F179" i="6"/>
  <c r="E179" i="6"/>
  <c r="D179" i="6"/>
  <c r="C179" i="6"/>
  <c r="B179" i="6"/>
  <c r="I178" i="6"/>
  <c r="H178" i="6"/>
  <c r="G178" i="6"/>
  <c r="F178" i="6"/>
  <c r="E178" i="6"/>
  <c r="D178" i="6"/>
  <c r="C178" i="6"/>
  <c r="B178" i="6"/>
  <c r="I177" i="6"/>
  <c r="H177" i="6"/>
  <c r="G177" i="6"/>
  <c r="F177" i="6"/>
  <c r="E177" i="6"/>
  <c r="D177" i="6"/>
  <c r="C177" i="6"/>
  <c r="B177" i="6"/>
  <c r="I176" i="6"/>
  <c r="H176" i="6"/>
  <c r="G176" i="6"/>
  <c r="F176" i="6"/>
  <c r="E176" i="6"/>
  <c r="D176" i="6"/>
  <c r="C176" i="6"/>
  <c r="B176" i="6"/>
  <c r="I175" i="6"/>
  <c r="H175" i="6"/>
  <c r="G175" i="6"/>
  <c r="F175" i="6"/>
  <c r="E175" i="6"/>
  <c r="D175" i="6"/>
  <c r="C175" i="6"/>
  <c r="B175" i="6"/>
  <c r="I174" i="6"/>
  <c r="H174" i="6"/>
  <c r="G174" i="6"/>
  <c r="F174" i="6"/>
  <c r="E174" i="6"/>
  <c r="D174" i="6"/>
  <c r="C174" i="6"/>
  <c r="B174" i="6"/>
  <c r="I173" i="6"/>
  <c r="H173" i="6"/>
  <c r="G173" i="6"/>
  <c r="F173" i="6"/>
  <c r="E173" i="6"/>
  <c r="D173" i="6"/>
  <c r="C173" i="6"/>
  <c r="B173" i="6"/>
  <c r="I172" i="6"/>
  <c r="H172" i="6"/>
  <c r="G172" i="6"/>
  <c r="F172" i="6"/>
  <c r="E172" i="6"/>
  <c r="D172" i="6"/>
  <c r="C172" i="6"/>
  <c r="B172" i="6"/>
  <c r="I171" i="6"/>
  <c r="H171" i="6"/>
  <c r="G171" i="6"/>
  <c r="F171" i="6"/>
  <c r="E171" i="6"/>
  <c r="D171" i="6"/>
  <c r="C171" i="6"/>
  <c r="B171" i="6"/>
  <c r="I170" i="6"/>
  <c r="H170" i="6"/>
  <c r="G170" i="6"/>
  <c r="F170" i="6"/>
  <c r="E170" i="6"/>
  <c r="D170" i="6"/>
  <c r="C170" i="6"/>
  <c r="B170" i="6"/>
  <c r="I169" i="6"/>
  <c r="H169" i="6"/>
  <c r="G169" i="6"/>
  <c r="F169" i="6"/>
  <c r="E169" i="6"/>
  <c r="D169" i="6"/>
  <c r="C169" i="6"/>
  <c r="B169" i="6"/>
  <c r="I168" i="6"/>
  <c r="H168" i="6"/>
  <c r="G168" i="6"/>
  <c r="F168" i="6"/>
  <c r="E168" i="6"/>
  <c r="D168" i="6"/>
  <c r="C168" i="6"/>
  <c r="B168" i="6"/>
  <c r="I167" i="6"/>
  <c r="H167" i="6"/>
  <c r="G167" i="6"/>
  <c r="F167" i="6"/>
  <c r="E167" i="6"/>
  <c r="D167" i="6"/>
  <c r="C167" i="6"/>
  <c r="B167" i="6"/>
  <c r="I166" i="6"/>
  <c r="H166" i="6"/>
  <c r="G166" i="6"/>
  <c r="F166" i="6"/>
  <c r="E166" i="6"/>
  <c r="D166" i="6"/>
  <c r="C166" i="6"/>
  <c r="B166" i="6"/>
  <c r="I165" i="6"/>
  <c r="H165" i="6"/>
  <c r="G165" i="6"/>
  <c r="F165" i="6"/>
  <c r="E165" i="6"/>
  <c r="D165" i="6"/>
  <c r="C165" i="6"/>
  <c r="B165" i="6"/>
  <c r="I164" i="6"/>
  <c r="H164" i="6"/>
  <c r="G164" i="6"/>
  <c r="F164" i="6"/>
  <c r="E164" i="6"/>
  <c r="D164" i="6"/>
  <c r="C164" i="6"/>
  <c r="B164" i="6"/>
  <c r="I163" i="6"/>
  <c r="H163" i="6"/>
  <c r="G163" i="6"/>
  <c r="F163" i="6"/>
  <c r="E163" i="6"/>
  <c r="D163" i="6"/>
  <c r="C163" i="6"/>
  <c r="B163" i="6"/>
  <c r="I162" i="6"/>
  <c r="H162" i="6"/>
  <c r="G162" i="6"/>
  <c r="F162" i="6"/>
  <c r="E162" i="6"/>
  <c r="D162" i="6"/>
  <c r="C162" i="6"/>
  <c r="B162" i="6"/>
  <c r="I161" i="6"/>
  <c r="H161" i="6"/>
  <c r="G161" i="6"/>
  <c r="F161" i="6"/>
  <c r="E161" i="6"/>
  <c r="D161" i="6"/>
  <c r="C161" i="6"/>
  <c r="B161" i="6"/>
  <c r="I160" i="6"/>
  <c r="H160" i="6"/>
  <c r="G160" i="6"/>
  <c r="F160" i="6"/>
  <c r="E160" i="6"/>
  <c r="D160" i="6"/>
  <c r="C160" i="6"/>
  <c r="B160" i="6"/>
  <c r="I159" i="6"/>
  <c r="H159" i="6"/>
  <c r="G159" i="6"/>
  <c r="F159" i="6"/>
  <c r="E159" i="6"/>
  <c r="D159" i="6"/>
  <c r="C159" i="6"/>
  <c r="B159" i="6"/>
  <c r="I158" i="6"/>
  <c r="H158" i="6"/>
  <c r="G158" i="6"/>
  <c r="F158" i="6"/>
  <c r="E158" i="6"/>
  <c r="D158" i="6"/>
  <c r="C158" i="6"/>
  <c r="B158" i="6"/>
  <c r="I157" i="6"/>
  <c r="H157" i="6"/>
  <c r="G157" i="6"/>
  <c r="F157" i="6"/>
  <c r="E157" i="6"/>
  <c r="D157" i="6"/>
  <c r="C157" i="6"/>
  <c r="B157" i="6"/>
  <c r="I156" i="6"/>
  <c r="H156" i="6"/>
  <c r="G156" i="6"/>
  <c r="F156" i="6"/>
  <c r="E156" i="6"/>
  <c r="D156" i="6"/>
  <c r="C156" i="6"/>
  <c r="B156" i="6"/>
  <c r="I155" i="6"/>
  <c r="H155" i="6"/>
  <c r="G155" i="6"/>
  <c r="F155" i="6"/>
  <c r="E155" i="6"/>
  <c r="D155" i="6"/>
  <c r="C155" i="6"/>
  <c r="B155" i="6"/>
  <c r="I154" i="6"/>
  <c r="H154" i="6"/>
  <c r="G154" i="6"/>
  <c r="F154" i="6"/>
  <c r="E154" i="6"/>
  <c r="D154" i="6"/>
  <c r="C154" i="6"/>
  <c r="B154" i="6"/>
  <c r="I153" i="6"/>
  <c r="H153" i="6"/>
  <c r="G153" i="6"/>
  <c r="F153" i="6"/>
  <c r="E153" i="6"/>
  <c r="D153" i="6"/>
  <c r="C153" i="6"/>
  <c r="B153" i="6"/>
  <c r="I152" i="6"/>
  <c r="H152" i="6"/>
  <c r="G152" i="6"/>
  <c r="F152" i="6"/>
  <c r="E152" i="6"/>
  <c r="D152" i="6"/>
  <c r="C152" i="6"/>
  <c r="B152" i="6"/>
  <c r="I151" i="6"/>
  <c r="H151" i="6"/>
  <c r="G151" i="6"/>
  <c r="F151" i="6"/>
  <c r="E151" i="6"/>
  <c r="D151" i="6"/>
  <c r="C151" i="6"/>
  <c r="B151" i="6"/>
  <c r="I150" i="6"/>
  <c r="H150" i="6"/>
  <c r="G150" i="6"/>
  <c r="F150" i="6"/>
  <c r="E150" i="6"/>
  <c r="D150" i="6"/>
  <c r="C150" i="6"/>
  <c r="B150" i="6"/>
  <c r="I149" i="6"/>
  <c r="H149" i="6"/>
  <c r="G149" i="6"/>
  <c r="F149" i="6"/>
  <c r="E149" i="6"/>
  <c r="D149" i="6"/>
  <c r="C149" i="6"/>
  <c r="B149" i="6"/>
  <c r="I148" i="6"/>
  <c r="H148" i="6"/>
  <c r="G148" i="6"/>
  <c r="F148" i="6"/>
  <c r="E148" i="6"/>
  <c r="D148" i="6"/>
  <c r="C148" i="6"/>
  <c r="B148" i="6"/>
  <c r="I147" i="6"/>
  <c r="H147" i="6"/>
  <c r="G147" i="6"/>
  <c r="F147" i="6"/>
  <c r="E147" i="6"/>
  <c r="D147" i="6"/>
  <c r="C147" i="6"/>
  <c r="B147" i="6"/>
  <c r="I146" i="6"/>
  <c r="H146" i="6"/>
  <c r="G146" i="6"/>
  <c r="F146" i="6"/>
  <c r="E146" i="6"/>
  <c r="D146" i="6"/>
  <c r="C146" i="6"/>
  <c r="B146" i="6"/>
  <c r="I145" i="6"/>
  <c r="H145" i="6"/>
  <c r="G145" i="6"/>
  <c r="F145" i="6"/>
  <c r="E145" i="6"/>
  <c r="D145" i="6"/>
  <c r="C145" i="6"/>
  <c r="B145" i="6"/>
  <c r="I144" i="6"/>
  <c r="H144" i="6"/>
  <c r="G144" i="6"/>
  <c r="F144" i="6"/>
  <c r="E144" i="6"/>
  <c r="D144" i="6"/>
  <c r="C144" i="6"/>
  <c r="B144" i="6"/>
  <c r="I143" i="6"/>
  <c r="H143" i="6"/>
  <c r="G143" i="6"/>
  <c r="F143" i="6"/>
  <c r="E143" i="6"/>
  <c r="D143" i="6"/>
  <c r="C143" i="6"/>
  <c r="B143" i="6"/>
  <c r="I142" i="6"/>
  <c r="H142" i="6"/>
  <c r="G142" i="6"/>
  <c r="F142" i="6"/>
  <c r="E142" i="6"/>
  <c r="D142" i="6"/>
  <c r="C142" i="6"/>
  <c r="B142" i="6"/>
  <c r="I141" i="6"/>
  <c r="H141" i="6"/>
  <c r="G141" i="6"/>
  <c r="F141" i="6"/>
  <c r="E141" i="6"/>
  <c r="D141" i="6"/>
  <c r="C141" i="6"/>
  <c r="B141" i="6"/>
  <c r="I140" i="6"/>
  <c r="H140" i="6"/>
  <c r="G140" i="6"/>
  <c r="F140" i="6"/>
  <c r="E140" i="6"/>
  <c r="D140" i="6"/>
  <c r="C140" i="6"/>
  <c r="B140" i="6"/>
  <c r="I139" i="6"/>
  <c r="H139" i="6"/>
  <c r="G139" i="6"/>
  <c r="F139" i="6"/>
  <c r="E139" i="6"/>
  <c r="D139" i="6"/>
  <c r="C139" i="6"/>
  <c r="B139" i="6"/>
  <c r="I138" i="6"/>
  <c r="H138" i="6"/>
  <c r="G138" i="6"/>
  <c r="F138" i="6"/>
  <c r="E138" i="6"/>
  <c r="D138" i="6"/>
  <c r="C138" i="6"/>
  <c r="B138" i="6"/>
  <c r="I137" i="6"/>
  <c r="H137" i="6"/>
  <c r="G137" i="6"/>
  <c r="F137" i="6"/>
  <c r="E137" i="6"/>
  <c r="D137" i="6"/>
  <c r="C137" i="6"/>
  <c r="B137" i="6"/>
  <c r="I136" i="6"/>
  <c r="H136" i="6"/>
  <c r="G136" i="6"/>
  <c r="F136" i="6"/>
  <c r="E136" i="6"/>
  <c r="D136" i="6"/>
  <c r="C136" i="6"/>
  <c r="B136" i="6"/>
  <c r="I135" i="6"/>
  <c r="H135" i="6"/>
  <c r="G135" i="6"/>
  <c r="F135" i="6"/>
  <c r="E135" i="6"/>
  <c r="D135" i="6"/>
  <c r="C135" i="6"/>
  <c r="B135" i="6"/>
  <c r="I134" i="6"/>
  <c r="H134" i="6"/>
  <c r="G134" i="6"/>
  <c r="F134" i="6"/>
  <c r="E134" i="6"/>
  <c r="D134" i="6"/>
  <c r="C134" i="6"/>
  <c r="B134" i="6"/>
  <c r="I133" i="6"/>
  <c r="H133" i="6"/>
  <c r="G133" i="6"/>
  <c r="F133" i="6"/>
  <c r="E133" i="6"/>
  <c r="D133" i="6"/>
  <c r="C133" i="6"/>
  <c r="B133" i="6"/>
  <c r="I132" i="6"/>
  <c r="H132" i="6"/>
  <c r="G132" i="6"/>
  <c r="F132" i="6"/>
  <c r="E132" i="6"/>
  <c r="D132" i="6"/>
  <c r="C132" i="6"/>
  <c r="B132" i="6"/>
  <c r="I131" i="6"/>
  <c r="H131" i="6"/>
  <c r="G131" i="6"/>
  <c r="F131" i="6"/>
  <c r="E131" i="6"/>
  <c r="D131" i="6"/>
  <c r="C131" i="6"/>
  <c r="B131" i="6"/>
  <c r="I130" i="6"/>
  <c r="H130" i="6"/>
  <c r="G130" i="6"/>
  <c r="F130" i="6"/>
  <c r="E130" i="6"/>
  <c r="D130" i="6"/>
  <c r="C130" i="6"/>
  <c r="B130" i="6"/>
  <c r="I129" i="6"/>
  <c r="H129" i="6"/>
  <c r="G129" i="6"/>
  <c r="F129" i="6"/>
  <c r="E129" i="6"/>
  <c r="D129" i="6"/>
  <c r="C129" i="6"/>
  <c r="B129" i="6"/>
  <c r="I128" i="6"/>
  <c r="H128" i="6"/>
  <c r="G128" i="6"/>
  <c r="F128" i="6"/>
  <c r="E128" i="6"/>
  <c r="D128" i="6"/>
  <c r="C128" i="6"/>
  <c r="B128" i="6"/>
  <c r="I127" i="6"/>
  <c r="H127" i="6"/>
  <c r="G127" i="6"/>
  <c r="F127" i="6"/>
  <c r="E127" i="6"/>
  <c r="D127" i="6"/>
  <c r="C127" i="6"/>
  <c r="B127" i="6"/>
  <c r="I126" i="6"/>
  <c r="H126" i="6"/>
  <c r="G126" i="6"/>
  <c r="F126" i="6"/>
  <c r="E126" i="6"/>
  <c r="D126" i="6"/>
  <c r="C126" i="6"/>
  <c r="B126" i="6"/>
  <c r="I125" i="6"/>
  <c r="H125" i="6"/>
  <c r="G125" i="6"/>
  <c r="F125" i="6"/>
  <c r="E125" i="6"/>
  <c r="D125" i="6"/>
  <c r="C125" i="6"/>
  <c r="B125" i="6"/>
  <c r="I124" i="6"/>
  <c r="H124" i="6"/>
  <c r="G124" i="6"/>
  <c r="F124" i="6"/>
  <c r="E124" i="6"/>
  <c r="D124" i="6"/>
  <c r="C124" i="6"/>
  <c r="B124" i="6"/>
  <c r="I123" i="6"/>
  <c r="H123" i="6"/>
  <c r="G123" i="6"/>
  <c r="F123" i="6"/>
  <c r="E123" i="6"/>
  <c r="D123" i="6"/>
  <c r="C123" i="6"/>
  <c r="B123" i="6"/>
  <c r="I122" i="6"/>
  <c r="H122" i="6"/>
  <c r="G122" i="6"/>
  <c r="F122" i="6"/>
  <c r="E122" i="6"/>
  <c r="D122" i="6"/>
  <c r="C122" i="6"/>
  <c r="B122" i="6"/>
  <c r="I121" i="6"/>
  <c r="H121" i="6"/>
  <c r="G121" i="6"/>
  <c r="F121" i="6"/>
  <c r="E121" i="6"/>
  <c r="D121" i="6"/>
  <c r="C121" i="6"/>
  <c r="B121" i="6"/>
  <c r="I120" i="6"/>
  <c r="H120" i="6"/>
  <c r="G120" i="6"/>
  <c r="F120" i="6"/>
  <c r="E120" i="6"/>
  <c r="D120" i="6"/>
  <c r="C120" i="6"/>
  <c r="B120" i="6"/>
  <c r="I119" i="6"/>
  <c r="H119" i="6"/>
  <c r="G119" i="6"/>
  <c r="F119" i="6"/>
  <c r="E119" i="6"/>
  <c r="D119" i="6"/>
  <c r="C119" i="6"/>
  <c r="B119" i="6"/>
  <c r="I118" i="6"/>
  <c r="H118" i="6"/>
  <c r="G118" i="6"/>
  <c r="F118" i="6"/>
  <c r="E118" i="6"/>
  <c r="D118" i="6"/>
  <c r="C118" i="6"/>
  <c r="B118" i="6"/>
  <c r="I117" i="6"/>
  <c r="H117" i="6"/>
  <c r="G117" i="6"/>
  <c r="F117" i="6"/>
  <c r="E117" i="6"/>
  <c r="D117" i="6"/>
  <c r="C117" i="6"/>
  <c r="B117" i="6"/>
  <c r="I116" i="6"/>
  <c r="H116" i="6"/>
  <c r="G116" i="6"/>
  <c r="F116" i="6"/>
  <c r="E116" i="6"/>
  <c r="D116" i="6"/>
  <c r="C116" i="6"/>
  <c r="B116" i="6"/>
  <c r="I115" i="6"/>
  <c r="H115" i="6"/>
  <c r="G115" i="6"/>
  <c r="F115" i="6"/>
  <c r="E115" i="6"/>
  <c r="D115" i="6"/>
  <c r="C115" i="6"/>
  <c r="B115" i="6"/>
  <c r="I114" i="6"/>
  <c r="H114" i="6"/>
  <c r="G114" i="6"/>
  <c r="F114" i="6"/>
  <c r="E114" i="6"/>
  <c r="D114" i="6"/>
  <c r="C114" i="6"/>
  <c r="B114" i="6"/>
  <c r="I113" i="6"/>
  <c r="H113" i="6"/>
  <c r="G113" i="6"/>
  <c r="F113" i="6"/>
  <c r="E113" i="6"/>
  <c r="D113" i="6"/>
  <c r="C113" i="6"/>
  <c r="B113" i="6"/>
  <c r="I112" i="6"/>
  <c r="H112" i="6"/>
  <c r="G112" i="6"/>
  <c r="F112" i="6"/>
  <c r="E112" i="6"/>
  <c r="D112" i="6"/>
  <c r="C112" i="6"/>
  <c r="B112" i="6"/>
  <c r="I111" i="6"/>
  <c r="H111" i="6"/>
  <c r="G111" i="6"/>
  <c r="F111" i="6"/>
  <c r="E111" i="6"/>
  <c r="D111" i="6"/>
  <c r="C111" i="6"/>
  <c r="B111" i="6"/>
  <c r="I110" i="6"/>
  <c r="H110" i="6"/>
  <c r="G110" i="6"/>
  <c r="F110" i="6"/>
  <c r="E110" i="6"/>
  <c r="D110" i="6"/>
  <c r="C110" i="6"/>
  <c r="B110" i="6"/>
  <c r="I109" i="6"/>
  <c r="H109" i="6"/>
  <c r="G109" i="6"/>
  <c r="F109" i="6"/>
  <c r="E109" i="6"/>
  <c r="D109" i="6"/>
  <c r="C109" i="6"/>
  <c r="B109" i="6"/>
  <c r="I108" i="6"/>
  <c r="H108" i="6"/>
  <c r="G108" i="6"/>
  <c r="F108" i="6"/>
  <c r="E108" i="6"/>
  <c r="D108" i="6"/>
  <c r="C108" i="6"/>
  <c r="B108" i="6"/>
  <c r="I107" i="6"/>
  <c r="H107" i="6"/>
  <c r="G107" i="6"/>
  <c r="F107" i="6"/>
  <c r="E107" i="6"/>
  <c r="D107" i="6"/>
  <c r="C107" i="6"/>
  <c r="B107" i="6"/>
  <c r="I106" i="6"/>
  <c r="H106" i="6"/>
  <c r="G106" i="6"/>
  <c r="F106" i="6"/>
  <c r="E106" i="6"/>
  <c r="D106" i="6"/>
  <c r="C106" i="6"/>
  <c r="B106" i="6"/>
  <c r="I105" i="6"/>
  <c r="H105" i="6"/>
  <c r="G105" i="6"/>
  <c r="F105" i="6"/>
  <c r="E105" i="6"/>
  <c r="D105" i="6"/>
  <c r="C105" i="6"/>
  <c r="B105" i="6"/>
  <c r="I104" i="6"/>
  <c r="H104" i="6"/>
  <c r="G104" i="6"/>
  <c r="F104" i="6"/>
  <c r="E104" i="6"/>
  <c r="D104" i="6"/>
  <c r="C104" i="6"/>
  <c r="B104" i="6"/>
  <c r="I103" i="6"/>
  <c r="H103" i="6"/>
  <c r="G103" i="6"/>
  <c r="F103" i="6"/>
  <c r="E103" i="6"/>
  <c r="D103" i="6"/>
  <c r="C103" i="6"/>
  <c r="B103" i="6"/>
  <c r="I102" i="6"/>
  <c r="H102" i="6"/>
  <c r="G102" i="6"/>
  <c r="F102" i="6"/>
  <c r="E102" i="6"/>
  <c r="D102" i="6"/>
  <c r="C102" i="6"/>
  <c r="B102" i="6"/>
  <c r="I101" i="6"/>
  <c r="H101" i="6"/>
  <c r="G101" i="6"/>
  <c r="F101" i="6"/>
  <c r="E101" i="6"/>
  <c r="D101" i="6"/>
  <c r="C101" i="6"/>
  <c r="B101" i="6"/>
  <c r="I100" i="6"/>
  <c r="H100" i="6"/>
  <c r="G100" i="6"/>
  <c r="F100" i="6"/>
  <c r="E100" i="6"/>
  <c r="D100" i="6"/>
  <c r="C100" i="6"/>
  <c r="B100" i="6"/>
  <c r="I99" i="6"/>
  <c r="H99" i="6"/>
  <c r="G99" i="6"/>
  <c r="F99" i="6"/>
  <c r="E99" i="6"/>
  <c r="D99" i="6"/>
  <c r="C99" i="6"/>
  <c r="B99" i="6"/>
  <c r="I98" i="6"/>
  <c r="H98" i="6"/>
  <c r="G98" i="6"/>
  <c r="F98" i="6"/>
  <c r="E98" i="6"/>
  <c r="D98" i="6"/>
  <c r="C98" i="6"/>
  <c r="B98" i="6"/>
  <c r="I97" i="6"/>
  <c r="H97" i="6"/>
  <c r="G97" i="6"/>
  <c r="F97" i="6"/>
  <c r="E97" i="6"/>
  <c r="D97" i="6"/>
  <c r="C97" i="6"/>
  <c r="B97" i="6"/>
  <c r="I96" i="6"/>
  <c r="H96" i="6"/>
  <c r="G96" i="6"/>
  <c r="F96" i="6"/>
  <c r="E96" i="6"/>
  <c r="D96" i="6"/>
  <c r="C96" i="6"/>
  <c r="B96" i="6"/>
  <c r="I95" i="6"/>
  <c r="H95" i="6"/>
  <c r="G95" i="6"/>
  <c r="F95" i="6"/>
  <c r="E95" i="6"/>
  <c r="D95" i="6"/>
  <c r="C95" i="6"/>
  <c r="B95" i="6"/>
  <c r="I94" i="6"/>
  <c r="H94" i="6"/>
  <c r="G94" i="6"/>
  <c r="F94" i="6"/>
  <c r="E94" i="6"/>
  <c r="D94" i="6"/>
  <c r="C94" i="6"/>
  <c r="B94" i="6"/>
  <c r="I93" i="6"/>
  <c r="H93" i="6"/>
  <c r="G93" i="6"/>
  <c r="F93" i="6"/>
  <c r="E93" i="6"/>
  <c r="D93" i="6"/>
  <c r="C93" i="6"/>
  <c r="B93" i="6"/>
  <c r="I92" i="6"/>
  <c r="H92" i="6"/>
  <c r="G92" i="6"/>
  <c r="F92" i="6"/>
  <c r="E92" i="6"/>
  <c r="D92" i="6"/>
  <c r="C92" i="6"/>
  <c r="B92" i="6"/>
  <c r="I91" i="6"/>
  <c r="H91" i="6"/>
  <c r="G91" i="6"/>
  <c r="F91" i="6"/>
  <c r="E91" i="6"/>
  <c r="D91" i="6"/>
  <c r="C91" i="6"/>
  <c r="B91" i="6"/>
  <c r="I90" i="6"/>
  <c r="H90" i="6"/>
  <c r="G90" i="6"/>
  <c r="F90" i="6"/>
  <c r="E90" i="6"/>
  <c r="D90" i="6"/>
  <c r="C90" i="6"/>
  <c r="B90" i="6"/>
  <c r="I89" i="6"/>
  <c r="H89" i="6"/>
  <c r="G89" i="6"/>
  <c r="F89" i="6"/>
  <c r="E89" i="6"/>
  <c r="D89" i="6"/>
  <c r="C89" i="6"/>
  <c r="B89" i="6"/>
  <c r="I88" i="6"/>
  <c r="H88" i="6"/>
  <c r="G88" i="6"/>
  <c r="F88" i="6"/>
  <c r="E88" i="6"/>
  <c r="D88" i="6"/>
  <c r="C88" i="6"/>
  <c r="B88" i="6"/>
  <c r="I87" i="6"/>
  <c r="H87" i="6"/>
  <c r="G87" i="6"/>
  <c r="F87" i="6"/>
  <c r="E87" i="6"/>
  <c r="D87" i="6"/>
  <c r="C87" i="6"/>
  <c r="B87" i="6"/>
  <c r="I86" i="6"/>
  <c r="H86" i="6"/>
  <c r="G86" i="6"/>
  <c r="F86" i="6"/>
  <c r="E86" i="6"/>
  <c r="D86" i="6"/>
  <c r="C86" i="6"/>
  <c r="B86" i="6"/>
  <c r="I85" i="6"/>
  <c r="H85" i="6"/>
  <c r="G85" i="6"/>
  <c r="F85" i="6"/>
  <c r="E85" i="6"/>
  <c r="D85" i="6"/>
  <c r="C85" i="6"/>
  <c r="B85" i="6"/>
  <c r="I84" i="6"/>
  <c r="H84" i="6"/>
  <c r="G84" i="6"/>
  <c r="F84" i="6"/>
  <c r="E84" i="6"/>
  <c r="D84" i="6"/>
  <c r="C84" i="6"/>
  <c r="B84" i="6"/>
  <c r="I83" i="6"/>
  <c r="H83" i="6"/>
  <c r="G83" i="6"/>
  <c r="F83" i="6"/>
  <c r="E83" i="6"/>
  <c r="D83" i="6"/>
  <c r="C83" i="6"/>
  <c r="B83" i="6"/>
  <c r="I82" i="6"/>
  <c r="H82" i="6"/>
  <c r="G82" i="6"/>
  <c r="F82" i="6"/>
  <c r="E82" i="6"/>
  <c r="D82" i="6"/>
  <c r="C82" i="6"/>
  <c r="B82" i="6"/>
  <c r="I81" i="6"/>
  <c r="H81" i="6"/>
  <c r="G81" i="6"/>
  <c r="F81" i="6"/>
  <c r="E81" i="6"/>
  <c r="D81" i="6"/>
  <c r="C81" i="6"/>
  <c r="B81" i="6"/>
  <c r="I80" i="6"/>
  <c r="H80" i="6"/>
  <c r="G80" i="6"/>
  <c r="F80" i="6"/>
  <c r="E80" i="6"/>
  <c r="D80" i="6"/>
  <c r="C80" i="6"/>
  <c r="B80" i="6"/>
  <c r="I79" i="6"/>
  <c r="H79" i="6"/>
  <c r="G79" i="6"/>
  <c r="F79" i="6"/>
  <c r="E79" i="6"/>
  <c r="D79" i="6"/>
  <c r="C79" i="6"/>
  <c r="B79" i="6"/>
  <c r="I78" i="6"/>
  <c r="H78" i="6"/>
  <c r="G78" i="6"/>
  <c r="F78" i="6"/>
  <c r="E78" i="6"/>
  <c r="D78" i="6"/>
  <c r="C78" i="6"/>
  <c r="B78" i="6"/>
  <c r="I77" i="6"/>
  <c r="H77" i="6"/>
  <c r="G77" i="6"/>
  <c r="F77" i="6"/>
  <c r="E77" i="6"/>
  <c r="D77" i="6"/>
  <c r="C77" i="6"/>
  <c r="B77" i="6"/>
  <c r="I76" i="6"/>
  <c r="H76" i="6"/>
  <c r="G76" i="6"/>
  <c r="F76" i="6"/>
  <c r="E76" i="6"/>
  <c r="D76" i="6"/>
  <c r="C76" i="6"/>
  <c r="B76" i="6"/>
  <c r="I75" i="6"/>
  <c r="H75" i="6"/>
  <c r="G75" i="6"/>
  <c r="F75" i="6"/>
  <c r="E75" i="6"/>
  <c r="D75" i="6"/>
  <c r="C75" i="6"/>
  <c r="B75" i="6"/>
  <c r="I74" i="6"/>
  <c r="H74" i="6"/>
  <c r="G74" i="6"/>
  <c r="F74" i="6"/>
  <c r="E74" i="6"/>
  <c r="D74" i="6"/>
  <c r="C74" i="6"/>
  <c r="B74" i="6"/>
  <c r="I73" i="6"/>
  <c r="H73" i="6"/>
  <c r="G73" i="6"/>
  <c r="F73" i="6"/>
  <c r="E73" i="6"/>
  <c r="D73" i="6"/>
  <c r="C73" i="6"/>
  <c r="B73" i="6"/>
  <c r="I72" i="6"/>
  <c r="H72" i="6"/>
  <c r="G72" i="6"/>
  <c r="F72" i="6"/>
  <c r="E72" i="6"/>
  <c r="D72" i="6"/>
  <c r="C72" i="6"/>
  <c r="B72" i="6"/>
  <c r="I71" i="6"/>
  <c r="H71" i="6"/>
  <c r="G71" i="6"/>
  <c r="F71" i="6"/>
  <c r="E71" i="6"/>
  <c r="D71" i="6"/>
  <c r="C71" i="6"/>
  <c r="B71" i="6"/>
  <c r="I70" i="6"/>
  <c r="H70" i="6"/>
  <c r="G70" i="6"/>
  <c r="F70" i="6"/>
  <c r="E70" i="6"/>
  <c r="D70" i="6"/>
  <c r="C70" i="6"/>
  <c r="B70" i="6"/>
  <c r="I69" i="6"/>
  <c r="H69" i="6"/>
  <c r="G69" i="6"/>
  <c r="F69" i="6"/>
  <c r="E69" i="6"/>
  <c r="D69" i="6"/>
  <c r="C69" i="6"/>
  <c r="B69" i="6"/>
  <c r="I68" i="6"/>
  <c r="H68" i="6"/>
  <c r="G68" i="6"/>
  <c r="F68" i="6"/>
  <c r="E68" i="6"/>
  <c r="D68" i="6"/>
  <c r="C68" i="6"/>
  <c r="B68" i="6"/>
  <c r="I67" i="6"/>
  <c r="H67" i="6"/>
  <c r="G67" i="6"/>
  <c r="F67" i="6"/>
  <c r="E67" i="6"/>
  <c r="D67" i="6"/>
  <c r="C67" i="6"/>
  <c r="B67" i="6"/>
  <c r="I66" i="6"/>
  <c r="H66" i="6"/>
  <c r="G66" i="6"/>
  <c r="F66" i="6"/>
  <c r="E66" i="6"/>
  <c r="D66" i="6"/>
  <c r="C66" i="6"/>
  <c r="B66" i="6"/>
  <c r="I65" i="6"/>
  <c r="H65" i="6"/>
  <c r="G65" i="6"/>
  <c r="F65" i="6"/>
  <c r="E65" i="6"/>
  <c r="D65" i="6"/>
  <c r="C65" i="6"/>
  <c r="B65" i="6"/>
  <c r="I64" i="6"/>
  <c r="H64" i="6"/>
  <c r="G64" i="6"/>
  <c r="F64" i="6"/>
  <c r="E64" i="6"/>
  <c r="D64" i="6"/>
  <c r="C64" i="6"/>
  <c r="B64" i="6"/>
  <c r="I63" i="6"/>
  <c r="H63" i="6"/>
  <c r="G63" i="6"/>
  <c r="F63" i="6"/>
  <c r="E63" i="6"/>
  <c r="D63" i="6"/>
  <c r="C63" i="6"/>
  <c r="B63" i="6"/>
  <c r="I62" i="6"/>
  <c r="H62" i="6"/>
  <c r="G62" i="6"/>
  <c r="F62" i="6"/>
  <c r="E62" i="6"/>
  <c r="D62" i="6"/>
  <c r="C62" i="6"/>
  <c r="B62" i="6"/>
  <c r="I61" i="6"/>
  <c r="H61" i="6"/>
  <c r="G61" i="6"/>
  <c r="F61" i="6"/>
  <c r="E61" i="6"/>
  <c r="D61" i="6"/>
  <c r="C61" i="6"/>
  <c r="B61" i="6"/>
  <c r="I60" i="6"/>
  <c r="H60" i="6"/>
  <c r="G60" i="6"/>
  <c r="F60" i="6"/>
  <c r="E60" i="6"/>
  <c r="D60" i="6"/>
  <c r="C60" i="6"/>
  <c r="B60" i="6"/>
  <c r="I59" i="6"/>
  <c r="H59" i="6"/>
  <c r="G59" i="6"/>
  <c r="F59" i="6"/>
  <c r="E59" i="6"/>
  <c r="D59" i="6"/>
  <c r="C59" i="6"/>
  <c r="B59" i="6"/>
  <c r="I58" i="6"/>
  <c r="H58" i="6"/>
  <c r="G58" i="6"/>
  <c r="F58" i="6"/>
  <c r="E58" i="6"/>
  <c r="D58" i="6"/>
  <c r="C58" i="6"/>
  <c r="B58" i="6"/>
  <c r="I57" i="6"/>
  <c r="H57" i="6"/>
  <c r="G57" i="6"/>
  <c r="F57" i="6"/>
  <c r="E57" i="6"/>
  <c r="D57" i="6"/>
  <c r="C57" i="6"/>
  <c r="B57" i="6"/>
  <c r="I56" i="6"/>
  <c r="H56" i="6"/>
  <c r="G56" i="6"/>
  <c r="F56" i="6"/>
  <c r="E56" i="6"/>
  <c r="D56" i="6"/>
  <c r="C56" i="6"/>
  <c r="B56" i="6"/>
  <c r="I55" i="6"/>
  <c r="H55" i="6"/>
  <c r="G55" i="6"/>
  <c r="F55" i="6"/>
  <c r="E55" i="6"/>
  <c r="D55" i="6"/>
  <c r="C55" i="6"/>
  <c r="B55" i="6"/>
  <c r="I54" i="6"/>
  <c r="H54" i="6"/>
  <c r="G54" i="6"/>
  <c r="F54" i="6"/>
  <c r="E54" i="6"/>
  <c r="D54" i="6"/>
  <c r="C54" i="6"/>
  <c r="B54" i="6"/>
  <c r="I53" i="6"/>
  <c r="H53" i="6"/>
  <c r="G53" i="6"/>
  <c r="F53" i="6"/>
  <c r="E53" i="6"/>
  <c r="D53" i="6"/>
  <c r="C53" i="6"/>
  <c r="B53" i="6"/>
  <c r="I52" i="6"/>
  <c r="H52" i="6"/>
  <c r="G52" i="6"/>
  <c r="F52" i="6"/>
  <c r="E52" i="6"/>
  <c r="D52" i="6"/>
  <c r="C52" i="6"/>
  <c r="B52" i="6"/>
  <c r="I51" i="6"/>
  <c r="H51" i="6"/>
  <c r="G51" i="6"/>
  <c r="F51" i="6"/>
  <c r="E51" i="6"/>
  <c r="D51" i="6"/>
  <c r="C51" i="6"/>
  <c r="B51" i="6"/>
  <c r="I50" i="6"/>
  <c r="H50" i="6"/>
  <c r="G50" i="6"/>
  <c r="F50" i="6"/>
  <c r="E50" i="6"/>
  <c r="D50" i="6"/>
  <c r="C50" i="6"/>
  <c r="B50" i="6"/>
  <c r="I49" i="6"/>
  <c r="H49" i="6"/>
  <c r="G49" i="6"/>
  <c r="F49" i="6"/>
  <c r="E49" i="6"/>
  <c r="D49" i="6"/>
  <c r="C49" i="6"/>
  <c r="B49" i="6"/>
  <c r="I48" i="6"/>
  <c r="H48" i="6"/>
  <c r="G48" i="6"/>
  <c r="F48" i="6"/>
  <c r="E48" i="6"/>
  <c r="D48" i="6"/>
  <c r="C48" i="6"/>
  <c r="B48" i="6"/>
  <c r="I47" i="6"/>
  <c r="H47" i="6"/>
  <c r="G47" i="6"/>
  <c r="F47" i="6"/>
  <c r="E47" i="6"/>
  <c r="D47" i="6"/>
  <c r="C47" i="6"/>
  <c r="B47" i="6"/>
  <c r="I46" i="6"/>
  <c r="H46" i="6"/>
  <c r="G46" i="6"/>
  <c r="F46" i="6"/>
  <c r="E46" i="6"/>
  <c r="D46" i="6"/>
  <c r="C46" i="6"/>
  <c r="B46" i="6"/>
  <c r="I45" i="6"/>
  <c r="H45" i="6"/>
  <c r="G45" i="6"/>
  <c r="F45" i="6"/>
  <c r="E45" i="6"/>
  <c r="D45" i="6"/>
  <c r="C45" i="6"/>
  <c r="B45" i="6"/>
  <c r="I44" i="6"/>
  <c r="H44" i="6"/>
  <c r="G44" i="6"/>
  <c r="F44" i="6"/>
  <c r="E44" i="6"/>
  <c r="D44" i="6"/>
  <c r="C44" i="6"/>
  <c r="B44" i="6"/>
  <c r="I43" i="6"/>
  <c r="H43" i="6"/>
  <c r="G43" i="6"/>
  <c r="F43" i="6"/>
  <c r="E43" i="6"/>
  <c r="D43" i="6"/>
  <c r="C43" i="6"/>
  <c r="B43" i="6"/>
  <c r="I42" i="6"/>
  <c r="H42" i="6"/>
  <c r="G42" i="6"/>
  <c r="F42" i="6"/>
  <c r="E42" i="6"/>
  <c r="D42" i="6"/>
  <c r="C42" i="6"/>
  <c r="B42" i="6"/>
  <c r="I41" i="6"/>
  <c r="H41" i="6"/>
  <c r="G41" i="6"/>
  <c r="F41" i="6"/>
  <c r="E41" i="6"/>
  <c r="D41" i="6"/>
  <c r="C41" i="6"/>
  <c r="B41" i="6"/>
  <c r="I40" i="6"/>
  <c r="H40" i="6"/>
  <c r="G40" i="6"/>
  <c r="F40" i="6"/>
  <c r="E40" i="6"/>
  <c r="D40" i="6"/>
  <c r="C40" i="6"/>
  <c r="B40" i="6"/>
  <c r="I39" i="6"/>
  <c r="H39" i="6"/>
  <c r="G39" i="6"/>
  <c r="F39" i="6"/>
  <c r="E39" i="6"/>
  <c r="D39" i="6"/>
  <c r="C39" i="6"/>
  <c r="B39" i="6"/>
  <c r="I38" i="6"/>
  <c r="H38" i="6"/>
  <c r="G38" i="6"/>
  <c r="F38" i="6"/>
  <c r="E38" i="6"/>
  <c r="D38" i="6"/>
  <c r="C38" i="6"/>
  <c r="B38" i="6"/>
  <c r="I37" i="6"/>
  <c r="H37" i="6"/>
  <c r="G37" i="6"/>
  <c r="F37" i="6"/>
  <c r="E37" i="6"/>
  <c r="D37" i="6"/>
  <c r="C37" i="6"/>
  <c r="B37" i="6"/>
  <c r="I36" i="6"/>
  <c r="H36" i="6"/>
  <c r="G36" i="6"/>
  <c r="F36" i="6"/>
  <c r="E36" i="6"/>
  <c r="D36" i="6"/>
  <c r="C36" i="6"/>
  <c r="B36" i="6"/>
  <c r="I35" i="6"/>
  <c r="H35" i="6"/>
  <c r="G35" i="6"/>
  <c r="F35" i="6"/>
  <c r="E35" i="6"/>
  <c r="D35" i="6"/>
  <c r="C35" i="6"/>
  <c r="B35" i="6"/>
  <c r="I34" i="6"/>
  <c r="H34" i="6"/>
  <c r="G34" i="6"/>
  <c r="F34" i="6"/>
  <c r="E34" i="6"/>
  <c r="D34" i="6"/>
  <c r="C34" i="6"/>
  <c r="B34" i="6"/>
  <c r="I33" i="6"/>
  <c r="H33" i="6"/>
  <c r="G33" i="6"/>
  <c r="F33" i="6"/>
  <c r="E33" i="6"/>
  <c r="D33" i="6"/>
  <c r="C33" i="6"/>
  <c r="B33" i="6"/>
  <c r="I32" i="6"/>
  <c r="H32" i="6"/>
  <c r="G32" i="6"/>
  <c r="F32" i="6"/>
  <c r="E32" i="6"/>
  <c r="D32" i="6"/>
  <c r="C32" i="6"/>
  <c r="B32" i="6"/>
  <c r="I31" i="6"/>
  <c r="H31" i="6"/>
  <c r="G31" i="6"/>
  <c r="F31" i="6"/>
  <c r="E31" i="6"/>
  <c r="D31" i="6"/>
  <c r="C31" i="6"/>
  <c r="B31" i="6"/>
  <c r="I30" i="6"/>
  <c r="H30" i="6"/>
  <c r="G30" i="6"/>
  <c r="F30" i="6"/>
  <c r="E30" i="6"/>
  <c r="D30" i="6"/>
  <c r="C30" i="6"/>
  <c r="B30" i="6"/>
  <c r="I29" i="6"/>
  <c r="H29" i="6"/>
  <c r="G29" i="6"/>
  <c r="F29" i="6"/>
  <c r="E29" i="6"/>
  <c r="D29" i="6"/>
  <c r="C29" i="6"/>
  <c r="B29" i="6"/>
  <c r="I28" i="6"/>
  <c r="H28" i="6"/>
  <c r="G28" i="6"/>
  <c r="F28" i="6"/>
  <c r="E28" i="6"/>
  <c r="D28" i="6"/>
  <c r="C28" i="6"/>
  <c r="B28" i="6"/>
  <c r="I27" i="6"/>
  <c r="H27" i="6"/>
  <c r="G27" i="6"/>
  <c r="F27" i="6"/>
  <c r="E27" i="6"/>
  <c r="D27" i="6"/>
  <c r="C27" i="6"/>
  <c r="B27" i="6"/>
  <c r="I26" i="6"/>
  <c r="H26" i="6"/>
  <c r="G26" i="6"/>
  <c r="F26" i="6"/>
  <c r="E26" i="6"/>
  <c r="D26" i="6"/>
  <c r="C26" i="6"/>
  <c r="B26" i="6"/>
  <c r="I25" i="6"/>
  <c r="H25" i="6"/>
  <c r="G25" i="6"/>
  <c r="F25" i="6"/>
  <c r="E25" i="6"/>
  <c r="D25" i="6"/>
  <c r="C25" i="6"/>
  <c r="B25" i="6"/>
  <c r="I24" i="6"/>
  <c r="H24" i="6"/>
  <c r="G24" i="6"/>
  <c r="F24" i="6"/>
  <c r="E24" i="6"/>
  <c r="D24" i="6"/>
  <c r="C24" i="6"/>
  <c r="B24" i="6"/>
  <c r="I23" i="6"/>
  <c r="H23" i="6"/>
  <c r="G23" i="6"/>
  <c r="F23" i="6"/>
  <c r="E23" i="6"/>
  <c r="D23" i="6"/>
  <c r="C23" i="6"/>
  <c r="B23" i="6"/>
  <c r="I22" i="6"/>
  <c r="H22" i="6"/>
  <c r="G22" i="6"/>
  <c r="F22" i="6"/>
  <c r="E22" i="6"/>
  <c r="D22" i="6"/>
  <c r="C22" i="6"/>
  <c r="B22" i="6"/>
  <c r="I21" i="6"/>
  <c r="H21" i="6"/>
  <c r="G21" i="6"/>
  <c r="F21" i="6"/>
  <c r="E21" i="6"/>
  <c r="D21" i="6"/>
  <c r="C21" i="6"/>
  <c r="B21" i="6"/>
  <c r="I20" i="6"/>
  <c r="H20" i="6"/>
  <c r="G20" i="6"/>
  <c r="F20" i="6"/>
  <c r="E20" i="6"/>
  <c r="D20" i="6"/>
  <c r="C20" i="6"/>
  <c r="B20" i="6"/>
  <c r="I19" i="6"/>
  <c r="H19" i="6"/>
  <c r="G19" i="6"/>
  <c r="F19" i="6"/>
  <c r="E19" i="6"/>
  <c r="D19" i="6"/>
  <c r="C19" i="6"/>
  <c r="B19" i="6"/>
  <c r="I18" i="6"/>
  <c r="H18" i="6"/>
  <c r="G18" i="6"/>
  <c r="F18" i="6"/>
  <c r="E18" i="6"/>
  <c r="D18" i="6"/>
  <c r="C18" i="6"/>
  <c r="B18" i="6"/>
  <c r="I17" i="6"/>
  <c r="H17" i="6"/>
  <c r="G17" i="6"/>
  <c r="F17" i="6"/>
  <c r="E17" i="6"/>
  <c r="D17" i="6"/>
  <c r="C17" i="6"/>
  <c r="B17" i="6"/>
  <c r="I16" i="6"/>
  <c r="H16" i="6"/>
  <c r="G16" i="6"/>
  <c r="F16" i="6"/>
  <c r="E16" i="6"/>
  <c r="D16" i="6"/>
  <c r="C16" i="6"/>
  <c r="B16" i="6"/>
  <c r="I15" i="6"/>
  <c r="H15" i="6"/>
  <c r="G15" i="6"/>
  <c r="F15" i="6"/>
  <c r="E15" i="6"/>
  <c r="D15" i="6"/>
  <c r="C15" i="6"/>
  <c r="B15" i="6"/>
  <c r="I14" i="6"/>
  <c r="H14" i="6"/>
  <c r="G14" i="6"/>
  <c r="F14" i="6"/>
  <c r="E14" i="6"/>
  <c r="D14" i="6"/>
  <c r="C14" i="6"/>
  <c r="B14" i="6"/>
  <c r="I13" i="6"/>
  <c r="H13" i="6"/>
  <c r="G13" i="6"/>
  <c r="F13" i="6"/>
  <c r="E13" i="6"/>
  <c r="D13" i="6"/>
  <c r="C13" i="6"/>
  <c r="B13" i="6"/>
  <c r="I12" i="6"/>
  <c r="H12" i="6"/>
  <c r="G12" i="6"/>
  <c r="F12" i="6"/>
  <c r="E12" i="6"/>
  <c r="D12" i="6"/>
  <c r="C12" i="6"/>
  <c r="B12" i="6"/>
  <c r="I11" i="6"/>
  <c r="H11" i="6"/>
  <c r="G11" i="6"/>
  <c r="F11" i="6"/>
  <c r="E11" i="6"/>
  <c r="D11" i="6"/>
  <c r="C11" i="6"/>
  <c r="B11" i="6"/>
  <c r="I10" i="6"/>
  <c r="H10" i="6"/>
  <c r="G10" i="6"/>
  <c r="F10" i="6"/>
  <c r="E10" i="6"/>
  <c r="D10" i="6"/>
  <c r="C10" i="6"/>
  <c r="B10" i="6"/>
  <c r="I9" i="6"/>
  <c r="H9" i="6"/>
  <c r="G9" i="6"/>
  <c r="F9" i="6"/>
  <c r="E9" i="6"/>
  <c r="D9" i="6"/>
  <c r="C9" i="6"/>
  <c r="B9" i="6"/>
  <c r="I8" i="6"/>
  <c r="H8" i="6"/>
  <c r="G8" i="6"/>
  <c r="F8" i="6"/>
  <c r="E8" i="6"/>
  <c r="D8" i="6"/>
  <c r="C8" i="6"/>
  <c r="B8" i="6"/>
  <c r="I370" i="5"/>
  <c r="H370" i="5"/>
  <c r="G370" i="5"/>
  <c r="F370" i="5"/>
  <c r="E370" i="5"/>
  <c r="C370" i="5"/>
  <c r="B370" i="5"/>
  <c r="I369" i="5"/>
  <c r="H369" i="5"/>
  <c r="G369" i="5"/>
  <c r="F369" i="5"/>
  <c r="E369" i="5"/>
  <c r="C369" i="5"/>
  <c r="B369" i="5"/>
  <c r="I368" i="5"/>
  <c r="H368" i="5"/>
  <c r="G368" i="5"/>
  <c r="F368" i="5"/>
  <c r="E368" i="5"/>
  <c r="C368" i="5"/>
  <c r="B368" i="5"/>
  <c r="I367" i="5"/>
  <c r="H367" i="5"/>
  <c r="G367" i="5"/>
  <c r="F367" i="5"/>
  <c r="E367" i="5"/>
  <c r="C367" i="5"/>
  <c r="B367" i="5"/>
  <c r="I366" i="5"/>
  <c r="H366" i="5"/>
  <c r="G366" i="5"/>
  <c r="F366" i="5"/>
  <c r="E366" i="5"/>
  <c r="C366" i="5"/>
  <c r="B366" i="5"/>
  <c r="I365" i="5"/>
  <c r="H365" i="5"/>
  <c r="G365" i="5"/>
  <c r="F365" i="5"/>
  <c r="E365" i="5"/>
  <c r="C365" i="5"/>
  <c r="B365" i="5"/>
  <c r="I364" i="5"/>
  <c r="H364" i="5"/>
  <c r="G364" i="5"/>
  <c r="F364" i="5"/>
  <c r="E364" i="5"/>
  <c r="C364" i="5"/>
  <c r="B364" i="5"/>
  <c r="I363" i="5"/>
  <c r="H363" i="5"/>
  <c r="G363" i="5"/>
  <c r="F363" i="5"/>
  <c r="E363" i="5"/>
  <c r="C363" i="5"/>
  <c r="B363" i="5"/>
  <c r="I362" i="5"/>
  <c r="H362" i="5"/>
  <c r="G362" i="5"/>
  <c r="F362" i="5"/>
  <c r="E362" i="5"/>
  <c r="C362" i="5"/>
  <c r="B362" i="5"/>
  <c r="I361" i="5"/>
  <c r="H361" i="5"/>
  <c r="G361" i="5"/>
  <c r="F361" i="5"/>
  <c r="E361" i="5"/>
  <c r="C361" i="5"/>
  <c r="B361" i="5"/>
  <c r="I360" i="5"/>
  <c r="H360" i="5"/>
  <c r="G360" i="5"/>
  <c r="F360" i="5"/>
  <c r="E360" i="5"/>
  <c r="C360" i="5"/>
  <c r="B360" i="5"/>
  <c r="I359" i="5"/>
  <c r="H359" i="5"/>
  <c r="G359" i="5"/>
  <c r="F359" i="5"/>
  <c r="E359" i="5"/>
  <c r="C359" i="5"/>
  <c r="B359" i="5"/>
  <c r="I358" i="5"/>
  <c r="H358" i="5"/>
  <c r="G358" i="5"/>
  <c r="F358" i="5"/>
  <c r="E358" i="5"/>
  <c r="C358" i="5"/>
  <c r="B358" i="5"/>
  <c r="I357" i="5"/>
  <c r="H357" i="5"/>
  <c r="G357" i="5"/>
  <c r="F357" i="5"/>
  <c r="E357" i="5"/>
  <c r="C357" i="5"/>
  <c r="B357" i="5"/>
  <c r="I356" i="5"/>
  <c r="H356" i="5"/>
  <c r="G356" i="5"/>
  <c r="F356" i="5"/>
  <c r="E356" i="5"/>
  <c r="C356" i="5"/>
  <c r="B356" i="5"/>
  <c r="I355" i="5"/>
  <c r="H355" i="5"/>
  <c r="G355" i="5"/>
  <c r="F355" i="5"/>
  <c r="E355" i="5"/>
  <c r="C355" i="5"/>
  <c r="B355" i="5"/>
  <c r="I354" i="5"/>
  <c r="H354" i="5"/>
  <c r="G354" i="5"/>
  <c r="F354" i="5"/>
  <c r="E354" i="5"/>
  <c r="C354" i="5"/>
  <c r="B354" i="5"/>
  <c r="I353" i="5"/>
  <c r="H353" i="5"/>
  <c r="G353" i="5"/>
  <c r="F353" i="5"/>
  <c r="E353" i="5"/>
  <c r="C353" i="5"/>
  <c r="B353" i="5"/>
  <c r="I352" i="5"/>
  <c r="H352" i="5"/>
  <c r="G352" i="5"/>
  <c r="F352" i="5"/>
  <c r="E352" i="5"/>
  <c r="C352" i="5"/>
  <c r="B352" i="5"/>
  <c r="I351" i="5"/>
  <c r="H351" i="5"/>
  <c r="G351" i="5"/>
  <c r="F351" i="5"/>
  <c r="E351" i="5"/>
  <c r="C351" i="5"/>
  <c r="B351" i="5"/>
  <c r="I350" i="5"/>
  <c r="H350" i="5"/>
  <c r="G350" i="5"/>
  <c r="F350" i="5"/>
  <c r="E350" i="5"/>
  <c r="C350" i="5"/>
  <c r="B350" i="5"/>
  <c r="I349" i="5"/>
  <c r="H349" i="5"/>
  <c r="G349" i="5"/>
  <c r="F349" i="5"/>
  <c r="E349" i="5"/>
  <c r="C349" i="5"/>
  <c r="B349" i="5"/>
  <c r="I348" i="5"/>
  <c r="H348" i="5"/>
  <c r="G348" i="5"/>
  <c r="F348" i="5"/>
  <c r="E348" i="5"/>
  <c r="C348" i="5"/>
  <c r="B348" i="5"/>
  <c r="I347" i="5"/>
  <c r="H347" i="5"/>
  <c r="G347" i="5"/>
  <c r="F347" i="5"/>
  <c r="E347" i="5"/>
  <c r="C347" i="5"/>
  <c r="B347" i="5"/>
  <c r="I346" i="5"/>
  <c r="H346" i="5"/>
  <c r="G346" i="5"/>
  <c r="F346" i="5"/>
  <c r="E346" i="5"/>
  <c r="C346" i="5"/>
  <c r="B346" i="5"/>
  <c r="I345" i="5"/>
  <c r="H345" i="5"/>
  <c r="G345" i="5"/>
  <c r="F345" i="5"/>
  <c r="E345" i="5"/>
  <c r="C345" i="5"/>
  <c r="B345" i="5"/>
  <c r="I344" i="5"/>
  <c r="H344" i="5"/>
  <c r="G344" i="5"/>
  <c r="F344" i="5"/>
  <c r="E344" i="5"/>
  <c r="C344" i="5"/>
  <c r="B344" i="5"/>
  <c r="I343" i="5"/>
  <c r="H343" i="5"/>
  <c r="G343" i="5"/>
  <c r="E343" i="5"/>
  <c r="C343" i="5"/>
  <c r="B343" i="5"/>
  <c r="I342" i="5"/>
  <c r="H342" i="5"/>
  <c r="G342" i="5"/>
  <c r="F342" i="5"/>
  <c r="E342" i="5"/>
  <c r="C342" i="5"/>
  <c r="B342" i="5"/>
  <c r="I341" i="5"/>
  <c r="H341" i="5"/>
  <c r="G341" i="5"/>
  <c r="E341" i="5"/>
  <c r="C341" i="5"/>
  <c r="B341" i="5"/>
  <c r="I340" i="5"/>
  <c r="H340" i="5"/>
  <c r="G340" i="5"/>
  <c r="F340" i="5"/>
  <c r="E340" i="5"/>
  <c r="C340" i="5"/>
  <c r="B340" i="5"/>
  <c r="I339" i="5"/>
  <c r="H339" i="5"/>
  <c r="G339" i="5"/>
  <c r="F339" i="5"/>
  <c r="E339" i="5"/>
  <c r="C339" i="5"/>
  <c r="B339" i="5"/>
  <c r="I338" i="5"/>
  <c r="H338" i="5"/>
  <c r="G338" i="5"/>
  <c r="F338" i="5"/>
  <c r="E338" i="5"/>
  <c r="C338" i="5"/>
  <c r="B338" i="5"/>
  <c r="I337" i="5"/>
  <c r="H337" i="5"/>
  <c r="G337" i="5"/>
  <c r="F337" i="5"/>
  <c r="E337" i="5"/>
  <c r="C337" i="5"/>
  <c r="B337" i="5"/>
  <c r="I336" i="5"/>
  <c r="H336" i="5"/>
  <c r="G336" i="5"/>
  <c r="E336" i="5"/>
  <c r="C336" i="5"/>
  <c r="B336" i="5"/>
  <c r="I335" i="5"/>
  <c r="H335" i="5"/>
  <c r="G335" i="5"/>
  <c r="F335" i="5"/>
  <c r="E335" i="5"/>
  <c r="C335" i="5"/>
  <c r="B335" i="5"/>
  <c r="I334" i="5"/>
  <c r="H334" i="5"/>
  <c r="G334" i="5"/>
  <c r="F334" i="5"/>
  <c r="E334" i="5"/>
  <c r="C334" i="5"/>
  <c r="B334" i="5"/>
  <c r="I333" i="5"/>
  <c r="H333" i="5"/>
  <c r="G333" i="5"/>
  <c r="F333" i="5"/>
  <c r="E333" i="5"/>
  <c r="C333" i="5"/>
  <c r="B333" i="5"/>
  <c r="I332" i="5"/>
  <c r="H332" i="5"/>
  <c r="G332" i="5"/>
  <c r="F332" i="5"/>
  <c r="E332" i="5"/>
  <c r="C332" i="5"/>
  <c r="B332" i="5"/>
  <c r="I331" i="5"/>
  <c r="H331" i="5"/>
  <c r="G331" i="5"/>
  <c r="F331" i="5"/>
  <c r="E331" i="5"/>
  <c r="C331" i="5"/>
  <c r="B331" i="5"/>
  <c r="I330" i="5"/>
  <c r="H330" i="5"/>
  <c r="G330" i="5"/>
  <c r="F330" i="5"/>
  <c r="E330" i="5"/>
  <c r="C330" i="5"/>
  <c r="B330" i="5"/>
  <c r="I329" i="5"/>
  <c r="H329" i="5"/>
  <c r="G329" i="5"/>
  <c r="E329" i="5"/>
  <c r="C329" i="5"/>
  <c r="B329" i="5"/>
  <c r="I328" i="5"/>
  <c r="H328" i="5"/>
  <c r="G328" i="5"/>
  <c r="E328" i="5"/>
  <c r="C328" i="5"/>
  <c r="B328" i="5"/>
  <c r="I327" i="5"/>
  <c r="H327" i="5"/>
  <c r="G327" i="5"/>
  <c r="E327" i="5"/>
  <c r="C327" i="5"/>
  <c r="B327" i="5"/>
  <c r="I326" i="5"/>
  <c r="H326" i="5"/>
  <c r="G326" i="5"/>
  <c r="E326" i="5"/>
  <c r="C326" i="5"/>
  <c r="B326" i="5"/>
  <c r="I325" i="5"/>
  <c r="H325" i="5"/>
  <c r="G325" i="5"/>
  <c r="E325" i="5"/>
  <c r="C325" i="5"/>
  <c r="B325" i="5"/>
  <c r="I324" i="5"/>
  <c r="H324" i="5"/>
  <c r="G324" i="5"/>
  <c r="E324" i="5"/>
  <c r="C324" i="5"/>
  <c r="B324" i="5"/>
  <c r="I323" i="5"/>
  <c r="H323" i="5"/>
  <c r="G323" i="5"/>
  <c r="E323" i="5"/>
  <c r="C323" i="5"/>
  <c r="B323" i="5"/>
  <c r="I322" i="5"/>
  <c r="H322" i="5"/>
  <c r="G322" i="5"/>
  <c r="E322" i="5"/>
  <c r="C322" i="5"/>
  <c r="B322" i="5"/>
  <c r="I321" i="5"/>
  <c r="H321" i="5"/>
  <c r="G321" i="5"/>
  <c r="F321" i="5"/>
  <c r="E321" i="5"/>
  <c r="C321" i="5"/>
  <c r="B321" i="5"/>
  <c r="I320" i="5"/>
  <c r="H320" i="5"/>
  <c r="G320" i="5"/>
  <c r="E320" i="5"/>
  <c r="C320" i="5"/>
  <c r="B320" i="5"/>
  <c r="I319" i="5"/>
  <c r="H319" i="5"/>
  <c r="G319" i="5"/>
  <c r="F319" i="5"/>
  <c r="E319" i="5"/>
  <c r="C319" i="5"/>
  <c r="B319" i="5"/>
  <c r="I318" i="5"/>
  <c r="H318" i="5"/>
  <c r="G318" i="5"/>
  <c r="F318" i="5"/>
  <c r="E318" i="5"/>
  <c r="C318" i="5"/>
  <c r="B318" i="5"/>
  <c r="I317" i="5"/>
  <c r="H317" i="5"/>
  <c r="G317" i="5"/>
  <c r="F317" i="5"/>
  <c r="E317" i="5"/>
  <c r="C317" i="5"/>
  <c r="B317" i="5"/>
  <c r="I316" i="5"/>
  <c r="H316" i="5"/>
  <c r="G316" i="5"/>
  <c r="F316" i="5"/>
  <c r="E316" i="5"/>
  <c r="C316" i="5"/>
  <c r="B316" i="5"/>
  <c r="I315" i="5"/>
  <c r="H315" i="5"/>
  <c r="G315" i="5"/>
  <c r="F315" i="5"/>
  <c r="E315" i="5"/>
  <c r="C315" i="5"/>
  <c r="B315" i="5"/>
  <c r="I314" i="5"/>
  <c r="H314" i="5"/>
  <c r="G314" i="5"/>
  <c r="F314" i="5"/>
  <c r="E314" i="5"/>
  <c r="C314" i="5"/>
  <c r="B314" i="5"/>
  <c r="I313" i="5"/>
  <c r="H313" i="5"/>
  <c r="G313" i="5"/>
  <c r="E313" i="5"/>
  <c r="C313" i="5"/>
  <c r="B313" i="5"/>
  <c r="I312" i="5"/>
  <c r="H312" i="5"/>
  <c r="G312" i="5"/>
  <c r="F312" i="5"/>
  <c r="E312" i="5"/>
  <c r="C312" i="5"/>
  <c r="B312" i="5"/>
  <c r="I311" i="5"/>
  <c r="H311" i="5"/>
  <c r="G311" i="5"/>
  <c r="E311" i="5"/>
  <c r="C311" i="5"/>
  <c r="B311" i="5"/>
  <c r="I310" i="5"/>
  <c r="H310" i="5"/>
  <c r="G310" i="5"/>
  <c r="F310" i="5"/>
  <c r="E310" i="5"/>
  <c r="C310" i="5"/>
  <c r="B310" i="5"/>
  <c r="I309" i="5"/>
  <c r="H309" i="5"/>
  <c r="G309" i="5"/>
  <c r="E309" i="5"/>
  <c r="C309" i="5"/>
  <c r="B309" i="5"/>
  <c r="I308" i="5"/>
  <c r="H308" i="5"/>
  <c r="G308" i="5"/>
  <c r="E308" i="5"/>
  <c r="C308" i="5"/>
  <c r="B308" i="5"/>
  <c r="I307" i="5"/>
  <c r="H307" i="5"/>
  <c r="G307" i="5"/>
  <c r="C307" i="5"/>
  <c r="B307" i="5"/>
  <c r="I306" i="5"/>
  <c r="H306" i="5"/>
  <c r="G306" i="5"/>
  <c r="F306" i="5"/>
  <c r="C306" i="5"/>
  <c r="B306" i="5"/>
  <c r="I305" i="5"/>
  <c r="H305" i="5"/>
  <c r="G305" i="5"/>
  <c r="F305" i="5"/>
  <c r="E305" i="5"/>
  <c r="C305" i="5"/>
  <c r="B305" i="5"/>
  <c r="I304" i="5"/>
  <c r="H304" i="5"/>
  <c r="G304" i="5"/>
  <c r="F304" i="5"/>
  <c r="E304" i="5"/>
  <c r="C304" i="5"/>
  <c r="B304" i="5"/>
  <c r="I303" i="5"/>
  <c r="H303" i="5"/>
  <c r="G303" i="5"/>
  <c r="F303" i="5"/>
  <c r="E303" i="5"/>
  <c r="C303" i="5"/>
  <c r="B303" i="5"/>
  <c r="I302" i="5"/>
  <c r="H302" i="5"/>
  <c r="G302" i="5"/>
  <c r="E302" i="5"/>
  <c r="C302" i="5"/>
  <c r="B302" i="5"/>
  <c r="I301" i="5"/>
  <c r="H301" i="5"/>
  <c r="G301" i="5"/>
  <c r="F301" i="5"/>
  <c r="C301" i="5"/>
  <c r="B301" i="5"/>
  <c r="I300" i="5"/>
  <c r="H300" i="5"/>
  <c r="G300" i="5"/>
  <c r="F300" i="5"/>
  <c r="E300" i="5"/>
  <c r="C300" i="5"/>
  <c r="B300" i="5"/>
  <c r="I299" i="5"/>
  <c r="H299" i="5"/>
  <c r="G299" i="5"/>
  <c r="F299" i="5"/>
  <c r="E299" i="5"/>
  <c r="C299" i="5"/>
  <c r="B299" i="5"/>
  <c r="I298" i="5"/>
  <c r="H298" i="5"/>
  <c r="G298" i="5"/>
  <c r="F298" i="5"/>
  <c r="E298" i="5"/>
  <c r="C298" i="5"/>
  <c r="B298" i="5"/>
  <c r="I297" i="5"/>
  <c r="H297" i="5"/>
  <c r="G297" i="5"/>
  <c r="F297" i="5"/>
  <c r="E297" i="5"/>
  <c r="C297" i="5"/>
  <c r="B297" i="5"/>
  <c r="I296" i="5"/>
  <c r="H296" i="5"/>
  <c r="G296" i="5"/>
  <c r="F296" i="5"/>
  <c r="E296" i="5"/>
  <c r="C296" i="5"/>
  <c r="B296" i="5"/>
  <c r="I295" i="5"/>
  <c r="H295" i="5"/>
  <c r="G295" i="5"/>
  <c r="F295" i="5"/>
  <c r="E295" i="5"/>
  <c r="C295" i="5"/>
  <c r="B295" i="5"/>
  <c r="I294" i="5"/>
  <c r="H294" i="5"/>
  <c r="G294" i="5"/>
  <c r="F294" i="5"/>
  <c r="E294" i="5"/>
  <c r="C294" i="5"/>
  <c r="B294" i="5"/>
  <c r="I293" i="5"/>
  <c r="H293" i="5"/>
  <c r="G293" i="5"/>
  <c r="F293" i="5"/>
  <c r="E293" i="5"/>
  <c r="C293" i="5"/>
  <c r="B293" i="5"/>
  <c r="I292" i="5"/>
  <c r="H292" i="5"/>
  <c r="G292" i="5"/>
  <c r="F292" i="5"/>
  <c r="E292" i="5"/>
  <c r="C292" i="5"/>
  <c r="B292" i="5"/>
  <c r="I291" i="5"/>
  <c r="H291" i="5"/>
  <c r="G291" i="5"/>
  <c r="F291" i="5"/>
  <c r="E291" i="5"/>
  <c r="C291" i="5"/>
  <c r="B291" i="5"/>
  <c r="I290" i="5"/>
  <c r="H290" i="5"/>
  <c r="G290" i="5"/>
  <c r="F290" i="5"/>
  <c r="E290" i="5"/>
  <c r="C290" i="5"/>
  <c r="B290" i="5"/>
  <c r="I289" i="5"/>
  <c r="H289" i="5"/>
  <c r="G289" i="5"/>
  <c r="F289" i="5"/>
  <c r="E289" i="5"/>
  <c r="C289" i="5"/>
  <c r="B289" i="5"/>
  <c r="I288" i="5"/>
  <c r="H288" i="5"/>
  <c r="G288" i="5"/>
  <c r="F288" i="5"/>
  <c r="E288" i="5"/>
  <c r="C288" i="5"/>
  <c r="B288" i="5"/>
  <c r="I287" i="5"/>
  <c r="H287" i="5"/>
  <c r="G287" i="5"/>
  <c r="F287" i="5"/>
  <c r="E287" i="5"/>
  <c r="C287" i="5"/>
  <c r="B287" i="5"/>
  <c r="I286" i="5"/>
  <c r="H286" i="5"/>
  <c r="G286" i="5"/>
  <c r="F286" i="5"/>
  <c r="E286" i="5"/>
  <c r="C286" i="5"/>
  <c r="B286" i="5"/>
  <c r="I285" i="5"/>
  <c r="H285" i="5"/>
  <c r="G285" i="5"/>
  <c r="F285" i="5"/>
  <c r="E285" i="5"/>
  <c r="C285" i="5"/>
  <c r="B285" i="5"/>
  <c r="I284" i="5"/>
  <c r="H284" i="5"/>
  <c r="G284" i="5"/>
  <c r="F284" i="5"/>
  <c r="E284" i="5"/>
  <c r="C284" i="5"/>
  <c r="B284" i="5"/>
  <c r="I283" i="5"/>
  <c r="H283" i="5"/>
  <c r="G283" i="5"/>
  <c r="F283" i="5"/>
  <c r="E283" i="5"/>
  <c r="C283" i="5"/>
  <c r="B283" i="5"/>
  <c r="I282" i="5"/>
  <c r="H282" i="5"/>
  <c r="G282" i="5"/>
  <c r="F282" i="5"/>
  <c r="E282" i="5"/>
  <c r="C282" i="5"/>
  <c r="B282" i="5"/>
  <c r="I281" i="5"/>
  <c r="H281" i="5"/>
  <c r="G281" i="5"/>
  <c r="F281" i="5"/>
  <c r="E281" i="5"/>
  <c r="C281" i="5"/>
  <c r="B281" i="5"/>
  <c r="I280" i="5"/>
  <c r="H280" i="5"/>
  <c r="G280" i="5"/>
  <c r="F280" i="5"/>
  <c r="E280" i="5"/>
  <c r="C280" i="5"/>
  <c r="B280" i="5"/>
  <c r="I279" i="5"/>
  <c r="H279" i="5"/>
  <c r="G279" i="5"/>
  <c r="F279" i="5"/>
  <c r="E279" i="5"/>
  <c r="C279" i="5"/>
  <c r="B279" i="5"/>
  <c r="I278" i="5"/>
  <c r="H278" i="5"/>
  <c r="G278" i="5"/>
  <c r="F278" i="5"/>
  <c r="E278" i="5"/>
  <c r="C278" i="5"/>
  <c r="B278" i="5"/>
  <c r="I277" i="5"/>
  <c r="H277" i="5"/>
  <c r="G277" i="5"/>
  <c r="F277" i="5"/>
  <c r="E277" i="5"/>
  <c r="C277" i="5"/>
  <c r="B277" i="5"/>
  <c r="I276" i="5"/>
  <c r="H276" i="5"/>
  <c r="G276" i="5"/>
  <c r="F276" i="5"/>
  <c r="E276" i="5"/>
  <c r="C276" i="5"/>
  <c r="B276" i="5"/>
  <c r="I275" i="5"/>
  <c r="H275" i="5"/>
  <c r="G275" i="5"/>
  <c r="F275" i="5"/>
  <c r="E275" i="5"/>
  <c r="C275" i="5"/>
  <c r="B275" i="5"/>
  <c r="I274" i="5"/>
  <c r="H274" i="5"/>
  <c r="G274" i="5"/>
  <c r="F274" i="5"/>
  <c r="E274" i="5"/>
  <c r="C274" i="5"/>
  <c r="B274" i="5"/>
  <c r="I273" i="5"/>
  <c r="H273" i="5"/>
  <c r="G273" i="5"/>
  <c r="F273" i="5"/>
  <c r="E273" i="5"/>
  <c r="C273" i="5"/>
  <c r="B273" i="5"/>
  <c r="I272" i="5"/>
  <c r="H272" i="5"/>
  <c r="G272" i="5"/>
  <c r="F272" i="5"/>
  <c r="E272" i="5"/>
  <c r="C272" i="5"/>
  <c r="B272" i="5"/>
  <c r="I271" i="5"/>
  <c r="H271" i="5"/>
  <c r="G271" i="5"/>
  <c r="F271" i="5"/>
  <c r="E271" i="5"/>
  <c r="D271" i="5"/>
  <c r="C271" i="5"/>
  <c r="B271" i="5"/>
  <c r="I270" i="5"/>
  <c r="H270" i="5"/>
  <c r="G270" i="5"/>
  <c r="F270" i="5"/>
  <c r="E270" i="5"/>
  <c r="D270" i="5"/>
  <c r="C270" i="5"/>
  <c r="B270" i="5"/>
  <c r="I269" i="5"/>
  <c r="H269" i="5"/>
  <c r="G269" i="5"/>
  <c r="F269" i="5"/>
  <c r="E269" i="5"/>
  <c r="D269" i="5"/>
  <c r="C269" i="5"/>
  <c r="B269" i="5"/>
  <c r="I268" i="5"/>
  <c r="H268" i="5"/>
  <c r="G268" i="5"/>
  <c r="F268" i="5"/>
  <c r="E268" i="5"/>
  <c r="D268" i="5"/>
  <c r="C268" i="5"/>
  <c r="B268" i="5"/>
  <c r="I267" i="5"/>
  <c r="H267" i="5"/>
  <c r="G267" i="5"/>
  <c r="F267" i="5"/>
  <c r="E267" i="5"/>
  <c r="D267" i="5"/>
  <c r="C267" i="5"/>
  <c r="B267" i="5"/>
  <c r="I266" i="5"/>
  <c r="H266" i="5"/>
  <c r="G266" i="5"/>
  <c r="F266" i="5"/>
  <c r="E266" i="5"/>
  <c r="D266" i="5"/>
  <c r="C266" i="5"/>
  <c r="B266" i="5"/>
  <c r="I265" i="5"/>
  <c r="H265" i="5"/>
  <c r="G265" i="5"/>
  <c r="F265" i="5"/>
  <c r="E265" i="5"/>
  <c r="D265" i="5"/>
  <c r="C265" i="5"/>
  <c r="B265" i="5"/>
  <c r="I264" i="5"/>
  <c r="H264" i="5"/>
  <c r="G264" i="5"/>
  <c r="F264" i="5"/>
  <c r="E264" i="5"/>
  <c r="D264" i="5"/>
  <c r="C264" i="5"/>
  <c r="B264" i="5"/>
  <c r="I263" i="5"/>
  <c r="H263" i="5"/>
  <c r="G263" i="5"/>
  <c r="F263" i="5"/>
  <c r="E263" i="5"/>
  <c r="D263" i="5"/>
  <c r="C263" i="5"/>
  <c r="B263" i="5"/>
  <c r="I262" i="5"/>
  <c r="H262" i="5"/>
  <c r="G262" i="5"/>
  <c r="F262" i="5"/>
  <c r="E262" i="5"/>
  <c r="D262" i="5"/>
  <c r="C262" i="5"/>
  <c r="B262" i="5"/>
  <c r="I261" i="5"/>
  <c r="H261" i="5"/>
  <c r="G261" i="5"/>
  <c r="F261" i="5"/>
  <c r="E261" i="5"/>
  <c r="D261" i="5"/>
  <c r="C261" i="5"/>
  <c r="B261" i="5"/>
  <c r="I260" i="5"/>
  <c r="H260" i="5"/>
  <c r="G260" i="5"/>
  <c r="F260" i="5"/>
  <c r="E260" i="5"/>
  <c r="D260" i="5"/>
  <c r="C260" i="5"/>
  <c r="B260" i="5"/>
  <c r="I259" i="5"/>
  <c r="H259" i="5"/>
  <c r="G259" i="5"/>
  <c r="F259" i="5"/>
  <c r="E259" i="5"/>
  <c r="D259" i="5"/>
  <c r="C259" i="5"/>
  <c r="B259" i="5"/>
  <c r="I258" i="5"/>
  <c r="H258" i="5"/>
  <c r="G258" i="5"/>
  <c r="F258" i="5"/>
  <c r="E258" i="5"/>
  <c r="D258" i="5"/>
  <c r="C258" i="5"/>
  <c r="B258" i="5"/>
  <c r="I257" i="5"/>
  <c r="H257" i="5"/>
  <c r="G257" i="5"/>
  <c r="F257" i="5"/>
  <c r="E257" i="5"/>
  <c r="D257" i="5"/>
  <c r="C257" i="5"/>
  <c r="B257" i="5"/>
  <c r="I256" i="5"/>
  <c r="H256" i="5"/>
  <c r="G256" i="5"/>
  <c r="F256" i="5"/>
  <c r="E256" i="5"/>
  <c r="D256" i="5"/>
  <c r="C256" i="5"/>
  <c r="B256" i="5"/>
  <c r="I255" i="5"/>
  <c r="H255" i="5"/>
  <c r="G255" i="5"/>
  <c r="F255" i="5"/>
  <c r="E255" i="5"/>
  <c r="D255" i="5"/>
  <c r="C255" i="5"/>
  <c r="B255" i="5"/>
  <c r="I254" i="5"/>
  <c r="H254" i="5"/>
  <c r="G254" i="5"/>
  <c r="F254" i="5"/>
  <c r="E254" i="5"/>
  <c r="D254" i="5"/>
  <c r="C254" i="5"/>
  <c r="B254" i="5"/>
  <c r="I253" i="5"/>
  <c r="H253" i="5"/>
  <c r="G253" i="5"/>
  <c r="F253" i="5"/>
  <c r="E253" i="5"/>
  <c r="D253" i="5"/>
  <c r="C253" i="5"/>
  <c r="B253" i="5"/>
  <c r="I252" i="5"/>
  <c r="H252" i="5"/>
  <c r="G252" i="5"/>
  <c r="F252" i="5"/>
  <c r="E252" i="5"/>
  <c r="D252" i="5"/>
  <c r="C252" i="5"/>
  <c r="B252" i="5"/>
  <c r="I251" i="5"/>
  <c r="H251" i="5"/>
  <c r="G251" i="5"/>
  <c r="F251" i="5"/>
  <c r="E251" i="5"/>
  <c r="D251" i="5"/>
  <c r="C251" i="5"/>
  <c r="B251" i="5"/>
  <c r="I250" i="5"/>
  <c r="H250" i="5"/>
  <c r="G250" i="5"/>
  <c r="F250" i="5"/>
  <c r="E250" i="5"/>
  <c r="D250" i="5"/>
  <c r="C250" i="5"/>
  <c r="B250" i="5"/>
  <c r="I249" i="5"/>
  <c r="H249" i="5"/>
  <c r="G249" i="5"/>
  <c r="F249" i="5"/>
  <c r="E249" i="5"/>
  <c r="D249" i="5"/>
  <c r="C249" i="5"/>
  <c r="B249" i="5"/>
  <c r="I248" i="5"/>
  <c r="H248" i="5"/>
  <c r="G248" i="5"/>
  <c r="F248" i="5"/>
  <c r="E248" i="5"/>
  <c r="D248" i="5"/>
  <c r="C248" i="5"/>
  <c r="B248" i="5"/>
  <c r="I247" i="5"/>
  <c r="H247" i="5"/>
  <c r="G247" i="5"/>
  <c r="F247" i="5"/>
  <c r="E247" i="5"/>
  <c r="D247" i="5"/>
  <c r="C247" i="5"/>
  <c r="B247" i="5"/>
  <c r="I246" i="5"/>
  <c r="H246" i="5"/>
  <c r="G246" i="5"/>
  <c r="F246" i="5"/>
  <c r="E246" i="5"/>
  <c r="D246" i="5"/>
  <c r="C246" i="5"/>
  <c r="B246" i="5"/>
  <c r="I245" i="5"/>
  <c r="H245" i="5"/>
  <c r="G245" i="5"/>
  <c r="F245" i="5"/>
  <c r="E245" i="5"/>
  <c r="D245" i="5"/>
  <c r="C245" i="5"/>
  <c r="B245" i="5"/>
  <c r="I244" i="5"/>
  <c r="H244" i="5"/>
  <c r="G244" i="5"/>
  <c r="F244" i="5"/>
  <c r="E244" i="5"/>
  <c r="D244" i="5"/>
  <c r="C244" i="5"/>
  <c r="B244" i="5"/>
  <c r="I243" i="5"/>
  <c r="H243" i="5"/>
  <c r="G243" i="5"/>
  <c r="F243" i="5"/>
  <c r="E243" i="5"/>
  <c r="D243" i="5"/>
  <c r="C243" i="5"/>
  <c r="B243" i="5"/>
  <c r="I242" i="5"/>
  <c r="H242" i="5"/>
  <c r="G242" i="5"/>
  <c r="F242" i="5"/>
  <c r="E242" i="5"/>
  <c r="D242" i="5"/>
  <c r="C242" i="5"/>
  <c r="B242" i="5"/>
  <c r="I241" i="5"/>
  <c r="H241" i="5"/>
  <c r="G241" i="5"/>
  <c r="F241" i="5"/>
  <c r="E241" i="5"/>
  <c r="D241" i="5"/>
  <c r="C241" i="5"/>
  <c r="B241" i="5"/>
  <c r="I240" i="5"/>
  <c r="H240" i="5"/>
  <c r="G240" i="5"/>
  <c r="F240" i="5"/>
  <c r="E240" i="5"/>
  <c r="D240" i="5"/>
  <c r="C240" i="5"/>
  <c r="B240" i="5"/>
  <c r="I239" i="5"/>
  <c r="H239" i="5"/>
  <c r="G239" i="5"/>
  <c r="F239" i="5"/>
  <c r="E239" i="5"/>
  <c r="D239" i="5"/>
  <c r="C239" i="5"/>
  <c r="B239" i="5"/>
  <c r="I238" i="5"/>
  <c r="H238" i="5"/>
  <c r="G238" i="5"/>
  <c r="F238" i="5"/>
  <c r="E238" i="5"/>
  <c r="D238" i="5"/>
  <c r="C238" i="5"/>
  <c r="B238" i="5"/>
  <c r="I237" i="5"/>
  <c r="H237" i="5"/>
  <c r="G237" i="5"/>
  <c r="F237" i="5"/>
  <c r="E237" i="5"/>
  <c r="D237" i="5"/>
  <c r="C237" i="5"/>
  <c r="B237" i="5"/>
  <c r="I236" i="5"/>
  <c r="H236" i="5"/>
  <c r="G236" i="5"/>
  <c r="F236" i="5"/>
  <c r="E236" i="5"/>
  <c r="D236" i="5"/>
  <c r="C236" i="5"/>
  <c r="B236" i="5"/>
  <c r="I235" i="5"/>
  <c r="H235" i="5"/>
  <c r="G235" i="5"/>
  <c r="F235" i="5"/>
  <c r="E235" i="5"/>
  <c r="D235" i="5"/>
  <c r="C235" i="5"/>
  <c r="B235" i="5"/>
  <c r="I234" i="5"/>
  <c r="H234" i="5"/>
  <c r="G234" i="5"/>
  <c r="F234" i="5"/>
  <c r="E234" i="5"/>
  <c r="D234" i="5"/>
  <c r="C234" i="5"/>
  <c r="B234" i="5"/>
  <c r="I233" i="5"/>
  <c r="H233" i="5"/>
  <c r="G233" i="5"/>
  <c r="F233" i="5"/>
  <c r="E233" i="5"/>
  <c r="D233" i="5"/>
  <c r="C233" i="5"/>
  <c r="B233" i="5"/>
  <c r="I232" i="5"/>
  <c r="H232" i="5"/>
  <c r="G232" i="5"/>
  <c r="F232" i="5"/>
  <c r="E232" i="5"/>
  <c r="D232" i="5"/>
  <c r="C232" i="5"/>
  <c r="B232" i="5"/>
  <c r="I231" i="5"/>
  <c r="H231" i="5"/>
  <c r="G231" i="5"/>
  <c r="F231" i="5"/>
  <c r="E231" i="5"/>
  <c r="D231" i="5"/>
  <c r="C231" i="5"/>
  <c r="B231" i="5"/>
  <c r="I230" i="5"/>
  <c r="H230" i="5"/>
  <c r="G230" i="5"/>
  <c r="F230" i="5"/>
  <c r="E230" i="5"/>
  <c r="D230" i="5"/>
  <c r="C230" i="5"/>
  <c r="B230" i="5"/>
  <c r="I229" i="5"/>
  <c r="H229" i="5"/>
  <c r="G229" i="5"/>
  <c r="F229" i="5"/>
  <c r="E229" i="5"/>
  <c r="D229" i="5"/>
  <c r="C229" i="5"/>
  <c r="B229" i="5"/>
  <c r="I228" i="5"/>
  <c r="H228" i="5"/>
  <c r="G228" i="5"/>
  <c r="F228" i="5"/>
  <c r="E228" i="5"/>
  <c r="D228" i="5"/>
  <c r="C228" i="5"/>
  <c r="B228" i="5"/>
  <c r="I227" i="5"/>
  <c r="H227" i="5"/>
  <c r="G227" i="5"/>
  <c r="F227" i="5"/>
  <c r="E227" i="5"/>
  <c r="D227" i="5"/>
  <c r="C227" i="5"/>
  <c r="B227" i="5"/>
  <c r="I226" i="5"/>
  <c r="H226" i="5"/>
  <c r="G226" i="5"/>
  <c r="F226" i="5"/>
  <c r="E226" i="5"/>
  <c r="D226" i="5"/>
  <c r="C226" i="5"/>
  <c r="B226" i="5"/>
  <c r="I225" i="5"/>
  <c r="H225" i="5"/>
  <c r="G225" i="5"/>
  <c r="F225" i="5"/>
  <c r="E225" i="5"/>
  <c r="D225" i="5"/>
  <c r="C225" i="5"/>
  <c r="B225" i="5"/>
  <c r="I224" i="5"/>
  <c r="H224" i="5"/>
  <c r="G224" i="5"/>
  <c r="F224" i="5"/>
  <c r="E224" i="5"/>
  <c r="D224" i="5"/>
  <c r="C224" i="5"/>
  <c r="B224" i="5"/>
  <c r="I223" i="5"/>
  <c r="H223" i="5"/>
  <c r="G223" i="5"/>
  <c r="F223" i="5"/>
  <c r="E223" i="5"/>
  <c r="D223" i="5"/>
  <c r="C223" i="5"/>
  <c r="B223" i="5"/>
  <c r="I222" i="5"/>
  <c r="H222" i="5"/>
  <c r="G222" i="5"/>
  <c r="F222" i="5"/>
  <c r="E222" i="5"/>
  <c r="D222" i="5"/>
  <c r="C222" i="5"/>
  <c r="B222" i="5"/>
  <c r="I221" i="5"/>
  <c r="H221" i="5"/>
  <c r="G221" i="5"/>
  <c r="F221" i="5"/>
  <c r="E221" i="5"/>
  <c r="D221" i="5"/>
  <c r="C221" i="5"/>
  <c r="B221" i="5"/>
  <c r="I220" i="5"/>
  <c r="H220" i="5"/>
  <c r="G220" i="5"/>
  <c r="F220" i="5"/>
  <c r="E220" i="5"/>
  <c r="D220" i="5"/>
  <c r="C220" i="5"/>
  <c r="B220" i="5"/>
  <c r="I219" i="5"/>
  <c r="H219" i="5"/>
  <c r="G219" i="5"/>
  <c r="F219" i="5"/>
  <c r="E219" i="5"/>
  <c r="D219" i="5"/>
  <c r="C219" i="5"/>
  <c r="B219" i="5"/>
  <c r="I218" i="5"/>
  <c r="H218" i="5"/>
  <c r="G218" i="5"/>
  <c r="F218" i="5"/>
  <c r="E218" i="5"/>
  <c r="D218" i="5"/>
  <c r="C218" i="5"/>
  <c r="B218" i="5"/>
  <c r="I217" i="5"/>
  <c r="H217" i="5"/>
  <c r="G217" i="5"/>
  <c r="F217" i="5"/>
  <c r="E217" i="5"/>
  <c r="D217" i="5"/>
  <c r="C217" i="5"/>
  <c r="B217" i="5"/>
  <c r="I216" i="5"/>
  <c r="H216" i="5"/>
  <c r="G216" i="5"/>
  <c r="F216" i="5"/>
  <c r="E216" i="5"/>
  <c r="D216" i="5"/>
  <c r="C216" i="5"/>
  <c r="B216" i="5"/>
  <c r="I215" i="5"/>
  <c r="H215" i="5"/>
  <c r="G215" i="5"/>
  <c r="F215" i="5"/>
  <c r="E215" i="5"/>
  <c r="D215" i="5"/>
  <c r="C215" i="5"/>
  <c r="B215" i="5"/>
  <c r="I214" i="5"/>
  <c r="H214" i="5"/>
  <c r="G214" i="5"/>
  <c r="F214" i="5"/>
  <c r="E214" i="5"/>
  <c r="D214" i="5"/>
  <c r="C214" i="5"/>
  <c r="B214" i="5"/>
  <c r="I213" i="5"/>
  <c r="H213" i="5"/>
  <c r="G213" i="5"/>
  <c r="F213" i="5"/>
  <c r="E213" i="5"/>
  <c r="D213" i="5"/>
  <c r="C213" i="5"/>
  <c r="B213" i="5"/>
  <c r="I212" i="5"/>
  <c r="H212" i="5"/>
  <c r="G212" i="5"/>
  <c r="F212" i="5"/>
  <c r="E212" i="5"/>
  <c r="D212" i="5"/>
  <c r="C212" i="5"/>
  <c r="B212" i="5"/>
  <c r="I211" i="5"/>
  <c r="H211" i="5"/>
  <c r="G211" i="5"/>
  <c r="F211" i="5"/>
  <c r="E211" i="5"/>
  <c r="D211" i="5"/>
  <c r="C211" i="5"/>
  <c r="B211" i="5"/>
  <c r="I210" i="5"/>
  <c r="H210" i="5"/>
  <c r="G210" i="5"/>
  <c r="F210" i="5"/>
  <c r="E210" i="5"/>
  <c r="D210" i="5"/>
  <c r="C210" i="5"/>
  <c r="B210" i="5"/>
  <c r="I209" i="5"/>
  <c r="H209" i="5"/>
  <c r="G209" i="5"/>
  <c r="F209" i="5"/>
  <c r="E209" i="5"/>
  <c r="D209" i="5"/>
  <c r="C209" i="5"/>
  <c r="B209" i="5"/>
  <c r="I208" i="5"/>
  <c r="H208" i="5"/>
  <c r="G208" i="5"/>
  <c r="F208" i="5"/>
  <c r="E208" i="5"/>
  <c r="D208" i="5"/>
  <c r="C208" i="5"/>
  <c r="B208" i="5"/>
  <c r="I207" i="5"/>
  <c r="H207" i="5"/>
  <c r="G207" i="5"/>
  <c r="F207" i="5"/>
  <c r="E207" i="5"/>
  <c r="D207" i="5"/>
  <c r="C207" i="5"/>
  <c r="B207" i="5"/>
  <c r="I206" i="5"/>
  <c r="H206" i="5"/>
  <c r="G206" i="5"/>
  <c r="F206" i="5"/>
  <c r="E206" i="5"/>
  <c r="D206" i="5"/>
  <c r="C206" i="5"/>
  <c r="B206" i="5"/>
  <c r="I205" i="5"/>
  <c r="H205" i="5"/>
  <c r="G205" i="5"/>
  <c r="F205" i="5"/>
  <c r="E205" i="5"/>
  <c r="D205" i="5"/>
  <c r="C205" i="5"/>
  <c r="B205" i="5"/>
  <c r="I204" i="5"/>
  <c r="H204" i="5"/>
  <c r="G204" i="5"/>
  <c r="F204" i="5"/>
  <c r="E204" i="5"/>
  <c r="D204" i="5"/>
  <c r="C204" i="5"/>
  <c r="B204" i="5"/>
  <c r="I203" i="5"/>
  <c r="H203" i="5"/>
  <c r="G203" i="5"/>
  <c r="F203" i="5"/>
  <c r="E203" i="5"/>
  <c r="D203" i="5"/>
  <c r="C203" i="5"/>
  <c r="B203" i="5"/>
  <c r="I202" i="5"/>
  <c r="H202" i="5"/>
  <c r="G202" i="5"/>
  <c r="F202" i="5"/>
  <c r="E202" i="5"/>
  <c r="D202" i="5"/>
  <c r="C202" i="5"/>
  <c r="B202" i="5"/>
  <c r="I201" i="5"/>
  <c r="H201" i="5"/>
  <c r="G201" i="5"/>
  <c r="F201" i="5"/>
  <c r="E201" i="5"/>
  <c r="D201" i="5"/>
  <c r="C201" i="5"/>
  <c r="B201" i="5"/>
  <c r="I200" i="5"/>
  <c r="H200" i="5"/>
  <c r="G200" i="5"/>
  <c r="F200" i="5"/>
  <c r="E200" i="5"/>
  <c r="D200" i="5"/>
  <c r="C200" i="5"/>
  <c r="B200" i="5"/>
  <c r="I199" i="5"/>
  <c r="H199" i="5"/>
  <c r="G199" i="5"/>
  <c r="F199" i="5"/>
  <c r="E199" i="5"/>
  <c r="D199" i="5"/>
  <c r="C199" i="5"/>
  <c r="B199" i="5"/>
  <c r="I198" i="5"/>
  <c r="H198" i="5"/>
  <c r="G198" i="5"/>
  <c r="F198" i="5"/>
  <c r="E198" i="5"/>
  <c r="D198" i="5"/>
  <c r="C198" i="5"/>
  <c r="B198" i="5"/>
  <c r="I197" i="5"/>
  <c r="H197" i="5"/>
  <c r="G197" i="5"/>
  <c r="F197" i="5"/>
  <c r="E197" i="5"/>
  <c r="D197" i="5"/>
  <c r="C197" i="5"/>
  <c r="B197" i="5"/>
  <c r="I196" i="5"/>
  <c r="H196" i="5"/>
  <c r="G196" i="5"/>
  <c r="F196" i="5"/>
  <c r="E196" i="5"/>
  <c r="D196" i="5"/>
  <c r="C196" i="5"/>
  <c r="B196" i="5"/>
  <c r="I195" i="5"/>
  <c r="H195" i="5"/>
  <c r="G195" i="5"/>
  <c r="F195" i="5"/>
  <c r="E195" i="5"/>
  <c r="D195" i="5"/>
  <c r="C195" i="5"/>
  <c r="B195" i="5"/>
  <c r="I194" i="5"/>
  <c r="H194" i="5"/>
  <c r="G194" i="5"/>
  <c r="F194" i="5"/>
  <c r="E194" i="5"/>
  <c r="D194" i="5"/>
  <c r="C194" i="5"/>
  <c r="B194" i="5"/>
  <c r="I193" i="5"/>
  <c r="H193" i="5"/>
  <c r="G193" i="5"/>
  <c r="F193" i="5"/>
  <c r="E193" i="5"/>
  <c r="D193" i="5"/>
  <c r="C193" i="5"/>
  <c r="B193" i="5"/>
  <c r="I192" i="5"/>
  <c r="H192" i="5"/>
  <c r="G192" i="5"/>
  <c r="F192" i="5"/>
  <c r="E192" i="5"/>
  <c r="D192" i="5"/>
  <c r="C192" i="5"/>
  <c r="B192" i="5"/>
  <c r="I191" i="5"/>
  <c r="H191" i="5"/>
  <c r="G191" i="5"/>
  <c r="F191" i="5"/>
  <c r="E191" i="5"/>
  <c r="D191" i="5"/>
  <c r="C191" i="5"/>
  <c r="B191" i="5"/>
  <c r="I190" i="5"/>
  <c r="H190" i="5"/>
  <c r="G190" i="5"/>
  <c r="F190" i="5"/>
  <c r="E190" i="5"/>
  <c r="D190" i="5"/>
  <c r="C190" i="5"/>
  <c r="B190" i="5"/>
  <c r="I189" i="5"/>
  <c r="H189" i="5"/>
  <c r="G189" i="5"/>
  <c r="F189" i="5"/>
  <c r="E189" i="5"/>
  <c r="D189" i="5"/>
  <c r="C189" i="5"/>
  <c r="B189" i="5"/>
  <c r="I188" i="5"/>
  <c r="H188" i="5"/>
  <c r="G188" i="5"/>
  <c r="F188" i="5"/>
  <c r="E188" i="5"/>
  <c r="D188" i="5"/>
  <c r="C188" i="5"/>
  <c r="B188" i="5"/>
  <c r="I187" i="5"/>
  <c r="H187" i="5"/>
  <c r="G187" i="5"/>
  <c r="F187" i="5"/>
  <c r="E187" i="5"/>
  <c r="D187" i="5"/>
  <c r="C187" i="5"/>
  <c r="B187" i="5"/>
  <c r="I186" i="5"/>
  <c r="H186" i="5"/>
  <c r="G186" i="5"/>
  <c r="F186" i="5"/>
  <c r="E186" i="5"/>
  <c r="D186" i="5"/>
  <c r="C186" i="5"/>
  <c r="B186" i="5"/>
  <c r="I185" i="5"/>
  <c r="H185" i="5"/>
  <c r="G185" i="5"/>
  <c r="F185" i="5"/>
  <c r="E185" i="5"/>
  <c r="D185" i="5"/>
  <c r="C185" i="5"/>
  <c r="B185" i="5"/>
  <c r="I184" i="5"/>
  <c r="H184" i="5"/>
  <c r="G184" i="5"/>
  <c r="F184" i="5"/>
  <c r="E184" i="5"/>
  <c r="D184" i="5"/>
  <c r="C184" i="5"/>
  <c r="B184" i="5"/>
  <c r="I183" i="5"/>
  <c r="H183" i="5"/>
  <c r="G183" i="5"/>
  <c r="F183" i="5"/>
  <c r="E183" i="5"/>
  <c r="D183" i="5"/>
  <c r="C183" i="5"/>
  <c r="B183" i="5"/>
  <c r="I182" i="5"/>
  <c r="H182" i="5"/>
  <c r="G182" i="5"/>
  <c r="F182" i="5"/>
  <c r="D182" i="5"/>
  <c r="C182" i="5"/>
  <c r="B182" i="5"/>
  <c r="I181" i="5"/>
  <c r="H181" i="5"/>
  <c r="G181" i="5"/>
  <c r="F181" i="5"/>
  <c r="E181" i="5"/>
  <c r="D181" i="5"/>
  <c r="C181" i="5"/>
  <c r="B181" i="5"/>
  <c r="I180" i="5"/>
  <c r="H180" i="5"/>
  <c r="G180" i="5"/>
  <c r="F180" i="5"/>
  <c r="E180" i="5"/>
  <c r="D180" i="5"/>
  <c r="C180" i="5"/>
  <c r="B180" i="5"/>
  <c r="I179" i="5"/>
  <c r="H179" i="5"/>
  <c r="G179" i="5"/>
  <c r="F179" i="5"/>
  <c r="E179" i="5"/>
  <c r="D179" i="5"/>
  <c r="C179" i="5"/>
  <c r="B179" i="5"/>
  <c r="I178" i="5"/>
  <c r="H178" i="5"/>
  <c r="G178" i="5"/>
  <c r="F178" i="5"/>
  <c r="E178" i="5"/>
  <c r="D178" i="5"/>
  <c r="C178" i="5"/>
  <c r="B178" i="5"/>
  <c r="I177" i="5"/>
  <c r="H177" i="5"/>
  <c r="G177" i="5"/>
  <c r="F177" i="5"/>
  <c r="E177" i="5"/>
  <c r="D177" i="5"/>
  <c r="C177" i="5"/>
  <c r="B177" i="5"/>
  <c r="I176" i="5"/>
  <c r="H176" i="5"/>
  <c r="G176" i="5"/>
  <c r="F176" i="5"/>
  <c r="E176" i="5"/>
  <c r="D176" i="5"/>
  <c r="C176" i="5"/>
  <c r="B176" i="5"/>
  <c r="I175" i="5"/>
  <c r="H175" i="5"/>
  <c r="G175" i="5"/>
  <c r="F175" i="5"/>
  <c r="E175" i="5"/>
  <c r="D175" i="5"/>
  <c r="C175" i="5"/>
  <c r="B175" i="5"/>
  <c r="I174" i="5"/>
  <c r="H174" i="5"/>
  <c r="G174" i="5"/>
  <c r="F174" i="5"/>
  <c r="E174" i="5"/>
  <c r="D174" i="5"/>
  <c r="C174" i="5"/>
  <c r="B174" i="5"/>
  <c r="I173" i="5"/>
  <c r="H173" i="5"/>
  <c r="G173" i="5"/>
  <c r="F173" i="5"/>
  <c r="E173" i="5"/>
  <c r="D173" i="5"/>
  <c r="C173" i="5"/>
  <c r="B173" i="5"/>
  <c r="I172" i="5"/>
  <c r="H172" i="5"/>
  <c r="G172" i="5"/>
  <c r="F172" i="5"/>
  <c r="E172" i="5"/>
  <c r="D172" i="5"/>
  <c r="C172" i="5"/>
  <c r="B172" i="5"/>
  <c r="I171" i="5"/>
  <c r="H171" i="5"/>
  <c r="G171" i="5"/>
  <c r="F171" i="5"/>
  <c r="E171" i="5"/>
  <c r="D171" i="5"/>
  <c r="C171" i="5"/>
  <c r="B171" i="5"/>
  <c r="I170" i="5"/>
  <c r="H170" i="5"/>
  <c r="G170" i="5"/>
  <c r="F170" i="5"/>
  <c r="E170" i="5"/>
  <c r="D170" i="5"/>
  <c r="C170" i="5"/>
  <c r="B170" i="5"/>
  <c r="I169" i="5"/>
  <c r="H169" i="5"/>
  <c r="G169" i="5"/>
  <c r="F169" i="5"/>
  <c r="E169" i="5"/>
  <c r="D169" i="5"/>
  <c r="C169" i="5"/>
  <c r="B169" i="5"/>
  <c r="I168" i="5"/>
  <c r="H168" i="5"/>
  <c r="G168" i="5"/>
  <c r="F168" i="5"/>
  <c r="E168" i="5"/>
  <c r="D168" i="5"/>
  <c r="C168" i="5"/>
  <c r="B168" i="5"/>
  <c r="I167" i="5"/>
  <c r="H167" i="5"/>
  <c r="G167" i="5"/>
  <c r="F167" i="5"/>
  <c r="E167" i="5"/>
  <c r="D167" i="5"/>
  <c r="C167" i="5"/>
  <c r="B167" i="5"/>
  <c r="I166" i="5"/>
  <c r="H166" i="5"/>
  <c r="G166" i="5"/>
  <c r="F166" i="5"/>
  <c r="E166" i="5"/>
  <c r="D166" i="5"/>
  <c r="C166" i="5"/>
  <c r="B166" i="5"/>
  <c r="I165" i="5"/>
  <c r="H165" i="5"/>
  <c r="G165" i="5"/>
  <c r="F165" i="5"/>
  <c r="E165" i="5"/>
  <c r="D165" i="5"/>
  <c r="C165" i="5"/>
  <c r="B165" i="5"/>
  <c r="I164" i="5"/>
  <c r="H164" i="5"/>
  <c r="G164" i="5"/>
  <c r="F164" i="5"/>
  <c r="E164" i="5"/>
  <c r="D164" i="5"/>
  <c r="C164" i="5"/>
  <c r="B164" i="5"/>
  <c r="I163" i="5"/>
  <c r="H163" i="5"/>
  <c r="G163" i="5"/>
  <c r="F163" i="5"/>
  <c r="E163" i="5"/>
  <c r="D163" i="5"/>
  <c r="C163" i="5"/>
  <c r="B163" i="5"/>
  <c r="I162" i="5"/>
  <c r="H162" i="5"/>
  <c r="G162" i="5"/>
  <c r="F162" i="5"/>
  <c r="E162" i="5"/>
  <c r="D162" i="5"/>
  <c r="C162" i="5"/>
  <c r="B162" i="5"/>
  <c r="I161" i="5"/>
  <c r="H161" i="5"/>
  <c r="G161" i="5"/>
  <c r="F161" i="5"/>
  <c r="E161" i="5"/>
  <c r="D161" i="5"/>
  <c r="C161" i="5"/>
  <c r="B161" i="5"/>
  <c r="I160" i="5"/>
  <c r="H160" i="5"/>
  <c r="G160" i="5"/>
  <c r="F160" i="5"/>
  <c r="E160" i="5"/>
  <c r="D160" i="5"/>
  <c r="C160" i="5"/>
  <c r="B160" i="5"/>
  <c r="I159" i="5"/>
  <c r="H159" i="5"/>
  <c r="G159" i="5"/>
  <c r="F159" i="5"/>
  <c r="E159" i="5"/>
  <c r="D159" i="5"/>
  <c r="C159" i="5"/>
  <c r="B159" i="5"/>
  <c r="I158" i="5"/>
  <c r="H158" i="5"/>
  <c r="G158" i="5"/>
  <c r="F158" i="5"/>
  <c r="E158" i="5"/>
  <c r="D158" i="5"/>
  <c r="C158" i="5"/>
  <c r="B158" i="5"/>
  <c r="I157" i="5"/>
  <c r="H157" i="5"/>
  <c r="G157" i="5"/>
  <c r="F157" i="5"/>
  <c r="E157" i="5"/>
  <c r="D157" i="5"/>
  <c r="C157" i="5"/>
  <c r="B157" i="5"/>
  <c r="I156" i="5"/>
  <c r="H156" i="5"/>
  <c r="G156" i="5"/>
  <c r="F156" i="5"/>
  <c r="E156" i="5"/>
  <c r="D156" i="5"/>
  <c r="C156" i="5"/>
  <c r="B156" i="5"/>
  <c r="I155" i="5"/>
  <c r="H155" i="5"/>
  <c r="G155" i="5"/>
  <c r="F155" i="5"/>
  <c r="E155" i="5"/>
  <c r="D155" i="5"/>
  <c r="C155" i="5"/>
  <c r="B155" i="5"/>
  <c r="I154" i="5"/>
  <c r="H154" i="5"/>
  <c r="G154" i="5"/>
  <c r="F154" i="5"/>
  <c r="E154" i="5"/>
  <c r="D154" i="5"/>
  <c r="C154" i="5"/>
  <c r="B154" i="5"/>
  <c r="I153" i="5"/>
  <c r="H153" i="5"/>
  <c r="G153" i="5"/>
  <c r="F153" i="5"/>
  <c r="E153" i="5"/>
  <c r="D153" i="5"/>
  <c r="C153" i="5"/>
  <c r="B153" i="5"/>
  <c r="I152" i="5"/>
  <c r="H152" i="5"/>
  <c r="G152" i="5"/>
  <c r="F152" i="5"/>
  <c r="E152" i="5"/>
  <c r="D152" i="5"/>
  <c r="C152" i="5"/>
  <c r="B152" i="5"/>
  <c r="I151" i="5"/>
  <c r="H151" i="5"/>
  <c r="G151" i="5"/>
  <c r="F151" i="5"/>
  <c r="E151" i="5"/>
  <c r="D151" i="5"/>
  <c r="C151" i="5"/>
  <c r="B151" i="5"/>
  <c r="I150" i="5"/>
  <c r="H150" i="5"/>
  <c r="G150" i="5"/>
  <c r="F150" i="5"/>
  <c r="E150" i="5"/>
  <c r="D150" i="5"/>
  <c r="C150" i="5"/>
  <c r="B150" i="5"/>
  <c r="I149" i="5"/>
  <c r="H149" i="5"/>
  <c r="G149" i="5"/>
  <c r="F149" i="5"/>
  <c r="E149" i="5"/>
  <c r="D149" i="5"/>
  <c r="C149" i="5"/>
  <c r="B149" i="5"/>
  <c r="I148" i="5"/>
  <c r="H148" i="5"/>
  <c r="G148" i="5"/>
  <c r="F148" i="5"/>
  <c r="E148" i="5"/>
  <c r="D148" i="5"/>
  <c r="C148" i="5"/>
  <c r="B148" i="5"/>
  <c r="I147" i="5"/>
  <c r="H147" i="5"/>
  <c r="G147" i="5"/>
  <c r="F147" i="5"/>
  <c r="E147" i="5"/>
  <c r="D147" i="5"/>
  <c r="C147" i="5"/>
  <c r="B147" i="5"/>
  <c r="I146" i="5"/>
  <c r="H146" i="5"/>
  <c r="G146" i="5"/>
  <c r="F146" i="5"/>
  <c r="E146" i="5"/>
  <c r="D146" i="5"/>
  <c r="C146" i="5"/>
  <c r="B146" i="5"/>
  <c r="I145" i="5"/>
  <c r="H145" i="5"/>
  <c r="G145" i="5"/>
  <c r="F145" i="5"/>
  <c r="E145" i="5"/>
  <c r="D145" i="5"/>
  <c r="C145" i="5"/>
  <c r="B145" i="5"/>
  <c r="I144" i="5"/>
  <c r="H144" i="5"/>
  <c r="G144" i="5"/>
  <c r="F144" i="5"/>
  <c r="E144" i="5"/>
  <c r="D144" i="5"/>
  <c r="C144" i="5"/>
  <c r="B144" i="5"/>
  <c r="I143" i="5"/>
  <c r="H143" i="5"/>
  <c r="G143" i="5"/>
  <c r="F143" i="5"/>
  <c r="E143" i="5"/>
  <c r="D143" i="5"/>
  <c r="C143" i="5"/>
  <c r="B143" i="5"/>
  <c r="I142" i="5"/>
  <c r="H142" i="5"/>
  <c r="G142" i="5"/>
  <c r="F142" i="5"/>
  <c r="E142" i="5"/>
  <c r="D142" i="5"/>
  <c r="C142" i="5"/>
  <c r="B142" i="5"/>
  <c r="I141" i="5"/>
  <c r="H141" i="5"/>
  <c r="G141" i="5"/>
  <c r="F141" i="5"/>
  <c r="E141" i="5"/>
  <c r="D141" i="5"/>
  <c r="C141" i="5"/>
  <c r="B141" i="5"/>
  <c r="I140" i="5"/>
  <c r="H140" i="5"/>
  <c r="G140" i="5"/>
  <c r="F140" i="5"/>
  <c r="E140" i="5"/>
  <c r="D140" i="5"/>
  <c r="C140" i="5"/>
  <c r="B140" i="5"/>
  <c r="I139" i="5"/>
  <c r="H139" i="5"/>
  <c r="G139" i="5"/>
  <c r="F139" i="5"/>
  <c r="E139" i="5"/>
  <c r="D139" i="5"/>
  <c r="C139" i="5"/>
  <c r="B139" i="5"/>
  <c r="I138" i="5"/>
  <c r="H138" i="5"/>
  <c r="G138" i="5"/>
  <c r="F138" i="5"/>
  <c r="E138" i="5"/>
  <c r="D138" i="5"/>
  <c r="C138" i="5"/>
  <c r="B138" i="5"/>
  <c r="I137" i="5"/>
  <c r="H137" i="5"/>
  <c r="G137" i="5"/>
  <c r="F137" i="5"/>
  <c r="E137" i="5"/>
  <c r="D137" i="5"/>
  <c r="C137" i="5"/>
  <c r="B137" i="5"/>
  <c r="I136" i="5"/>
  <c r="H136" i="5"/>
  <c r="G136" i="5"/>
  <c r="F136" i="5"/>
  <c r="E136" i="5"/>
  <c r="D136" i="5"/>
  <c r="C136" i="5"/>
  <c r="B136" i="5"/>
  <c r="I135" i="5"/>
  <c r="H135" i="5"/>
  <c r="G135" i="5"/>
  <c r="F135" i="5"/>
  <c r="E135" i="5"/>
  <c r="D135" i="5"/>
  <c r="C135" i="5"/>
  <c r="B135" i="5"/>
  <c r="I134" i="5"/>
  <c r="H134" i="5"/>
  <c r="G134" i="5"/>
  <c r="F134" i="5"/>
  <c r="E134" i="5"/>
  <c r="D134" i="5"/>
  <c r="C134" i="5"/>
  <c r="B134" i="5"/>
  <c r="I133" i="5"/>
  <c r="H133" i="5"/>
  <c r="G133" i="5"/>
  <c r="F133" i="5"/>
  <c r="E133" i="5"/>
  <c r="D133" i="5"/>
  <c r="C133" i="5"/>
  <c r="B133" i="5"/>
  <c r="I132" i="5"/>
  <c r="H132" i="5"/>
  <c r="G132" i="5"/>
  <c r="F132" i="5"/>
  <c r="E132" i="5"/>
  <c r="D132" i="5"/>
  <c r="C132" i="5"/>
  <c r="B132" i="5"/>
  <c r="I131" i="5"/>
  <c r="H131" i="5"/>
  <c r="G131" i="5"/>
  <c r="F131" i="5"/>
  <c r="E131" i="5"/>
  <c r="D131" i="5"/>
  <c r="C131" i="5"/>
  <c r="B131" i="5"/>
  <c r="I130" i="5"/>
  <c r="H130" i="5"/>
  <c r="G130" i="5"/>
  <c r="F130" i="5"/>
  <c r="E130" i="5"/>
  <c r="D130" i="5"/>
  <c r="C130" i="5"/>
  <c r="B130" i="5"/>
  <c r="I129" i="5"/>
  <c r="H129" i="5"/>
  <c r="G129" i="5"/>
  <c r="F129" i="5"/>
  <c r="E129" i="5"/>
  <c r="D129" i="5"/>
  <c r="C129" i="5"/>
  <c r="B129" i="5"/>
  <c r="I128" i="5"/>
  <c r="H128" i="5"/>
  <c r="G128" i="5"/>
  <c r="F128" i="5"/>
  <c r="E128" i="5"/>
  <c r="D128" i="5"/>
  <c r="C128" i="5"/>
  <c r="B128" i="5"/>
  <c r="I127" i="5"/>
  <c r="H127" i="5"/>
  <c r="G127" i="5"/>
  <c r="F127" i="5"/>
  <c r="E127" i="5"/>
  <c r="D127" i="5"/>
  <c r="C127" i="5"/>
  <c r="B127" i="5"/>
  <c r="I126" i="5"/>
  <c r="H126" i="5"/>
  <c r="G126" i="5"/>
  <c r="F126" i="5"/>
  <c r="E126" i="5"/>
  <c r="D126" i="5"/>
  <c r="C126" i="5"/>
  <c r="B126" i="5"/>
  <c r="I125" i="5"/>
  <c r="H125" i="5"/>
  <c r="G125" i="5"/>
  <c r="F125" i="5"/>
  <c r="E125" i="5"/>
  <c r="D125" i="5"/>
  <c r="C125" i="5"/>
  <c r="B125" i="5"/>
  <c r="I124" i="5"/>
  <c r="H124" i="5"/>
  <c r="G124" i="5"/>
  <c r="F124" i="5"/>
  <c r="E124" i="5"/>
  <c r="D124" i="5"/>
  <c r="C124" i="5"/>
  <c r="B124" i="5"/>
  <c r="I123" i="5"/>
  <c r="H123" i="5"/>
  <c r="G123" i="5"/>
  <c r="F123" i="5"/>
  <c r="E123" i="5"/>
  <c r="D123" i="5"/>
  <c r="C123" i="5"/>
  <c r="B123" i="5"/>
  <c r="I122" i="5"/>
  <c r="H122" i="5"/>
  <c r="G122" i="5"/>
  <c r="F122" i="5"/>
  <c r="E122" i="5"/>
  <c r="D122" i="5"/>
  <c r="C122" i="5"/>
  <c r="B122" i="5"/>
  <c r="I121" i="5"/>
  <c r="H121" i="5"/>
  <c r="G121" i="5"/>
  <c r="F121" i="5"/>
  <c r="E121" i="5"/>
  <c r="D121" i="5"/>
  <c r="C121" i="5"/>
  <c r="B121" i="5"/>
  <c r="I120" i="5"/>
  <c r="H120" i="5"/>
  <c r="G120" i="5"/>
  <c r="F120" i="5"/>
  <c r="E120" i="5"/>
  <c r="D120" i="5"/>
  <c r="C120" i="5"/>
  <c r="B120" i="5"/>
  <c r="I119" i="5"/>
  <c r="H119" i="5"/>
  <c r="G119" i="5"/>
  <c r="F119" i="5"/>
  <c r="E119" i="5"/>
  <c r="D119" i="5"/>
  <c r="C119" i="5"/>
  <c r="B119" i="5"/>
  <c r="I118" i="5"/>
  <c r="H118" i="5"/>
  <c r="G118" i="5"/>
  <c r="F118" i="5"/>
  <c r="E118" i="5"/>
  <c r="D118" i="5"/>
  <c r="C118" i="5"/>
  <c r="B118" i="5"/>
  <c r="I117" i="5"/>
  <c r="H117" i="5"/>
  <c r="G117" i="5"/>
  <c r="F117" i="5"/>
  <c r="E117" i="5"/>
  <c r="D117" i="5"/>
  <c r="C117" i="5"/>
  <c r="B117" i="5"/>
  <c r="I116" i="5"/>
  <c r="H116" i="5"/>
  <c r="G116" i="5"/>
  <c r="F116" i="5"/>
  <c r="E116" i="5"/>
  <c r="D116" i="5"/>
  <c r="C116" i="5"/>
  <c r="B116" i="5"/>
  <c r="I115" i="5"/>
  <c r="H115" i="5"/>
  <c r="G115" i="5"/>
  <c r="F115" i="5"/>
  <c r="E115" i="5"/>
  <c r="D115" i="5"/>
  <c r="C115" i="5"/>
  <c r="B115" i="5"/>
  <c r="I114" i="5"/>
  <c r="H114" i="5"/>
  <c r="G114" i="5"/>
  <c r="F114" i="5"/>
  <c r="E114" i="5"/>
  <c r="D114" i="5"/>
  <c r="C114" i="5"/>
  <c r="B114" i="5"/>
  <c r="I113" i="5"/>
  <c r="H113" i="5"/>
  <c r="G113" i="5"/>
  <c r="F113" i="5"/>
  <c r="E113" i="5"/>
  <c r="D113" i="5"/>
  <c r="C113" i="5"/>
  <c r="B113" i="5"/>
  <c r="I112" i="5"/>
  <c r="H112" i="5"/>
  <c r="G112" i="5"/>
  <c r="F112" i="5"/>
  <c r="E112" i="5"/>
  <c r="D112" i="5"/>
  <c r="C112" i="5"/>
  <c r="B112" i="5"/>
  <c r="I111" i="5"/>
  <c r="H111" i="5"/>
  <c r="G111" i="5"/>
  <c r="F111" i="5"/>
  <c r="E111" i="5"/>
  <c r="D111" i="5"/>
  <c r="C111" i="5"/>
  <c r="B111" i="5"/>
  <c r="I110" i="5"/>
  <c r="H110" i="5"/>
  <c r="G110" i="5"/>
  <c r="F110" i="5"/>
  <c r="E110" i="5"/>
  <c r="D110" i="5"/>
  <c r="C110" i="5"/>
  <c r="B110" i="5"/>
  <c r="I109" i="5"/>
  <c r="H109" i="5"/>
  <c r="G109" i="5"/>
  <c r="F109" i="5"/>
  <c r="E109" i="5"/>
  <c r="D109" i="5"/>
  <c r="C109" i="5"/>
  <c r="B109" i="5"/>
  <c r="I108" i="5"/>
  <c r="H108" i="5"/>
  <c r="G108" i="5"/>
  <c r="F108" i="5"/>
  <c r="E108" i="5"/>
  <c r="D108" i="5"/>
  <c r="C108" i="5"/>
  <c r="B108" i="5"/>
  <c r="I107" i="5"/>
  <c r="H107" i="5"/>
  <c r="G107" i="5"/>
  <c r="F107" i="5"/>
  <c r="E107" i="5"/>
  <c r="D107" i="5"/>
  <c r="C107" i="5"/>
  <c r="B107" i="5"/>
  <c r="I106" i="5"/>
  <c r="H106" i="5"/>
  <c r="G106" i="5"/>
  <c r="F106" i="5"/>
  <c r="E106" i="5"/>
  <c r="D106" i="5"/>
  <c r="C106" i="5"/>
  <c r="B106" i="5"/>
  <c r="I105" i="5"/>
  <c r="H105" i="5"/>
  <c r="G105" i="5"/>
  <c r="F105" i="5"/>
  <c r="E105" i="5"/>
  <c r="D105" i="5"/>
  <c r="C105" i="5"/>
  <c r="B105" i="5"/>
  <c r="I104" i="5"/>
  <c r="H104" i="5"/>
  <c r="G104" i="5"/>
  <c r="F104" i="5"/>
  <c r="E104" i="5"/>
  <c r="D104" i="5"/>
  <c r="C104" i="5"/>
  <c r="B104" i="5"/>
  <c r="I103" i="5"/>
  <c r="H103" i="5"/>
  <c r="G103" i="5"/>
  <c r="F103" i="5"/>
  <c r="E103" i="5"/>
  <c r="D103" i="5"/>
  <c r="C103" i="5"/>
  <c r="B103" i="5"/>
  <c r="I102" i="5"/>
  <c r="H102" i="5"/>
  <c r="G102" i="5"/>
  <c r="F102" i="5"/>
  <c r="E102" i="5"/>
  <c r="D102" i="5"/>
  <c r="C102" i="5"/>
  <c r="B102" i="5"/>
  <c r="I101" i="5"/>
  <c r="H101" i="5"/>
  <c r="G101" i="5"/>
  <c r="F101" i="5"/>
  <c r="E101" i="5"/>
  <c r="D101" i="5"/>
  <c r="C101" i="5"/>
  <c r="B101" i="5"/>
  <c r="I100" i="5"/>
  <c r="H100" i="5"/>
  <c r="G100" i="5"/>
  <c r="F100" i="5"/>
  <c r="E100" i="5"/>
  <c r="D100" i="5"/>
  <c r="C100" i="5"/>
  <c r="B100" i="5"/>
  <c r="I99" i="5"/>
  <c r="H99" i="5"/>
  <c r="G99" i="5"/>
  <c r="F99" i="5"/>
  <c r="E99" i="5"/>
  <c r="D99" i="5"/>
  <c r="C99" i="5"/>
  <c r="B99" i="5"/>
  <c r="I98" i="5"/>
  <c r="H98" i="5"/>
  <c r="G98" i="5"/>
  <c r="F98" i="5"/>
  <c r="E98" i="5"/>
  <c r="D98" i="5"/>
  <c r="C98" i="5"/>
  <c r="B98" i="5"/>
  <c r="I97" i="5"/>
  <c r="H97" i="5"/>
  <c r="G97" i="5"/>
  <c r="F97" i="5"/>
  <c r="E97" i="5"/>
  <c r="D97" i="5"/>
  <c r="C97" i="5"/>
  <c r="B97" i="5"/>
  <c r="I96" i="5"/>
  <c r="H96" i="5"/>
  <c r="G96" i="5"/>
  <c r="F96" i="5"/>
  <c r="E96" i="5"/>
  <c r="D96" i="5"/>
  <c r="C96" i="5"/>
  <c r="B96" i="5"/>
  <c r="I95" i="5"/>
  <c r="H95" i="5"/>
  <c r="G95" i="5"/>
  <c r="F95" i="5"/>
  <c r="E95" i="5"/>
  <c r="D95" i="5"/>
  <c r="C95" i="5"/>
  <c r="B95" i="5"/>
  <c r="I94" i="5"/>
  <c r="H94" i="5"/>
  <c r="G94" i="5"/>
  <c r="F94" i="5"/>
  <c r="E94" i="5"/>
  <c r="D94" i="5"/>
  <c r="C94" i="5"/>
  <c r="B94" i="5"/>
  <c r="I93" i="5"/>
  <c r="H93" i="5"/>
  <c r="G93" i="5"/>
  <c r="F93" i="5"/>
  <c r="E93" i="5"/>
  <c r="D93" i="5"/>
  <c r="C93" i="5"/>
  <c r="B93" i="5"/>
  <c r="I92" i="5"/>
  <c r="H92" i="5"/>
  <c r="G92" i="5"/>
  <c r="F92" i="5"/>
  <c r="E92" i="5"/>
  <c r="D92" i="5"/>
  <c r="C92" i="5"/>
  <c r="B92" i="5"/>
  <c r="I91" i="5"/>
  <c r="H91" i="5"/>
  <c r="G91" i="5"/>
  <c r="F91" i="5"/>
  <c r="E91" i="5"/>
  <c r="D91" i="5"/>
  <c r="C91" i="5"/>
  <c r="B91" i="5"/>
  <c r="I90" i="5"/>
  <c r="H90" i="5"/>
  <c r="G90" i="5"/>
  <c r="F90" i="5"/>
  <c r="E90" i="5"/>
  <c r="D90" i="5"/>
  <c r="C90" i="5"/>
  <c r="B90" i="5"/>
  <c r="I89" i="5"/>
  <c r="H89" i="5"/>
  <c r="G89" i="5"/>
  <c r="F89" i="5"/>
  <c r="E89" i="5"/>
  <c r="D89" i="5"/>
  <c r="C89" i="5"/>
  <c r="B89" i="5"/>
  <c r="I88" i="5"/>
  <c r="H88" i="5"/>
  <c r="G88" i="5"/>
  <c r="F88" i="5"/>
  <c r="E88" i="5"/>
  <c r="D88" i="5"/>
  <c r="C88" i="5"/>
  <c r="B88" i="5"/>
  <c r="I87" i="5"/>
  <c r="H87" i="5"/>
  <c r="G87" i="5"/>
  <c r="F87" i="5"/>
  <c r="E87" i="5"/>
  <c r="D87" i="5"/>
  <c r="C87" i="5"/>
  <c r="B87" i="5"/>
  <c r="I86" i="5"/>
  <c r="H86" i="5"/>
  <c r="G86" i="5"/>
  <c r="F86" i="5"/>
  <c r="E86" i="5"/>
  <c r="D86" i="5"/>
  <c r="C86" i="5"/>
  <c r="B86" i="5"/>
  <c r="I85" i="5"/>
  <c r="H85" i="5"/>
  <c r="G85" i="5"/>
  <c r="F85" i="5"/>
  <c r="E85" i="5"/>
  <c r="D85" i="5"/>
  <c r="C85" i="5"/>
  <c r="B85" i="5"/>
  <c r="I84" i="5"/>
  <c r="H84" i="5"/>
  <c r="G84" i="5"/>
  <c r="F84" i="5"/>
  <c r="E84" i="5"/>
  <c r="D84" i="5"/>
  <c r="C84" i="5"/>
  <c r="B84" i="5"/>
  <c r="I83" i="5"/>
  <c r="H83" i="5"/>
  <c r="G83" i="5"/>
  <c r="F83" i="5"/>
  <c r="E83" i="5"/>
  <c r="D83" i="5"/>
  <c r="C83" i="5"/>
  <c r="B83" i="5"/>
  <c r="I82" i="5"/>
  <c r="H82" i="5"/>
  <c r="G82" i="5"/>
  <c r="F82" i="5"/>
  <c r="E82" i="5"/>
  <c r="D82" i="5"/>
  <c r="C82" i="5"/>
  <c r="B82" i="5"/>
  <c r="I81" i="5"/>
  <c r="H81" i="5"/>
  <c r="G81" i="5"/>
  <c r="F81" i="5"/>
  <c r="E81" i="5"/>
  <c r="D81" i="5"/>
  <c r="C81" i="5"/>
  <c r="B81" i="5"/>
  <c r="I80" i="5"/>
  <c r="H80" i="5"/>
  <c r="G80" i="5"/>
  <c r="F80" i="5"/>
  <c r="E80" i="5"/>
  <c r="D80" i="5"/>
  <c r="C80" i="5"/>
  <c r="B80" i="5"/>
  <c r="I79" i="5"/>
  <c r="H79" i="5"/>
  <c r="G79" i="5"/>
  <c r="F79" i="5"/>
  <c r="E79" i="5"/>
  <c r="D79" i="5"/>
  <c r="C79" i="5"/>
  <c r="B79" i="5"/>
  <c r="I78" i="5"/>
  <c r="H78" i="5"/>
  <c r="G78" i="5"/>
  <c r="F78" i="5"/>
  <c r="E78" i="5"/>
  <c r="D78" i="5"/>
  <c r="C78" i="5"/>
  <c r="B78" i="5"/>
  <c r="I77" i="5"/>
  <c r="H77" i="5"/>
  <c r="G77" i="5"/>
  <c r="F77" i="5"/>
  <c r="E77" i="5"/>
  <c r="D77" i="5"/>
  <c r="C77" i="5"/>
  <c r="B77" i="5"/>
  <c r="I76" i="5"/>
  <c r="H76" i="5"/>
  <c r="G76" i="5"/>
  <c r="F76" i="5"/>
  <c r="E76" i="5"/>
  <c r="D76" i="5"/>
  <c r="C76" i="5"/>
  <c r="B76" i="5"/>
  <c r="I75" i="5"/>
  <c r="H75" i="5"/>
  <c r="G75" i="5"/>
  <c r="F75" i="5"/>
  <c r="E75" i="5"/>
  <c r="D75" i="5"/>
  <c r="C75" i="5"/>
  <c r="B75" i="5"/>
  <c r="I74" i="5"/>
  <c r="H74" i="5"/>
  <c r="G74" i="5"/>
  <c r="F74" i="5"/>
  <c r="E74" i="5"/>
  <c r="D74" i="5"/>
  <c r="C74" i="5"/>
  <c r="B74" i="5"/>
  <c r="I73" i="5"/>
  <c r="H73" i="5"/>
  <c r="G73" i="5"/>
  <c r="F73" i="5"/>
  <c r="E73" i="5"/>
  <c r="D73" i="5"/>
  <c r="C73" i="5"/>
  <c r="B73" i="5"/>
  <c r="I72" i="5"/>
  <c r="H72" i="5"/>
  <c r="G72" i="5"/>
  <c r="F72" i="5"/>
  <c r="E72" i="5"/>
  <c r="D72" i="5"/>
  <c r="C72" i="5"/>
  <c r="B72" i="5"/>
  <c r="I71" i="5"/>
  <c r="H71" i="5"/>
  <c r="G71" i="5"/>
  <c r="F71" i="5"/>
  <c r="E71" i="5"/>
  <c r="D71" i="5"/>
  <c r="C71" i="5"/>
  <c r="B71" i="5"/>
  <c r="I70" i="5"/>
  <c r="H70" i="5"/>
  <c r="G70" i="5"/>
  <c r="F70" i="5"/>
  <c r="E70" i="5"/>
  <c r="D70" i="5"/>
  <c r="C70" i="5"/>
  <c r="B70" i="5"/>
  <c r="I69" i="5"/>
  <c r="H69" i="5"/>
  <c r="G69" i="5"/>
  <c r="F69" i="5"/>
  <c r="E69" i="5"/>
  <c r="D69" i="5"/>
  <c r="C69" i="5"/>
  <c r="B69" i="5"/>
  <c r="I68" i="5"/>
  <c r="H68" i="5"/>
  <c r="G68" i="5"/>
  <c r="F68" i="5"/>
  <c r="E68" i="5"/>
  <c r="D68" i="5"/>
  <c r="C68" i="5"/>
  <c r="B68" i="5"/>
  <c r="I67" i="5"/>
  <c r="H67" i="5"/>
  <c r="G67" i="5"/>
  <c r="F67" i="5"/>
  <c r="E67" i="5"/>
  <c r="D67" i="5"/>
  <c r="C67" i="5"/>
  <c r="B67" i="5"/>
  <c r="I66" i="5"/>
  <c r="H66" i="5"/>
  <c r="G66" i="5"/>
  <c r="F66" i="5"/>
  <c r="E66" i="5"/>
  <c r="D66" i="5"/>
  <c r="C66" i="5"/>
  <c r="B66" i="5"/>
  <c r="I65" i="5"/>
  <c r="H65" i="5"/>
  <c r="G65" i="5"/>
  <c r="F65" i="5"/>
  <c r="E65" i="5"/>
  <c r="D65" i="5"/>
  <c r="C65" i="5"/>
  <c r="B65" i="5"/>
  <c r="I64" i="5"/>
  <c r="H64" i="5"/>
  <c r="G64" i="5"/>
  <c r="F64" i="5"/>
  <c r="E64" i="5"/>
  <c r="D64" i="5"/>
  <c r="C64" i="5"/>
  <c r="B64" i="5"/>
  <c r="I63" i="5"/>
  <c r="H63" i="5"/>
  <c r="G63" i="5"/>
  <c r="F63" i="5"/>
  <c r="E63" i="5"/>
  <c r="D63" i="5"/>
  <c r="C63" i="5"/>
  <c r="B63" i="5"/>
  <c r="I62" i="5"/>
  <c r="H62" i="5"/>
  <c r="G62" i="5"/>
  <c r="F62" i="5"/>
  <c r="E62" i="5"/>
  <c r="D62" i="5"/>
  <c r="C62" i="5"/>
  <c r="B62" i="5"/>
  <c r="I61" i="5"/>
  <c r="H61" i="5"/>
  <c r="G61" i="5"/>
  <c r="F61" i="5"/>
  <c r="E61" i="5"/>
  <c r="D61" i="5"/>
  <c r="C61" i="5"/>
  <c r="B61" i="5"/>
  <c r="I60" i="5"/>
  <c r="H60" i="5"/>
  <c r="G60" i="5"/>
  <c r="F60" i="5"/>
  <c r="E60" i="5"/>
  <c r="D60" i="5"/>
  <c r="C60" i="5"/>
  <c r="B60" i="5"/>
  <c r="I59" i="5"/>
  <c r="H59" i="5"/>
  <c r="G59" i="5"/>
  <c r="F59" i="5"/>
  <c r="E59" i="5"/>
  <c r="D59" i="5"/>
  <c r="C59" i="5"/>
  <c r="B59" i="5"/>
  <c r="I58" i="5"/>
  <c r="H58" i="5"/>
  <c r="G58" i="5"/>
  <c r="F58" i="5"/>
  <c r="E58" i="5"/>
  <c r="D58" i="5"/>
  <c r="C58" i="5"/>
  <c r="B58" i="5"/>
  <c r="I57" i="5"/>
  <c r="H57" i="5"/>
  <c r="G57" i="5"/>
  <c r="F57" i="5"/>
  <c r="E57" i="5"/>
  <c r="D57" i="5"/>
  <c r="C57" i="5"/>
  <c r="B57" i="5"/>
  <c r="I56" i="5"/>
  <c r="H56" i="5"/>
  <c r="G56" i="5"/>
  <c r="F56" i="5"/>
  <c r="E56" i="5"/>
  <c r="D56" i="5"/>
  <c r="C56" i="5"/>
  <c r="B56" i="5"/>
  <c r="I55" i="5"/>
  <c r="H55" i="5"/>
  <c r="G55" i="5"/>
  <c r="F55" i="5"/>
  <c r="E55" i="5"/>
  <c r="D55" i="5"/>
  <c r="C55" i="5"/>
  <c r="B55" i="5"/>
  <c r="I54" i="5"/>
  <c r="H54" i="5"/>
  <c r="G54" i="5"/>
  <c r="F54" i="5"/>
  <c r="E54" i="5"/>
  <c r="D54" i="5"/>
  <c r="C54" i="5"/>
  <c r="B54" i="5"/>
  <c r="I53" i="5"/>
  <c r="H53" i="5"/>
  <c r="G53" i="5"/>
  <c r="F53" i="5"/>
  <c r="E53" i="5"/>
  <c r="D53" i="5"/>
  <c r="C53" i="5"/>
  <c r="B53" i="5"/>
  <c r="I52" i="5"/>
  <c r="H52" i="5"/>
  <c r="G52" i="5"/>
  <c r="F52" i="5"/>
  <c r="E52" i="5"/>
  <c r="D52" i="5"/>
  <c r="C52" i="5"/>
  <c r="B52" i="5"/>
  <c r="I51" i="5"/>
  <c r="H51" i="5"/>
  <c r="G51" i="5"/>
  <c r="F51" i="5"/>
  <c r="E51" i="5"/>
  <c r="D51" i="5"/>
  <c r="C51" i="5"/>
  <c r="B51" i="5"/>
  <c r="I50" i="5"/>
  <c r="H50" i="5"/>
  <c r="G50" i="5"/>
  <c r="F50" i="5"/>
  <c r="E50" i="5"/>
  <c r="D50" i="5"/>
  <c r="C50" i="5"/>
  <c r="B50" i="5"/>
  <c r="I49" i="5"/>
  <c r="H49" i="5"/>
  <c r="G49" i="5"/>
  <c r="F49" i="5"/>
  <c r="E49" i="5"/>
  <c r="D49" i="5"/>
  <c r="C49" i="5"/>
  <c r="B49" i="5"/>
  <c r="I48" i="5"/>
  <c r="H48" i="5"/>
  <c r="G48" i="5"/>
  <c r="F48" i="5"/>
  <c r="E48" i="5"/>
  <c r="D48" i="5"/>
  <c r="C48" i="5"/>
  <c r="B48" i="5"/>
  <c r="I47" i="5"/>
  <c r="H47" i="5"/>
  <c r="G47" i="5"/>
  <c r="F47" i="5"/>
  <c r="E47" i="5"/>
  <c r="D47" i="5"/>
  <c r="C47" i="5"/>
  <c r="B47" i="5"/>
  <c r="I46" i="5"/>
  <c r="H46" i="5"/>
  <c r="G46" i="5"/>
  <c r="F46" i="5"/>
  <c r="E46" i="5"/>
  <c r="D46" i="5"/>
  <c r="C46" i="5"/>
  <c r="B46" i="5"/>
  <c r="I45" i="5"/>
  <c r="H45" i="5"/>
  <c r="G45" i="5"/>
  <c r="F45" i="5"/>
  <c r="E45" i="5"/>
  <c r="D45" i="5"/>
  <c r="C45" i="5"/>
  <c r="B45" i="5"/>
  <c r="I44" i="5"/>
  <c r="H44" i="5"/>
  <c r="G44" i="5"/>
  <c r="F44" i="5"/>
  <c r="E44" i="5"/>
  <c r="D44" i="5"/>
  <c r="C44" i="5"/>
  <c r="B44" i="5"/>
  <c r="I43" i="5"/>
  <c r="H43" i="5"/>
  <c r="G43" i="5"/>
  <c r="F43" i="5"/>
  <c r="E43" i="5"/>
  <c r="D43" i="5"/>
  <c r="C43" i="5"/>
  <c r="B43" i="5"/>
  <c r="I42" i="5"/>
  <c r="H42" i="5"/>
  <c r="G42" i="5"/>
  <c r="F42" i="5"/>
  <c r="E42" i="5"/>
  <c r="D42" i="5"/>
  <c r="C42" i="5"/>
  <c r="B42" i="5"/>
  <c r="I41" i="5"/>
  <c r="H41" i="5"/>
  <c r="G41" i="5"/>
  <c r="F41" i="5"/>
  <c r="E41" i="5"/>
  <c r="D41" i="5"/>
  <c r="C41" i="5"/>
  <c r="B41" i="5"/>
  <c r="I40" i="5"/>
  <c r="H40" i="5"/>
  <c r="G40" i="5"/>
  <c r="F40" i="5"/>
  <c r="E40" i="5"/>
  <c r="D40" i="5"/>
  <c r="C40" i="5"/>
  <c r="B40" i="5"/>
  <c r="I39" i="5"/>
  <c r="H39" i="5"/>
  <c r="G39" i="5"/>
  <c r="F39" i="5"/>
  <c r="E39" i="5"/>
  <c r="D39" i="5"/>
  <c r="C39" i="5"/>
  <c r="B39" i="5"/>
  <c r="I38" i="5"/>
  <c r="H38" i="5"/>
  <c r="G38" i="5"/>
  <c r="F38" i="5"/>
  <c r="E38" i="5"/>
  <c r="D38" i="5"/>
  <c r="C38" i="5"/>
  <c r="B38" i="5"/>
  <c r="I37" i="5"/>
  <c r="H37" i="5"/>
  <c r="G37" i="5"/>
  <c r="F37" i="5"/>
  <c r="E37" i="5"/>
  <c r="D37" i="5"/>
  <c r="C37" i="5"/>
  <c r="B37" i="5"/>
  <c r="I36" i="5"/>
  <c r="H36" i="5"/>
  <c r="G36" i="5"/>
  <c r="F36" i="5"/>
  <c r="E36" i="5"/>
  <c r="D36" i="5"/>
  <c r="C36" i="5"/>
  <c r="B36" i="5"/>
  <c r="I35" i="5"/>
  <c r="H35" i="5"/>
  <c r="G35" i="5"/>
  <c r="F35" i="5"/>
  <c r="E35" i="5"/>
  <c r="D35" i="5"/>
  <c r="C35" i="5"/>
  <c r="B35" i="5"/>
  <c r="I34" i="5"/>
  <c r="H34" i="5"/>
  <c r="G34" i="5"/>
  <c r="F34" i="5"/>
  <c r="E34" i="5"/>
  <c r="D34" i="5"/>
  <c r="C34" i="5"/>
  <c r="B34" i="5"/>
  <c r="I33" i="5"/>
  <c r="H33" i="5"/>
  <c r="G33" i="5"/>
  <c r="F33" i="5"/>
  <c r="E33" i="5"/>
  <c r="D33" i="5"/>
  <c r="C33" i="5"/>
  <c r="B33" i="5"/>
  <c r="I32" i="5"/>
  <c r="H32" i="5"/>
  <c r="G32" i="5"/>
  <c r="F32" i="5"/>
  <c r="E32" i="5"/>
  <c r="D32" i="5"/>
  <c r="C32" i="5"/>
  <c r="B32" i="5"/>
  <c r="I31" i="5"/>
  <c r="H31" i="5"/>
  <c r="G31" i="5"/>
  <c r="F31" i="5"/>
  <c r="E31" i="5"/>
  <c r="D31" i="5"/>
  <c r="C31" i="5"/>
  <c r="B31" i="5"/>
  <c r="I30" i="5"/>
  <c r="H30" i="5"/>
  <c r="G30" i="5"/>
  <c r="F30" i="5"/>
  <c r="E30" i="5"/>
  <c r="D30" i="5"/>
  <c r="C30" i="5"/>
  <c r="B30" i="5"/>
  <c r="I29" i="5"/>
  <c r="H29" i="5"/>
  <c r="G29" i="5"/>
  <c r="F29" i="5"/>
  <c r="E29" i="5"/>
  <c r="D29" i="5"/>
  <c r="C29" i="5"/>
  <c r="B29" i="5"/>
  <c r="I28" i="5"/>
  <c r="H28" i="5"/>
  <c r="G28" i="5"/>
  <c r="F28" i="5"/>
  <c r="E28" i="5"/>
  <c r="D28" i="5"/>
  <c r="C28" i="5"/>
  <c r="B28" i="5"/>
  <c r="I27" i="5"/>
  <c r="H27" i="5"/>
  <c r="G27" i="5"/>
  <c r="F27" i="5"/>
  <c r="E27" i="5"/>
  <c r="D27" i="5"/>
  <c r="C27" i="5"/>
  <c r="B27" i="5"/>
  <c r="I26" i="5"/>
  <c r="H26" i="5"/>
  <c r="G26" i="5"/>
  <c r="F26" i="5"/>
  <c r="E26" i="5"/>
  <c r="D26" i="5"/>
  <c r="C26" i="5"/>
  <c r="B26" i="5"/>
  <c r="I25" i="5"/>
  <c r="H25" i="5"/>
  <c r="G25" i="5"/>
  <c r="F25" i="5"/>
  <c r="E25" i="5"/>
  <c r="D25" i="5"/>
  <c r="C25" i="5"/>
  <c r="B25" i="5"/>
  <c r="I24" i="5"/>
  <c r="H24" i="5"/>
  <c r="G24" i="5"/>
  <c r="F24" i="5"/>
  <c r="E24" i="5"/>
  <c r="D24" i="5"/>
  <c r="C24" i="5"/>
  <c r="B24" i="5"/>
  <c r="I23" i="5"/>
  <c r="H23" i="5"/>
  <c r="G23" i="5"/>
  <c r="F23" i="5"/>
  <c r="E23" i="5"/>
  <c r="D23" i="5"/>
  <c r="C23" i="5"/>
  <c r="B23" i="5"/>
  <c r="I22" i="5"/>
  <c r="H22" i="5"/>
  <c r="G22" i="5"/>
  <c r="F22" i="5"/>
  <c r="E22" i="5"/>
  <c r="D22" i="5"/>
  <c r="C22" i="5"/>
  <c r="B22" i="5"/>
  <c r="I21" i="5"/>
  <c r="H21" i="5"/>
  <c r="G21" i="5"/>
  <c r="F21" i="5"/>
  <c r="E21" i="5"/>
  <c r="D21" i="5"/>
  <c r="C21" i="5"/>
  <c r="B21" i="5"/>
  <c r="I20" i="5"/>
  <c r="H20" i="5"/>
  <c r="G20" i="5"/>
  <c r="F20" i="5"/>
  <c r="E20" i="5"/>
  <c r="D20" i="5"/>
  <c r="C20" i="5"/>
  <c r="B20" i="5"/>
  <c r="I19" i="5"/>
  <c r="H19" i="5"/>
  <c r="G19" i="5"/>
  <c r="F19" i="5"/>
  <c r="E19" i="5"/>
  <c r="D19" i="5"/>
  <c r="C19" i="5"/>
  <c r="B19" i="5"/>
  <c r="I18" i="5"/>
  <c r="H18" i="5"/>
  <c r="G18" i="5"/>
  <c r="F18" i="5"/>
  <c r="E18" i="5"/>
  <c r="D18" i="5"/>
  <c r="C18" i="5"/>
  <c r="B18" i="5"/>
  <c r="I17" i="5"/>
  <c r="H17" i="5"/>
  <c r="G17" i="5"/>
  <c r="F17" i="5"/>
  <c r="E17" i="5"/>
  <c r="D17" i="5"/>
  <c r="C17" i="5"/>
  <c r="B17" i="5"/>
  <c r="I16" i="5"/>
  <c r="H16" i="5"/>
  <c r="G16" i="5"/>
  <c r="F16" i="5"/>
  <c r="E16" i="5"/>
  <c r="D16" i="5"/>
  <c r="C16" i="5"/>
  <c r="B16" i="5"/>
  <c r="I15" i="5"/>
  <c r="H15" i="5"/>
  <c r="G15" i="5"/>
  <c r="F15" i="5"/>
  <c r="E15" i="5"/>
  <c r="D15" i="5"/>
  <c r="C15" i="5"/>
  <c r="B15" i="5"/>
  <c r="I14" i="5"/>
  <c r="H14" i="5"/>
  <c r="G14" i="5"/>
  <c r="F14" i="5"/>
  <c r="E14" i="5"/>
  <c r="D14" i="5"/>
  <c r="C14" i="5"/>
  <c r="B14" i="5"/>
  <c r="I13" i="5"/>
  <c r="H13" i="5"/>
  <c r="G13" i="5"/>
  <c r="F13" i="5"/>
  <c r="E13" i="5"/>
  <c r="D13" i="5"/>
  <c r="C13" i="5"/>
  <c r="B13" i="5"/>
  <c r="I12" i="5"/>
  <c r="H12" i="5"/>
  <c r="G12" i="5"/>
  <c r="F12" i="5"/>
  <c r="E12" i="5"/>
  <c r="D12" i="5"/>
  <c r="C12" i="5"/>
  <c r="B12" i="5"/>
  <c r="I11" i="5"/>
  <c r="H11" i="5"/>
  <c r="G11" i="5"/>
  <c r="F11" i="5"/>
  <c r="E11" i="5"/>
  <c r="D11" i="5"/>
  <c r="C11" i="5"/>
  <c r="B11" i="5"/>
  <c r="I10" i="5"/>
  <c r="H10" i="5"/>
  <c r="G10" i="5"/>
  <c r="F10" i="5"/>
  <c r="E10" i="5"/>
  <c r="D10" i="5"/>
  <c r="C10" i="5"/>
  <c r="B10" i="5"/>
  <c r="I9" i="5"/>
  <c r="H9" i="5"/>
  <c r="G9" i="5"/>
  <c r="F9" i="5"/>
  <c r="E9" i="5"/>
  <c r="D9" i="5"/>
  <c r="C9" i="5"/>
  <c r="B9" i="5"/>
  <c r="I8" i="5"/>
  <c r="H8" i="5"/>
  <c r="G8" i="5"/>
  <c r="F8" i="5"/>
  <c r="E8" i="5"/>
  <c r="D8" i="5"/>
  <c r="C8" i="5"/>
  <c r="B8" i="5"/>
  <c r="I370" i="2"/>
  <c r="H370" i="2"/>
  <c r="G370" i="2"/>
  <c r="F370" i="2"/>
  <c r="E370" i="2"/>
  <c r="C370" i="2"/>
  <c r="B370" i="2"/>
  <c r="I369" i="2"/>
  <c r="H369" i="2"/>
  <c r="G369" i="2"/>
  <c r="F369" i="2"/>
  <c r="E369" i="2"/>
  <c r="C369" i="2"/>
  <c r="B369" i="2"/>
  <c r="I368" i="2"/>
  <c r="H368" i="2"/>
  <c r="G368" i="2"/>
  <c r="F368" i="2"/>
  <c r="E368" i="2"/>
  <c r="C368" i="2"/>
  <c r="B368" i="2"/>
  <c r="I367" i="2"/>
  <c r="H367" i="2"/>
  <c r="G367" i="2"/>
  <c r="F367" i="2"/>
  <c r="E367" i="2"/>
  <c r="C367" i="2"/>
  <c r="B367" i="2"/>
  <c r="I366" i="2"/>
  <c r="H366" i="2"/>
  <c r="G366" i="2"/>
  <c r="F366" i="2"/>
  <c r="E366" i="2"/>
  <c r="C366" i="2"/>
  <c r="B366" i="2"/>
  <c r="I365" i="2"/>
  <c r="H365" i="2"/>
  <c r="G365" i="2"/>
  <c r="F365" i="2"/>
  <c r="E365" i="2"/>
  <c r="C365" i="2"/>
  <c r="B365" i="2"/>
  <c r="I364" i="2"/>
  <c r="H364" i="2"/>
  <c r="G364" i="2"/>
  <c r="F364" i="2"/>
  <c r="E364" i="2"/>
  <c r="C364" i="2"/>
  <c r="B364" i="2"/>
  <c r="I363" i="2"/>
  <c r="H363" i="2"/>
  <c r="G363" i="2"/>
  <c r="F363" i="2"/>
  <c r="E363" i="2"/>
  <c r="C363" i="2"/>
  <c r="B363" i="2"/>
  <c r="I362" i="2"/>
  <c r="H362" i="2"/>
  <c r="G362" i="2"/>
  <c r="F362" i="2"/>
  <c r="E362" i="2"/>
  <c r="C362" i="2"/>
  <c r="B362" i="2"/>
  <c r="I361" i="2"/>
  <c r="H361" i="2"/>
  <c r="G361" i="2"/>
  <c r="F361" i="2"/>
  <c r="E361" i="2"/>
  <c r="C361" i="2"/>
  <c r="B361" i="2"/>
  <c r="I360" i="2"/>
  <c r="H360" i="2"/>
  <c r="G360" i="2"/>
  <c r="F360" i="2"/>
  <c r="E360" i="2"/>
  <c r="C360" i="2"/>
  <c r="B360" i="2"/>
  <c r="I359" i="2"/>
  <c r="H359" i="2"/>
  <c r="G359" i="2"/>
  <c r="F359" i="2"/>
  <c r="E359" i="2"/>
  <c r="C359" i="2"/>
  <c r="B359" i="2"/>
  <c r="I358" i="2"/>
  <c r="H358" i="2"/>
  <c r="G358" i="2"/>
  <c r="F358" i="2"/>
  <c r="E358" i="2"/>
  <c r="C358" i="2"/>
  <c r="B358" i="2"/>
  <c r="I357" i="2"/>
  <c r="H357" i="2"/>
  <c r="G357" i="2"/>
  <c r="F357" i="2"/>
  <c r="E357" i="2"/>
  <c r="C357" i="2"/>
  <c r="B357" i="2"/>
  <c r="I356" i="2"/>
  <c r="H356" i="2"/>
  <c r="G356" i="2"/>
  <c r="F356" i="2"/>
  <c r="E356" i="2"/>
  <c r="C356" i="2"/>
  <c r="B356" i="2"/>
  <c r="I355" i="2"/>
  <c r="H355" i="2"/>
  <c r="G355" i="2"/>
  <c r="F355" i="2"/>
  <c r="E355" i="2"/>
  <c r="C355" i="2"/>
  <c r="B355" i="2"/>
  <c r="I354" i="2"/>
  <c r="H354" i="2"/>
  <c r="G354" i="2"/>
  <c r="F354" i="2"/>
  <c r="E354" i="2"/>
  <c r="C354" i="2"/>
  <c r="B354" i="2"/>
  <c r="I353" i="2"/>
  <c r="H353" i="2"/>
  <c r="G353" i="2"/>
  <c r="F353" i="2"/>
  <c r="E353" i="2"/>
  <c r="C353" i="2"/>
  <c r="B353" i="2"/>
  <c r="I352" i="2"/>
  <c r="H352" i="2"/>
  <c r="G352" i="2"/>
  <c r="F352" i="2"/>
  <c r="E352" i="2"/>
  <c r="C352" i="2"/>
  <c r="B352" i="2"/>
  <c r="I351" i="2"/>
  <c r="H351" i="2"/>
  <c r="G351" i="2"/>
  <c r="F351" i="2"/>
  <c r="E351" i="2"/>
  <c r="C351" i="2"/>
  <c r="B351" i="2"/>
  <c r="I350" i="2"/>
  <c r="H350" i="2"/>
  <c r="G350" i="2"/>
  <c r="F350" i="2"/>
  <c r="E350" i="2"/>
  <c r="C350" i="2"/>
  <c r="B350" i="2"/>
  <c r="I349" i="2"/>
  <c r="H349" i="2"/>
  <c r="G349" i="2"/>
  <c r="F349" i="2"/>
  <c r="E349" i="2"/>
  <c r="C349" i="2"/>
  <c r="B349" i="2"/>
  <c r="I348" i="2"/>
  <c r="H348" i="2"/>
  <c r="G348" i="2"/>
  <c r="F348" i="2"/>
  <c r="E348" i="2"/>
  <c r="C348" i="2"/>
  <c r="B348" i="2"/>
  <c r="I347" i="2"/>
  <c r="H347" i="2"/>
  <c r="G347" i="2"/>
  <c r="F347" i="2"/>
  <c r="E347" i="2"/>
  <c r="C347" i="2"/>
  <c r="B347" i="2"/>
  <c r="I346" i="2"/>
  <c r="H346" i="2"/>
  <c r="G346" i="2"/>
  <c r="F346" i="2"/>
  <c r="E346" i="2"/>
  <c r="C346" i="2"/>
  <c r="B346" i="2"/>
  <c r="I345" i="2"/>
  <c r="H345" i="2"/>
  <c r="G345" i="2"/>
  <c r="F345" i="2"/>
  <c r="E345" i="2"/>
  <c r="C345" i="2"/>
  <c r="B345" i="2"/>
  <c r="I344" i="2"/>
  <c r="H344" i="2"/>
  <c r="G344" i="2"/>
  <c r="F344" i="2"/>
  <c r="E344" i="2"/>
  <c r="C344" i="2"/>
  <c r="B344" i="2"/>
  <c r="I343" i="2"/>
  <c r="H343" i="2"/>
  <c r="G343" i="2"/>
  <c r="E343" i="2"/>
  <c r="C343" i="2"/>
  <c r="B343" i="2"/>
  <c r="I342" i="2"/>
  <c r="H342" i="2"/>
  <c r="G342" i="2"/>
  <c r="F342" i="2"/>
  <c r="E342" i="2"/>
  <c r="C342" i="2"/>
  <c r="B342" i="2"/>
  <c r="I341" i="2"/>
  <c r="H341" i="2"/>
  <c r="G341" i="2"/>
  <c r="E341" i="2"/>
  <c r="C341" i="2"/>
  <c r="B341" i="2"/>
  <c r="I340" i="2"/>
  <c r="H340" i="2"/>
  <c r="G340" i="2"/>
  <c r="F340" i="2"/>
  <c r="E340" i="2"/>
  <c r="C340" i="2"/>
  <c r="B340" i="2"/>
  <c r="I339" i="2"/>
  <c r="H339" i="2"/>
  <c r="G339" i="2"/>
  <c r="F339" i="2"/>
  <c r="E339" i="2"/>
  <c r="C339" i="2"/>
  <c r="B339" i="2"/>
  <c r="I338" i="2"/>
  <c r="H338" i="2"/>
  <c r="G338" i="2"/>
  <c r="F338" i="2"/>
  <c r="E338" i="2"/>
  <c r="C338" i="2"/>
  <c r="B338" i="2"/>
  <c r="I337" i="2"/>
  <c r="H337" i="2"/>
  <c r="G337" i="2"/>
  <c r="F337" i="2"/>
  <c r="E337" i="2"/>
  <c r="C337" i="2"/>
  <c r="B337" i="2"/>
  <c r="I336" i="2"/>
  <c r="H336" i="2"/>
  <c r="G336" i="2"/>
  <c r="E336" i="2"/>
  <c r="C336" i="2"/>
  <c r="B336" i="2"/>
  <c r="I335" i="2"/>
  <c r="H335" i="2"/>
  <c r="G335" i="2"/>
  <c r="F335" i="2"/>
  <c r="E335" i="2"/>
  <c r="C335" i="2"/>
  <c r="B335" i="2"/>
  <c r="I334" i="2"/>
  <c r="H334" i="2"/>
  <c r="G334" i="2"/>
  <c r="F334" i="2"/>
  <c r="E334" i="2"/>
  <c r="C334" i="2"/>
  <c r="B334" i="2"/>
  <c r="I333" i="2"/>
  <c r="H333" i="2"/>
  <c r="G333" i="2"/>
  <c r="F333" i="2"/>
  <c r="E333" i="2"/>
  <c r="C333" i="2"/>
  <c r="B333" i="2"/>
  <c r="I332" i="2"/>
  <c r="H332" i="2"/>
  <c r="G332" i="2"/>
  <c r="F332" i="2"/>
  <c r="E332" i="2"/>
  <c r="C332" i="2"/>
  <c r="B332" i="2"/>
  <c r="I331" i="2"/>
  <c r="H331" i="2"/>
  <c r="G331" i="2"/>
  <c r="F331" i="2"/>
  <c r="E331" i="2"/>
  <c r="C331" i="2"/>
  <c r="B331" i="2"/>
  <c r="I330" i="2"/>
  <c r="H330" i="2"/>
  <c r="G330" i="2"/>
  <c r="F330" i="2"/>
  <c r="E330" i="2"/>
  <c r="C330" i="2"/>
  <c r="B330" i="2"/>
  <c r="I329" i="2"/>
  <c r="H329" i="2"/>
  <c r="G329" i="2"/>
  <c r="E329" i="2"/>
  <c r="C329" i="2"/>
  <c r="B329" i="2"/>
  <c r="I328" i="2"/>
  <c r="H328" i="2"/>
  <c r="G328" i="2"/>
  <c r="E328" i="2"/>
  <c r="C328" i="2"/>
  <c r="B328" i="2"/>
  <c r="I327" i="2"/>
  <c r="H327" i="2"/>
  <c r="G327" i="2"/>
  <c r="E327" i="2"/>
  <c r="C327" i="2"/>
  <c r="B327" i="2"/>
  <c r="I326" i="2"/>
  <c r="H326" i="2"/>
  <c r="G326" i="2"/>
  <c r="E326" i="2"/>
  <c r="C326" i="2"/>
  <c r="B326" i="2"/>
  <c r="I325" i="2"/>
  <c r="H325" i="2"/>
  <c r="G325" i="2"/>
  <c r="E325" i="2"/>
  <c r="C325" i="2"/>
  <c r="B325" i="2"/>
  <c r="I324" i="2"/>
  <c r="H324" i="2"/>
  <c r="G324" i="2"/>
  <c r="E324" i="2"/>
  <c r="C324" i="2"/>
  <c r="B324" i="2"/>
  <c r="I323" i="2"/>
  <c r="H323" i="2"/>
  <c r="G323" i="2"/>
  <c r="E323" i="2"/>
  <c r="C323" i="2"/>
  <c r="B323" i="2"/>
  <c r="I322" i="2"/>
  <c r="H322" i="2"/>
  <c r="G322" i="2"/>
  <c r="E322" i="2"/>
  <c r="C322" i="2"/>
  <c r="B322" i="2"/>
  <c r="I321" i="2"/>
  <c r="H321" i="2"/>
  <c r="G321" i="2"/>
  <c r="F321" i="2"/>
  <c r="E321" i="2"/>
  <c r="C321" i="2"/>
  <c r="B321" i="2"/>
  <c r="I320" i="2"/>
  <c r="H320" i="2"/>
  <c r="G320" i="2"/>
  <c r="E320" i="2"/>
  <c r="C320" i="2"/>
  <c r="B320" i="2"/>
  <c r="I319" i="2"/>
  <c r="H319" i="2"/>
  <c r="G319" i="2"/>
  <c r="F319" i="2"/>
  <c r="E319" i="2"/>
  <c r="C319" i="2"/>
  <c r="B319" i="2"/>
  <c r="I318" i="2"/>
  <c r="H318" i="2"/>
  <c r="G318" i="2"/>
  <c r="F318" i="2"/>
  <c r="E318" i="2"/>
  <c r="C318" i="2"/>
  <c r="B318" i="2"/>
  <c r="I317" i="2"/>
  <c r="H317" i="2"/>
  <c r="G317" i="2"/>
  <c r="F317" i="2"/>
  <c r="E317" i="2"/>
  <c r="C317" i="2"/>
  <c r="B317" i="2"/>
  <c r="I316" i="2"/>
  <c r="H316" i="2"/>
  <c r="G316" i="2"/>
  <c r="F316" i="2"/>
  <c r="E316" i="2"/>
  <c r="C316" i="2"/>
  <c r="B316" i="2"/>
  <c r="I315" i="2"/>
  <c r="H315" i="2"/>
  <c r="G315" i="2"/>
  <c r="F315" i="2"/>
  <c r="E315" i="2"/>
  <c r="C315" i="2"/>
  <c r="B315" i="2"/>
  <c r="I314" i="2"/>
  <c r="H314" i="2"/>
  <c r="G314" i="2"/>
  <c r="F314" i="2"/>
  <c r="E314" i="2"/>
  <c r="C314" i="2"/>
  <c r="B314" i="2"/>
  <c r="I313" i="2"/>
  <c r="H313" i="2"/>
  <c r="G313" i="2"/>
  <c r="E313" i="2"/>
  <c r="C313" i="2"/>
  <c r="B313" i="2"/>
  <c r="I312" i="2"/>
  <c r="H312" i="2"/>
  <c r="G312" i="2"/>
  <c r="F312" i="2"/>
  <c r="E312" i="2"/>
  <c r="C312" i="2"/>
  <c r="B312" i="2"/>
  <c r="I311" i="2"/>
  <c r="H311" i="2"/>
  <c r="G311" i="2"/>
  <c r="E311" i="2"/>
  <c r="C311" i="2"/>
  <c r="B311" i="2"/>
  <c r="I310" i="2"/>
  <c r="H310" i="2"/>
  <c r="G310" i="2"/>
  <c r="F310" i="2"/>
  <c r="E310" i="2"/>
  <c r="C310" i="2"/>
  <c r="B310" i="2"/>
  <c r="I309" i="2"/>
  <c r="H309" i="2"/>
  <c r="G309" i="2"/>
  <c r="E309" i="2"/>
  <c r="C309" i="2"/>
  <c r="B309" i="2"/>
  <c r="I308" i="2"/>
  <c r="H308" i="2"/>
  <c r="G308" i="2"/>
  <c r="E308" i="2"/>
  <c r="C308" i="2"/>
  <c r="B308" i="2"/>
  <c r="I307" i="2"/>
  <c r="H307" i="2"/>
  <c r="G307" i="2"/>
  <c r="C307" i="2"/>
  <c r="B307" i="2"/>
  <c r="I306" i="2"/>
  <c r="H306" i="2"/>
  <c r="G306" i="2"/>
  <c r="F306" i="2"/>
  <c r="C306" i="2"/>
  <c r="B306" i="2"/>
  <c r="I305" i="2"/>
  <c r="H305" i="2"/>
  <c r="G305" i="2"/>
  <c r="F305" i="2"/>
  <c r="E305" i="2"/>
  <c r="C305" i="2"/>
  <c r="B305" i="2"/>
  <c r="I304" i="2"/>
  <c r="H304" i="2"/>
  <c r="G304" i="2"/>
  <c r="F304" i="2"/>
  <c r="E304" i="2"/>
  <c r="C304" i="2"/>
  <c r="B304" i="2"/>
  <c r="I303" i="2"/>
  <c r="H303" i="2"/>
  <c r="G303" i="2"/>
  <c r="F303" i="2"/>
  <c r="E303" i="2"/>
  <c r="C303" i="2"/>
  <c r="B303" i="2"/>
  <c r="I302" i="2"/>
  <c r="H302" i="2"/>
  <c r="G302" i="2"/>
  <c r="E302" i="2"/>
  <c r="C302" i="2"/>
  <c r="B302" i="2"/>
  <c r="I301" i="2"/>
  <c r="H301" i="2"/>
  <c r="G301" i="2"/>
  <c r="F301" i="2"/>
  <c r="C301" i="2"/>
  <c r="B301" i="2"/>
  <c r="I300" i="2"/>
  <c r="H300" i="2"/>
  <c r="G300" i="2"/>
  <c r="F300" i="2"/>
  <c r="E300" i="2"/>
  <c r="C300" i="2"/>
  <c r="B300" i="2"/>
  <c r="I299" i="2"/>
  <c r="H299" i="2"/>
  <c r="G299" i="2"/>
  <c r="F299" i="2"/>
  <c r="E299" i="2"/>
  <c r="C299" i="2"/>
  <c r="B299" i="2"/>
  <c r="I298" i="2"/>
  <c r="H298" i="2"/>
  <c r="G298" i="2"/>
  <c r="F298" i="2"/>
  <c r="E298" i="2"/>
  <c r="C298" i="2"/>
  <c r="B298" i="2"/>
  <c r="I297" i="2"/>
  <c r="H297" i="2"/>
  <c r="G297" i="2"/>
  <c r="F297" i="2"/>
  <c r="E297" i="2"/>
  <c r="C297" i="2"/>
  <c r="B297" i="2"/>
  <c r="I296" i="2"/>
  <c r="H296" i="2"/>
  <c r="G296" i="2"/>
  <c r="F296" i="2"/>
  <c r="E296" i="2"/>
  <c r="C296" i="2"/>
  <c r="B296" i="2"/>
  <c r="I295" i="2"/>
  <c r="H295" i="2"/>
  <c r="G295" i="2"/>
  <c r="F295" i="2"/>
  <c r="E295" i="2"/>
  <c r="C295" i="2"/>
  <c r="B295" i="2"/>
  <c r="I294" i="2"/>
  <c r="H294" i="2"/>
  <c r="G294" i="2"/>
  <c r="F294" i="2"/>
  <c r="E294" i="2"/>
  <c r="C294" i="2"/>
  <c r="B294" i="2"/>
  <c r="I293" i="2"/>
  <c r="H293" i="2"/>
  <c r="G293" i="2"/>
  <c r="F293" i="2"/>
  <c r="E293" i="2"/>
  <c r="C293" i="2"/>
  <c r="B293" i="2"/>
  <c r="I292" i="2"/>
  <c r="H292" i="2"/>
  <c r="G292" i="2"/>
  <c r="F292" i="2"/>
  <c r="E292" i="2"/>
  <c r="C292" i="2"/>
  <c r="B292" i="2"/>
  <c r="I291" i="2"/>
  <c r="H291" i="2"/>
  <c r="G291" i="2"/>
  <c r="F291" i="2"/>
  <c r="E291" i="2"/>
  <c r="C291" i="2"/>
  <c r="B291" i="2"/>
  <c r="I290" i="2"/>
  <c r="H290" i="2"/>
  <c r="G290" i="2"/>
  <c r="F290" i="2"/>
  <c r="E290" i="2"/>
  <c r="C290" i="2"/>
  <c r="B290" i="2"/>
  <c r="I289" i="2"/>
  <c r="H289" i="2"/>
  <c r="G289" i="2"/>
  <c r="F289" i="2"/>
  <c r="E289" i="2"/>
  <c r="C289" i="2"/>
  <c r="B289" i="2"/>
  <c r="I288" i="2"/>
  <c r="H288" i="2"/>
  <c r="G288" i="2"/>
  <c r="F288" i="2"/>
  <c r="E288" i="2"/>
  <c r="C288" i="2"/>
  <c r="B288" i="2"/>
  <c r="I287" i="2"/>
  <c r="H287" i="2"/>
  <c r="G287" i="2"/>
  <c r="F287" i="2"/>
  <c r="E287" i="2"/>
  <c r="C287" i="2"/>
  <c r="B287" i="2"/>
  <c r="I286" i="2"/>
  <c r="H286" i="2"/>
  <c r="G286" i="2"/>
  <c r="F286" i="2"/>
  <c r="E286" i="2"/>
  <c r="C286" i="2"/>
  <c r="B286" i="2"/>
  <c r="I285" i="2"/>
  <c r="H285" i="2"/>
  <c r="G285" i="2"/>
  <c r="F285" i="2"/>
  <c r="E285" i="2"/>
  <c r="C285" i="2"/>
  <c r="B285" i="2"/>
  <c r="I284" i="2"/>
  <c r="H284" i="2"/>
  <c r="G284" i="2"/>
  <c r="F284" i="2"/>
  <c r="E284" i="2"/>
  <c r="C284" i="2"/>
  <c r="B284" i="2"/>
  <c r="I283" i="2"/>
  <c r="H283" i="2"/>
  <c r="G283" i="2"/>
  <c r="F283" i="2"/>
  <c r="E283" i="2"/>
  <c r="C283" i="2"/>
  <c r="B283" i="2"/>
  <c r="I282" i="2"/>
  <c r="H282" i="2"/>
  <c r="G282" i="2"/>
  <c r="F282" i="2"/>
  <c r="E282" i="2"/>
  <c r="C282" i="2"/>
  <c r="B282" i="2"/>
  <c r="I281" i="2"/>
  <c r="H281" i="2"/>
  <c r="G281" i="2"/>
  <c r="F281" i="2"/>
  <c r="E281" i="2"/>
  <c r="C281" i="2"/>
  <c r="B281" i="2"/>
  <c r="I280" i="2"/>
  <c r="H280" i="2"/>
  <c r="G280" i="2"/>
  <c r="F280" i="2"/>
  <c r="E280" i="2"/>
  <c r="C280" i="2"/>
  <c r="B280" i="2"/>
  <c r="I279" i="2"/>
  <c r="H279" i="2"/>
  <c r="G279" i="2"/>
  <c r="F279" i="2"/>
  <c r="E279" i="2"/>
  <c r="C279" i="2"/>
  <c r="B279" i="2"/>
  <c r="I278" i="2"/>
  <c r="H278" i="2"/>
  <c r="G278" i="2"/>
  <c r="F278" i="2"/>
  <c r="E278" i="2"/>
  <c r="C278" i="2"/>
  <c r="B278" i="2"/>
  <c r="I277" i="2"/>
  <c r="H277" i="2"/>
  <c r="G277" i="2"/>
  <c r="F277" i="2"/>
  <c r="E277" i="2"/>
  <c r="C277" i="2"/>
  <c r="B277" i="2"/>
  <c r="I276" i="2"/>
  <c r="H276" i="2"/>
  <c r="G276" i="2"/>
  <c r="F276" i="2"/>
  <c r="E276" i="2"/>
  <c r="C276" i="2"/>
  <c r="B276" i="2"/>
  <c r="I275" i="2"/>
  <c r="H275" i="2"/>
  <c r="G275" i="2"/>
  <c r="F275" i="2"/>
  <c r="E275" i="2"/>
  <c r="C275" i="2"/>
  <c r="B275" i="2"/>
  <c r="I274" i="2"/>
  <c r="H274" i="2"/>
  <c r="G274" i="2"/>
  <c r="F274" i="2"/>
  <c r="E274" i="2"/>
  <c r="C274" i="2"/>
  <c r="B274" i="2"/>
  <c r="I273" i="2"/>
  <c r="H273" i="2"/>
  <c r="G273" i="2"/>
  <c r="F273" i="2"/>
  <c r="E273" i="2"/>
  <c r="C273" i="2"/>
  <c r="B273" i="2"/>
  <c r="I272" i="2"/>
  <c r="H272" i="2"/>
  <c r="G272" i="2"/>
  <c r="F272" i="2"/>
  <c r="E272" i="2"/>
  <c r="C272" i="2"/>
  <c r="B272" i="2"/>
  <c r="I271" i="2"/>
  <c r="H271" i="2"/>
  <c r="G271" i="2"/>
  <c r="F271" i="2"/>
  <c r="E271" i="2"/>
  <c r="D271" i="2"/>
  <c r="C271" i="2"/>
  <c r="B271" i="2"/>
  <c r="I270" i="2"/>
  <c r="H270" i="2"/>
  <c r="G270" i="2"/>
  <c r="F270" i="2"/>
  <c r="E270" i="2"/>
  <c r="D270" i="2"/>
  <c r="C270" i="2"/>
  <c r="B270" i="2"/>
  <c r="I269" i="2"/>
  <c r="H269" i="2"/>
  <c r="G269" i="2"/>
  <c r="F269" i="2"/>
  <c r="E269" i="2"/>
  <c r="D269" i="2"/>
  <c r="C269" i="2"/>
  <c r="B269" i="2"/>
  <c r="I268" i="2"/>
  <c r="H268" i="2"/>
  <c r="G268" i="2"/>
  <c r="F268" i="2"/>
  <c r="E268" i="2"/>
  <c r="D268" i="2"/>
  <c r="C268" i="2"/>
  <c r="B268" i="2"/>
  <c r="I267" i="2"/>
  <c r="H267" i="2"/>
  <c r="G267" i="2"/>
  <c r="F267" i="2"/>
  <c r="E267" i="2"/>
  <c r="D267" i="2"/>
  <c r="C267" i="2"/>
  <c r="B267" i="2"/>
  <c r="I266" i="2"/>
  <c r="H266" i="2"/>
  <c r="G266" i="2"/>
  <c r="F266" i="2"/>
  <c r="E266" i="2"/>
  <c r="D266" i="2"/>
  <c r="C266" i="2"/>
  <c r="B266" i="2"/>
  <c r="I265" i="2"/>
  <c r="H265" i="2"/>
  <c r="G265" i="2"/>
  <c r="F265" i="2"/>
  <c r="E265" i="2"/>
  <c r="D265" i="2"/>
  <c r="C265" i="2"/>
  <c r="B265" i="2"/>
  <c r="I264" i="2"/>
  <c r="H264" i="2"/>
  <c r="G264" i="2"/>
  <c r="F264" i="2"/>
  <c r="E264" i="2"/>
  <c r="D264" i="2"/>
  <c r="C264" i="2"/>
  <c r="B264" i="2"/>
  <c r="I263" i="2"/>
  <c r="H263" i="2"/>
  <c r="G263" i="2"/>
  <c r="F263" i="2"/>
  <c r="E263" i="2"/>
  <c r="D263" i="2"/>
  <c r="C263" i="2"/>
  <c r="B263" i="2"/>
  <c r="I262" i="2"/>
  <c r="H262" i="2"/>
  <c r="G262" i="2"/>
  <c r="F262" i="2"/>
  <c r="E262" i="2"/>
  <c r="D262" i="2"/>
  <c r="C262" i="2"/>
  <c r="B262" i="2"/>
  <c r="I261" i="2"/>
  <c r="H261" i="2"/>
  <c r="G261" i="2"/>
  <c r="F261" i="2"/>
  <c r="E261" i="2"/>
  <c r="D261" i="2"/>
  <c r="C261" i="2"/>
  <c r="B261" i="2"/>
  <c r="I260" i="2"/>
  <c r="H260" i="2"/>
  <c r="G260" i="2"/>
  <c r="F260" i="2"/>
  <c r="E260" i="2"/>
  <c r="D260" i="2"/>
  <c r="C260" i="2"/>
  <c r="B260" i="2"/>
  <c r="I259" i="2"/>
  <c r="H259" i="2"/>
  <c r="G259" i="2"/>
  <c r="F259" i="2"/>
  <c r="E259" i="2"/>
  <c r="D259" i="2"/>
  <c r="C259" i="2"/>
  <c r="B259" i="2"/>
  <c r="I258" i="2"/>
  <c r="H258" i="2"/>
  <c r="G258" i="2"/>
  <c r="F258" i="2"/>
  <c r="E258" i="2"/>
  <c r="D258" i="2"/>
  <c r="C258" i="2"/>
  <c r="B258" i="2"/>
  <c r="I257" i="2"/>
  <c r="H257" i="2"/>
  <c r="G257" i="2"/>
  <c r="F257" i="2"/>
  <c r="E257" i="2"/>
  <c r="D257" i="2"/>
  <c r="C257" i="2"/>
  <c r="B257" i="2"/>
  <c r="I256" i="2"/>
  <c r="H256" i="2"/>
  <c r="G256" i="2"/>
  <c r="F256" i="2"/>
  <c r="E256" i="2"/>
  <c r="D256" i="2"/>
  <c r="C256" i="2"/>
  <c r="B256" i="2"/>
  <c r="I255" i="2"/>
  <c r="H255" i="2"/>
  <c r="G255" i="2"/>
  <c r="F255" i="2"/>
  <c r="E255" i="2"/>
  <c r="D255" i="2"/>
  <c r="C255" i="2"/>
  <c r="B255" i="2"/>
  <c r="I254" i="2"/>
  <c r="H254" i="2"/>
  <c r="G254" i="2"/>
  <c r="F254" i="2"/>
  <c r="E254" i="2"/>
  <c r="D254" i="2"/>
  <c r="C254" i="2"/>
  <c r="B254" i="2"/>
  <c r="I253" i="2"/>
  <c r="H253" i="2"/>
  <c r="G253" i="2"/>
  <c r="F253" i="2"/>
  <c r="E253" i="2"/>
  <c r="D253" i="2"/>
  <c r="C253" i="2"/>
  <c r="B253" i="2"/>
  <c r="I252" i="2"/>
  <c r="H252" i="2"/>
  <c r="G252" i="2"/>
  <c r="F252" i="2"/>
  <c r="E252" i="2"/>
  <c r="D252" i="2"/>
  <c r="C252" i="2"/>
  <c r="B252" i="2"/>
  <c r="I251" i="2"/>
  <c r="H251" i="2"/>
  <c r="G251" i="2"/>
  <c r="F251" i="2"/>
  <c r="E251" i="2"/>
  <c r="D251" i="2"/>
  <c r="C251" i="2"/>
  <c r="B251" i="2"/>
  <c r="I250" i="2"/>
  <c r="H250" i="2"/>
  <c r="G250" i="2"/>
  <c r="F250" i="2"/>
  <c r="E250" i="2"/>
  <c r="D250" i="2"/>
  <c r="C250" i="2"/>
  <c r="B250" i="2"/>
  <c r="I249" i="2"/>
  <c r="H249" i="2"/>
  <c r="G249" i="2"/>
  <c r="F249" i="2"/>
  <c r="E249" i="2"/>
  <c r="D249" i="2"/>
  <c r="C249" i="2"/>
  <c r="B249" i="2"/>
  <c r="I248" i="2"/>
  <c r="H248" i="2"/>
  <c r="G248" i="2"/>
  <c r="F248" i="2"/>
  <c r="E248" i="2"/>
  <c r="D248" i="2"/>
  <c r="C248" i="2"/>
  <c r="B248" i="2"/>
  <c r="I247" i="2"/>
  <c r="H247" i="2"/>
  <c r="G247" i="2"/>
  <c r="F247" i="2"/>
  <c r="E247" i="2"/>
  <c r="D247" i="2"/>
  <c r="C247" i="2"/>
  <c r="B247" i="2"/>
  <c r="I246" i="2"/>
  <c r="H246" i="2"/>
  <c r="G246" i="2"/>
  <c r="F246" i="2"/>
  <c r="E246" i="2"/>
  <c r="D246" i="2"/>
  <c r="C246" i="2"/>
  <c r="B246" i="2"/>
  <c r="I245" i="2"/>
  <c r="H245" i="2"/>
  <c r="G245" i="2"/>
  <c r="F245" i="2"/>
  <c r="E245" i="2"/>
  <c r="D245" i="2"/>
  <c r="C245" i="2"/>
  <c r="B245" i="2"/>
  <c r="I244" i="2"/>
  <c r="H244" i="2"/>
  <c r="G244" i="2"/>
  <c r="F244" i="2"/>
  <c r="E244" i="2"/>
  <c r="D244" i="2"/>
  <c r="C244" i="2"/>
  <c r="B244" i="2"/>
  <c r="I243" i="2"/>
  <c r="H243" i="2"/>
  <c r="G243" i="2"/>
  <c r="F243" i="2"/>
  <c r="E243" i="2"/>
  <c r="D243" i="2"/>
  <c r="C243" i="2"/>
  <c r="B243" i="2"/>
  <c r="I242" i="2"/>
  <c r="H242" i="2"/>
  <c r="G242" i="2"/>
  <c r="F242" i="2"/>
  <c r="E242" i="2"/>
  <c r="D242" i="2"/>
  <c r="C242" i="2"/>
  <c r="B242" i="2"/>
  <c r="I241" i="2"/>
  <c r="H241" i="2"/>
  <c r="G241" i="2"/>
  <c r="F241" i="2"/>
  <c r="E241" i="2"/>
  <c r="D241" i="2"/>
  <c r="C241" i="2"/>
  <c r="B241" i="2"/>
  <c r="I240" i="2"/>
  <c r="H240" i="2"/>
  <c r="G240" i="2"/>
  <c r="F240" i="2"/>
  <c r="E240" i="2"/>
  <c r="D240" i="2"/>
  <c r="C240" i="2"/>
  <c r="B240" i="2"/>
  <c r="I239" i="2"/>
  <c r="H239" i="2"/>
  <c r="G239" i="2"/>
  <c r="F239" i="2"/>
  <c r="E239" i="2"/>
  <c r="D239" i="2"/>
  <c r="C239" i="2"/>
  <c r="B239" i="2"/>
  <c r="I238" i="2"/>
  <c r="H238" i="2"/>
  <c r="G238" i="2"/>
  <c r="F238" i="2"/>
  <c r="E238" i="2"/>
  <c r="D238" i="2"/>
  <c r="C238" i="2"/>
  <c r="B238" i="2"/>
  <c r="I237" i="2"/>
  <c r="H237" i="2"/>
  <c r="G237" i="2"/>
  <c r="F237" i="2"/>
  <c r="E237" i="2"/>
  <c r="D237" i="2"/>
  <c r="C237" i="2"/>
  <c r="B237" i="2"/>
  <c r="I236" i="2"/>
  <c r="H236" i="2"/>
  <c r="G236" i="2"/>
  <c r="F236" i="2"/>
  <c r="E236" i="2"/>
  <c r="D236" i="2"/>
  <c r="C236" i="2"/>
  <c r="B236" i="2"/>
  <c r="I235" i="2"/>
  <c r="H235" i="2"/>
  <c r="G235" i="2"/>
  <c r="F235" i="2"/>
  <c r="E235" i="2"/>
  <c r="D235" i="2"/>
  <c r="C235" i="2"/>
  <c r="B235" i="2"/>
  <c r="I234" i="2"/>
  <c r="H234" i="2"/>
  <c r="G234" i="2"/>
  <c r="F234" i="2"/>
  <c r="E234" i="2"/>
  <c r="D234" i="2"/>
  <c r="C234" i="2"/>
  <c r="B234" i="2"/>
  <c r="I233" i="2"/>
  <c r="H233" i="2"/>
  <c r="G233" i="2"/>
  <c r="F233" i="2"/>
  <c r="E233" i="2"/>
  <c r="D233" i="2"/>
  <c r="C233" i="2"/>
  <c r="B233" i="2"/>
  <c r="I232" i="2"/>
  <c r="H232" i="2"/>
  <c r="G232" i="2"/>
  <c r="F232" i="2"/>
  <c r="E232" i="2"/>
  <c r="D232" i="2"/>
  <c r="C232" i="2"/>
  <c r="B232" i="2"/>
  <c r="I231" i="2"/>
  <c r="H231" i="2"/>
  <c r="G231" i="2"/>
  <c r="F231" i="2"/>
  <c r="E231" i="2"/>
  <c r="D231" i="2"/>
  <c r="C231" i="2"/>
  <c r="B231" i="2"/>
  <c r="I230" i="2"/>
  <c r="H230" i="2"/>
  <c r="G230" i="2"/>
  <c r="F230" i="2"/>
  <c r="E230" i="2"/>
  <c r="D230" i="2"/>
  <c r="C230" i="2"/>
  <c r="B230" i="2"/>
  <c r="I229" i="2"/>
  <c r="H229" i="2"/>
  <c r="G229" i="2"/>
  <c r="F229" i="2"/>
  <c r="E229" i="2"/>
  <c r="D229" i="2"/>
  <c r="C229" i="2"/>
  <c r="B229" i="2"/>
  <c r="I228" i="2"/>
  <c r="H228" i="2"/>
  <c r="G228" i="2"/>
  <c r="F228" i="2"/>
  <c r="E228" i="2"/>
  <c r="D228" i="2"/>
  <c r="C228" i="2"/>
  <c r="B228" i="2"/>
  <c r="I227" i="2"/>
  <c r="H227" i="2"/>
  <c r="G227" i="2"/>
  <c r="F227" i="2"/>
  <c r="E227" i="2"/>
  <c r="D227" i="2"/>
  <c r="C227" i="2"/>
  <c r="B227" i="2"/>
  <c r="I226" i="2"/>
  <c r="H226" i="2"/>
  <c r="G226" i="2"/>
  <c r="F226" i="2"/>
  <c r="E226" i="2"/>
  <c r="D226" i="2"/>
  <c r="C226" i="2"/>
  <c r="B226" i="2"/>
  <c r="I225" i="2"/>
  <c r="H225" i="2"/>
  <c r="G225" i="2"/>
  <c r="F225" i="2"/>
  <c r="E225" i="2"/>
  <c r="D225" i="2"/>
  <c r="C225" i="2"/>
  <c r="B225" i="2"/>
  <c r="I224" i="2"/>
  <c r="H224" i="2"/>
  <c r="G224" i="2"/>
  <c r="F224" i="2"/>
  <c r="E224" i="2"/>
  <c r="D224" i="2"/>
  <c r="C224" i="2"/>
  <c r="B224" i="2"/>
  <c r="I223" i="2"/>
  <c r="H223" i="2"/>
  <c r="G223" i="2"/>
  <c r="F223" i="2"/>
  <c r="E223" i="2"/>
  <c r="D223" i="2"/>
  <c r="C223" i="2"/>
  <c r="B223" i="2"/>
  <c r="I222" i="2"/>
  <c r="H222" i="2"/>
  <c r="G222" i="2"/>
  <c r="F222" i="2"/>
  <c r="E222" i="2"/>
  <c r="D222" i="2"/>
  <c r="C222" i="2"/>
  <c r="B222" i="2"/>
  <c r="I221" i="2"/>
  <c r="H221" i="2"/>
  <c r="G221" i="2"/>
  <c r="F221" i="2"/>
  <c r="E221" i="2"/>
  <c r="D221" i="2"/>
  <c r="C221" i="2"/>
  <c r="B221" i="2"/>
  <c r="I220" i="2"/>
  <c r="H220" i="2"/>
  <c r="G220" i="2"/>
  <c r="F220" i="2"/>
  <c r="E220" i="2"/>
  <c r="D220" i="2"/>
  <c r="C220" i="2"/>
  <c r="B220" i="2"/>
  <c r="I219" i="2"/>
  <c r="H219" i="2"/>
  <c r="G219" i="2"/>
  <c r="F219" i="2"/>
  <c r="E219" i="2"/>
  <c r="D219" i="2"/>
  <c r="C219" i="2"/>
  <c r="B219" i="2"/>
  <c r="I218" i="2"/>
  <c r="H218" i="2"/>
  <c r="G218" i="2"/>
  <c r="F218" i="2"/>
  <c r="E218" i="2"/>
  <c r="D218" i="2"/>
  <c r="C218" i="2"/>
  <c r="B218" i="2"/>
  <c r="I217" i="2"/>
  <c r="H217" i="2"/>
  <c r="G217" i="2"/>
  <c r="F217" i="2"/>
  <c r="E217" i="2"/>
  <c r="D217" i="2"/>
  <c r="C217" i="2"/>
  <c r="B217" i="2"/>
  <c r="I216" i="2"/>
  <c r="H216" i="2"/>
  <c r="G216" i="2"/>
  <c r="F216" i="2"/>
  <c r="E216" i="2"/>
  <c r="D216" i="2"/>
  <c r="C216" i="2"/>
  <c r="B216" i="2"/>
  <c r="I215" i="2"/>
  <c r="H215" i="2"/>
  <c r="G215" i="2"/>
  <c r="F215" i="2"/>
  <c r="E215" i="2"/>
  <c r="D215" i="2"/>
  <c r="C215" i="2"/>
  <c r="B215" i="2"/>
  <c r="I214" i="2"/>
  <c r="H214" i="2"/>
  <c r="G214" i="2"/>
  <c r="F214" i="2"/>
  <c r="E214" i="2"/>
  <c r="D214" i="2"/>
  <c r="C214" i="2"/>
  <c r="B214" i="2"/>
  <c r="I213" i="2"/>
  <c r="H213" i="2"/>
  <c r="G213" i="2"/>
  <c r="F213" i="2"/>
  <c r="E213" i="2"/>
  <c r="D213" i="2"/>
  <c r="C213" i="2"/>
  <c r="B213" i="2"/>
  <c r="I212" i="2"/>
  <c r="H212" i="2"/>
  <c r="G212" i="2"/>
  <c r="F212" i="2"/>
  <c r="E212" i="2"/>
  <c r="D212" i="2"/>
  <c r="C212" i="2"/>
  <c r="B212" i="2"/>
  <c r="I211" i="2"/>
  <c r="H211" i="2"/>
  <c r="G211" i="2"/>
  <c r="F211" i="2"/>
  <c r="E211" i="2"/>
  <c r="D211" i="2"/>
  <c r="C211" i="2"/>
  <c r="B211" i="2"/>
  <c r="I210" i="2"/>
  <c r="H210" i="2"/>
  <c r="G210" i="2"/>
  <c r="F210" i="2"/>
  <c r="E210" i="2"/>
  <c r="D210" i="2"/>
  <c r="C210" i="2"/>
  <c r="B210" i="2"/>
  <c r="I209" i="2"/>
  <c r="H209" i="2"/>
  <c r="G209" i="2"/>
  <c r="F209" i="2"/>
  <c r="E209" i="2"/>
  <c r="D209" i="2"/>
  <c r="C209" i="2"/>
  <c r="B209" i="2"/>
  <c r="I208" i="2"/>
  <c r="H208" i="2"/>
  <c r="G208" i="2"/>
  <c r="F208" i="2"/>
  <c r="E208" i="2"/>
  <c r="D208" i="2"/>
  <c r="C208" i="2"/>
  <c r="B208" i="2"/>
  <c r="I207" i="2"/>
  <c r="H207" i="2"/>
  <c r="G207" i="2"/>
  <c r="F207" i="2"/>
  <c r="E207" i="2"/>
  <c r="D207" i="2"/>
  <c r="C207" i="2"/>
  <c r="B207" i="2"/>
  <c r="I206" i="2"/>
  <c r="H206" i="2"/>
  <c r="G206" i="2"/>
  <c r="F206" i="2"/>
  <c r="E206" i="2"/>
  <c r="D206" i="2"/>
  <c r="C206" i="2"/>
  <c r="B206" i="2"/>
  <c r="I205" i="2"/>
  <c r="H205" i="2"/>
  <c r="G205" i="2"/>
  <c r="F205" i="2"/>
  <c r="E205" i="2"/>
  <c r="D205" i="2"/>
  <c r="C205" i="2"/>
  <c r="B205" i="2"/>
  <c r="I204" i="2"/>
  <c r="H204" i="2"/>
  <c r="G204" i="2"/>
  <c r="F204" i="2"/>
  <c r="E204" i="2"/>
  <c r="D204" i="2"/>
  <c r="C204" i="2"/>
  <c r="B204" i="2"/>
  <c r="I203" i="2"/>
  <c r="H203" i="2"/>
  <c r="G203" i="2"/>
  <c r="F203" i="2"/>
  <c r="E203" i="2"/>
  <c r="D203" i="2"/>
  <c r="C203" i="2"/>
  <c r="B203" i="2"/>
  <c r="I202" i="2"/>
  <c r="H202" i="2"/>
  <c r="G202" i="2"/>
  <c r="F202" i="2"/>
  <c r="E202" i="2"/>
  <c r="D202" i="2"/>
  <c r="C202" i="2"/>
  <c r="B202" i="2"/>
  <c r="I201" i="2"/>
  <c r="H201" i="2"/>
  <c r="G201" i="2"/>
  <c r="F201" i="2"/>
  <c r="E201" i="2"/>
  <c r="D201" i="2"/>
  <c r="C201" i="2"/>
  <c r="B201" i="2"/>
  <c r="I200" i="2"/>
  <c r="H200" i="2"/>
  <c r="G200" i="2"/>
  <c r="F200" i="2"/>
  <c r="E200" i="2"/>
  <c r="D200" i="2"/>
  <c r="C200" i="2"/>
  <c r="B200" i="2"/>
  <c r="I199" i="2"/>
  <c r="H199" i="2"/>
  <c r="G199" i="2"/>
  <c r="F199" i="2"/>
  <c r="E199" i="2"/>
  <c r="D199" i="2"/>
  <c r="C199" i="2"/>
  <c r="B199" i="2"/>
  <c r="I198" i="2"/>
  <c r="H198" i="2"/>
  <c r="G198" i="2"/>
  <c r="F198" i="2"/>
  <c r="E198" i="2"/>
  <c r="D198" i="2"/>
  <c r="C198" i="2"/>
  <c r="B198" i="2"/>
  <c r="I197" i="2"/>
  <c r="H197" i="2"/>
  <c r="G197" i="2"/>
  <c r="F197" i="2"/>
  <c r="E197" i="2"/>
  <c r="D197" i="2"/>
  <c r="C197" i="2"/>
  <c r="B197" i="2"/>
  <c r="I196" i="2"/>
  <c r="H196" i="2"/>
  <c r="G196" i="2"/>
  <c r="F196" i="2"/>
  <c r="E196" i="2"/>
  <c r="D196" i="2"/>
  <c r="C196" i="2"/>
  <c r="B196" i="2"/>
  <c r="I195" i="2"/>
  <c r="H195" i="2"/>
  <c r="G195" i="2"/>
  <c r="F195" i="2"/>
  <c r="E195" i="2"/>
  <c r="D195" i="2"/>
  <c r="C195" i="2"/>
  <c r="B195" i="2"/>
  <c r="I194" i="2"/>
  <c r="H194" i="2"/>
  <c r="G194" i="2"/>
  <c r="F194" i="2"/>
  <c r="E194" i="2"/>
  <c r="D194" i="2"/>
  <c r="C194" i="2"/>
  <c r="B194" i="2"/>
  <c r="I193" i="2"/>
  <c r="H193" i="2"/>
  <c r="G193" i="2"/>
  <c r="F193" i="2"/>
  <c r="E193" i="2"/>
  <c r="D193" i="2"/>
  <c r="C193" i="2"/>
  <c r="B193" i="2"/>
  <c r="I192" i="2"/>
  <c r="H192" i="2"/>
  <c r="G192" i="2"/>
  <c r="F192" i="2"/>
  <c r="E192" i="2"/>
  <c r="D192" i="2"/>
  <c r="C192" i="2"/>
  <c r="B192" i="2"/>
  <c r="I191" i="2"/>
  <c r="H191" i="2"/>
  <c r="G191" i="2"/>
  <c r="F191" i="2"/>
  <c r="E191" i="2"/>
  <c r="D191" i="2"/>
  <c r="C191" i="2"/>
  <c r="B191" i="2"/>
  <c r="I190" i="2"/>
  <c r="H190" i="2"/>
  <c r="G190" i="2"/>
  <c r="F190" i="2"/>
  <c r="E190" i="2"/>
  <c r="D190" i="2"/>
  <c r="C190" i="2"/>
  <c r="B190" i="2"/>
  <c r="I189" i="2"/>
  <c r="H189" i="2"/>
  <c r="G189" i="2"/>
  <c r="F189" i="2"/>
  <c r="E189" i="2"/>
  <c r="D189" i="2"/>
  <c r="C189" i="2"/>
  <c r="B189" i="2"/>
  <c r="I188" i="2"/>
  <c r="H188" i="2"/>
  <c r="G188" i="2"/>
  <c r="F188" i="2"/>
  <c r="E188" i="2"/>
  <c r="D188" i="2"/>
  <c r="C188" i="2"/>
  <c r="B188" i="2"/>
  <c r="I187" i="2"/>
  <c r="H187" i="2"/>
  <c r="G187" i="2"/>
  <c r="F187" i="2"/>
  <c r="E187" i="2"/>
  <c r="D187" i="2"/>
  <c r="C187" i="2"/>
  <c r="B187" i="2"/>
  <c r="I186" i="2"/>
  <c r="H186" i="2"/>
  <c r="G186" i="2"/>
  <c r="F186" i="2"/>
  <c r="E186" i="2"/>
  <c r="D186" i="2"/>
  <c r="C186" i="2"/>
  <c r="B186" i="2"/>
  <c r="I185" i="2"/>
  <c r="H185" i="2"/>
  <c r="G185" i="2"/>
  <c r="F185" i="2"/>
  <c r="E185" i="2"/>
  <c r="D185" i="2"/>
  <c r="C185" i="2"/>
  <c r="B185" i="2"/>
  <c r="I184" i="2"/>
  <c r="H184" i="2"/>
  <c r="G184" i="2"/>
  <c r="F184" i="2"/>
  <c r="E184" i="2"/>
  <c r="D184" i="2"/>
  <c r="C184" i="2"/>
  <c r="B184" i="2"/>
  <c r="I183" i="2"/>
  <c r="H183" i="2"/>
  <c r="G183" i="2"/>
  <c r="F183" i="2"/>
  <c r="E183" i="2"/>
  <c r="D183" i="2"/>
  <c r="C183" i="2"/>
  <c r="B183" i="2"/>
  <c r="I182" i="2"/>
  <c r="H182" i="2"/>
  <c r="G182" i="2"/>
  <c r="F182" i="2"/>
  <c r="D182" i="2"/>
  <c r="C182" i="2"/>
  <c r="B182" i="2"/>
  <c r="I181" i="2"/>
  <c r="H181" i="2"/>
  <c r="G181" i="2"/>
  <c r="F181" i="2"/>
  <c r="E181" i="2"/>
  <c r="D181" i="2"/>
  <c r="C181" i="2"/>
  <c r="B181" i="2"/>
  <c r="I180" i="2"/>
  <c r="H180" i="2"/>
  <c r="G180" i="2"/>
  <c r="F180" i="2"/>
  <c r="E180" i="2"/>
  <c r="D180" i="2"/>
  <c r="C180" i="2"/>
  <c r="B180" i="2"/>
  <c r="I179" i="2"/>
  <c r="H179" i="2"/>
  <c r="G179" i="2"/>
  <c r="F179" i="2"/>
  <c r="E179" i="2"/>
  <c r="D179" i="2"/>
  <c r="C179" i="2"/>
  <c r="B179" i="2"/>
  <c r="I178" i="2"/>
  <c r="H178" i="2"/>
  <c r="G178" i="2"/>
  <c r="F178" i="2"/>
  <c r="E178" i="2"/>
  <c r="D178" i="2"/>
  <c r="C178" i="2"/>
  <c r="B178" i="2"/>
  <c r="I177" i="2"/>
  <c r="H177" i="2"/>
  <c r="G177" i="2"/>
  <c r="F177" i="2"/>
  <c r="E177" i="2"/>
  <c r="D177" i="2"/>
  <c r="C177" i="2"/>
  <c r="B177" i="2"/>
  <c r="I176" i="2"/>
  <c r="H176" i="2"/>
  <c r="G176" i="2"/>
  <c r="F176" i="2"/>
  <c r="E176" i="2"/>
  <c r="D176" i="2"/>
  <c r="C176" i="2"/>
  <c r="B176" i="2"/>
  <c r="I175" i="2"/>
  <c r="H175" i="2"/>
  <c r="G175" i="2"/>
  <c r="F175" i="2"/>
  <c r="E175" i="2"/>
  <c r="D175" i="2"/>
  <c r="C175" i="2"/>
  <c r="B175" i="2"/>
  <c r="I174" i="2"/>
  <c r="H174" i="2"/>
  <c r="G174" i="2"/>
  <c r="F174" i="2"/>
  <c r="E174" i="2"/>
  <c r="D174" i="2"/>
  <c r="C174" i="2"/>
  <c r="B174" i="2"/>
  <c r="I173" i="2"/>
  <c r="H173" i="2"/>
  <c r="G173" i="2"/>
  <c r="F173" i="2"/>
  <c r="E173" i="2"/>
  <c r="D173" i="2"/>
  <c r="C173" i="2"/>
  <c r="B173" i="2"/>
  <c r="I172" i="2"/>
  <c r="H172" i="2"/>
  <c r="G172" i="2"/>
  <c r="F172" i="2"/>
  <c r="E172" i="2"/>
  <c r="D172" i="2"/>
  <c r="C172" i="2"/>
  <c r="B172" i="2"/>
  <c r="I171" i="2"/>
  <c r="H171" i="2"/>
  <c r="G171" i="2"/>
  <c r="F171" i="2"/>
  <c r="E171" i="2"/>
  <c r="D171" i="2"/>
  <c r="C171" i="2"/>
  <c r="B171" i="2"/>
  <c r="I170" i="2"/>
  <c r="H170" i="2"/>
  <c r="G170" i="2"/>
  <c r="F170" i="2"/>
  <c r="E170" i="2"/>
  <c r="D170" i="2"/>
  <c r="C170" i="2"/>
  <c r="B170" i="2"/>
  <c r="I169" i="2"/>
  <c r="H169" i="2"/>
  <c r="G169" i="2"/>
  <c r="F169" i="2"/>
  <c r="E169" i="2"/>
  <c r="D169" i="2"/>
  <c r="C169" i="2"/>
  <c r="B169" i="2"/>
  <c r="I168" i="2"/>
  <c r="H168" i="2"/>
  <c r="G168" i="2"/>
  <c r="F168" i="2"/>
  <c r="E168" i="2"/>
  <c r="D168" i="2"/>
  <c r="C168" i="2"/>
  <c r="B168" i="2"/>
  <c r="I167" i="2"/>
  <c r="H167" i="2"/>
  <c r="G167" i="2"/>
  <c r="F167" i="2"/>
  <c r="E167" i="2"/>
  <c r="D167" i="2"/>
  <c r="C167" i="2"/>
  <c r="B167" i="2"/>
  <c r="I166" i="2"/>
  <c r="H166" i="2"/>
  <c r="G166" i="2"/>
  <c r="F166" i="2"/>
  <c r="E166" i="2"/>
  <c r="D166" i="2"/>
  <c r="C166" i="2"/>
  <c r="B166" i="2"/>
  <c r="I165" i="2"/>
  <c r="H165" i="2"/>
  <c r="G165" i="2"/>
  <c r="F165" i="2"/>
  <c r="E165" i="2"/>
  <c r="D165" i="2"/>
  <c r="C165" i="2"/>
  <c r="B165" i="2"/>
  <c r="I164" i="2"/>
  <c r="H164" i="2"/>
  <c r="G164" i="2"/>
  <c r="F164" i="2"/>
  <c r="E164" i="2"/>
  <c r="D164" i="2"/>
  <c r="C164" i="2"/>
  <c r="B164" i="2"/>
  <c r="I163" i="2"/>
  <c r="H163" i="2"/>
  <c r="G163" i="2"/>
  <c r="F163" i="2"/>
  <c r="E163" i="2"/>
  <c r="D163" i="2"/>
  <c r="C163" i="2"/>
  <c r="B163" i="2"/>
  <c r="I162" i="2"/>
  <c r="H162" i="2"/>
  <c r="G162" i="2"/>
  <c r="F162" i="2"/>
  <c r="E162" i="2"/>
  <c r="D162" i="2"/>
  <c r="C162" i="2"/>
  <c r="B162" i="2"/>
  <c r="I161" i="2"/>
  <c r="H161" i="2"/>
  <c r="G161" i="2"/>
  <c r="F161" i="2"/>
  <c r="E161" i="2"/>
  <c r="D161" i="2"/>
  <c r="C161" i="2"/>
  <c r="B161" i="2"/>
  <c r="I160" i="2"/>
  <c r="H160" i="2"/>
  <c r="G160" i="2"/>
  <c r="F160" i="2"/>
  <c r="E160" i="2"/>
  <c r="D160" i="2"/>
  <c r="C160" i="2"/>
  <c r="B160" i="2"/>
  <c r="I159" i="2"/>
  <c r="H159" i="2"/>
  <c r="G159" i="2"/>
  <c r="F159" i="2"/>
  <c r="E159" i="2"/>
  <c r="D159" i="2"/>
  <c r="C159" i="2"/>
  <c r="B159" i="2"/>
  <c r="I158" i="2"/>
  <c r="H158" i="2"/>
  <c r="G158" i="2"/>
  <c r="F158" i="2"/>
  <c r="E158" i="2"/>
  <c r="D158" i="2"/>
  <c r="C158" i="2"/>
  <c r="B158" i="2"/>
  <c r="I157" i="2"/>
  <c r="H157" i="2"/>
  <c r="G157" i="2"/>
  <c r="F157" i="2"/>
  <c r="E157" i="2"/>
  <c r="D157" i="2"/>
  <c r="C157" i="2"/>
  <c r="B157" i="2"/>
  <c r="I156" i="2"/>
  <c r="H156" i="2"/>
  <c r="G156" i="2"/>
  <c r="F156" i="2"/>
  <c r="E156" i="2"/>
  <c r="D156" i="2"/>
  <c r="C156" i="2"/>
  <c r="B156" i="2"/>
  <c r="I155" i="2"/>
  <c r="H155" i="2"/>
  <c r="G155" i="2"/>
  <c r="F155" i="2"/>
  <c r="E155" i="2"/>
  <c r="D155" i="2"/>
  <c r="C155" i="2"/>
  <c r="B155" i="2"/>
  <c r="I154" i="2"/>
  <c r="H154" i="2"/>
  <c r="G154" i="2"/>
  <c r="F154" i="2"/>
  <c r="E154" i="2"/>
  <c r="D154" i="2"/>
  <c r="C154" i="2"/>
  <c r="B154" i="2"/>
  <c r="I153" i="2"/>
  <c r="H153" i="2"/>
  <c r="G153" i="2"/>
  <c r="F153" i="2"/>
  <c r="E153" i="2"/>
  <c r="D153" i="2"/>
  <c r="C153" i="2"/>
  <c r="B153" i="2"/>
  <c r="I152" i="2"/>
  <c r="H152" i="2"/>
  <c r="G152" i="2"/>
  <c r="F152" i="2"/>
  <c r="E152" i="2"/>
  <c r="D152" i="2"/>
  <c r="C152" i="2"/>
  <c r="B152" i="2"/>
  <c r="I151" i="2"/>
  <c r="H151" i="2"/>
  <c r="G151" i="2"/>
  <c r="F151" i="2"/>
  <c r="E151" i="2"/>
  <c r="D151" i="2"/>
  <c r="C151" i="2"/>
  <c r="B151" i="2"/>
  <c r="I150" i="2"/>
  <c r="H150" i="2"/>
  <c r="G150" i="2"/>
  <c r="F150" i="2"/>
  <c r="E150" i="2"/>
  <c r="D150" i="2"/>
  <c r="C150" i="2"/>
  <c r="B150" i="2"/>
  <c r="I149" i="2"/>
  <c r="H149" i="2"/>
  <c r="G149" i="2"/>
  <c r="F149" i="2"/>
  <c r="E149" i="2"/>
  <c r="D149" i="2"/>
  <c r="C149" i="2"/>
  <c r="B149" i="2"/>
  <c r="I148" i="2"/>
  <c r="H148" i="2"/>
  <c r="G148" i="2"/>
  <c r="F148" i="2"/>
  <c r="E148" i="2"/>
  <c r="D148" i="2"/>
  <c r="C148" i="2"/>
  <c r="B148" i="2"/>
  <c r="I147" i="2"/>
  <c r="H147" i="2"/>
  <c r="G147" i="2"/>
  <c r="F147" i="2"/>
  <c r="E147" i="2"/>
  <c r="D147" i="2"/>
  <c r="C147" i="2"/>
  <c r="B147" i="2"/>
  <c r="I146" i="2"/>
  <c r="H146" i="2"/>
  <c r="G146" i="2"/>
  <c r="F146" i="2"/>
  <c r="E146" i="2"/>
  <c r="D146" i="2"/>
  <c r="C146" i="2"/>
  <c r="B146" i="2"/>
  <c r="I145" i="2"/>
  <c r="H145" i="2"/>
  <c r="G145" i="2"/>
  <c r="F145" i="2"/>
  <c r="E145" i="2"/>
  <c r="D145" i="2"/>
  <c r="C145" i="2"/>
  <c r="B145" i="2"/>
  <c r="I144" i="2"/>
  <c r="H144" i="2"/>
  <c r="G144" i="2"/>
  <c r="F144" i="2"/>
  <c r="E144" i="2"/>
  <c r="D144" i="2"/>
  <c r="C144" i="2"/>
  <c r="B144" i="2"/>
  <c r="I143" i="2"/>
  <c r="H143" i="2"/>
  <c r="G143" i="2"/>
  <c r="F143" i="2"/>
  <c r="E143" i="2"/>
  <c r="D143" i="2"/>
  <c r="C143" i="2"/>
  <c r="B143" i="2"/>
  <c r="I142" i="2"/>
  <c r="H142" i="2"/>
  <c r="G142" i="2"/>
  <c r="F142" i="2"/>
  <c r="E142" i="2"/>
  <c r="D142" i="2"/>
  <c r="C142" i="2"/>
  <c r="B142" i="2"/>
  <c r="I141" i="2"/>
  <c r="H141" i="2"/>
  <c r="G141" i="2"/>
  <c r="F141" i="2"/>
  <c r="E141" i="2"/>
  <c r="D141" i="2"/>
  <c r="C141" i="2"/>
  <c r="B141" i="2"/>
  <c r="I140" i="2"/>
  <c r="H140" i="2"/>
  <c r="G140" i="2"/>
  <c r="F140" i="2"/>
  <c r="E140" i="2"/>
  <c r="D140" i="2"/>
  <c r="C140" i="2"/>
  <c r="B140" i="2"/>
  <c r="I139" i="2"/>
  <c r="H139" i="2"/>
  <c r="G139" i="2"/>
  <c r="F139" i="2"/>
  <c r="E139" i="2"/>
  <c r="D139" i="2"/>
  <c r="C139" i="2"/>
  <c r="B139" i="2"/>
  <c r="I138" i="2"/>
  <c r="H138" i="2"/>
  <c r="G138" i="2"/>
  <c r="F138" i="2"/>
  <c r="E138" i="2"/>
  <c r="D138" i="2"/>
  <c r="C138" i="2"/>
  <c r="B138" i="2"/>
  <c r="I137" i="2"/>
  <c r="H137" i="2"/>
  <c r="G137" i="2"/>
  <c r="F137" i="2"/>
  <c r="E137" i="2"/>
  <c r="D137" i="2"/>
  <c r="C137" i="2"/>
  <c r="B137" i="2"/>
  <c r="I136" i="2"/>
  <c r="H136" i="2"/>
  <c r="G136" i="2"/>
  <c r="F136" i="2"/>
  <c r="E136" i="2"/>
  <c r="D136" i="2"/>
  <c r="C136" i="2"/>
  <c r="B136" i="2"/>
  <c r="I135" i="2"/>
  <c r="H135" i="2"/>
  <c r="G135" i="2"/>
  <c r="F135" i="2"/>
  <c r="E135" i="2"/>
  <c r="D135" i="2"/>
  <c r="C135" i="2"/>
  <c r="B135" i="2"/>
  <c r="I134" i="2"/>
  <c r="H134" i="2"/>
  <c r="G134" i="2"/>
  <c r="F134" i="2"/>
  <c r="E134" i="2"/>
  <c r="D134" i="2"/>
  <c r="C134" i="2"/>
  <c r="B134" i="2"/>
  <c r="I133" i="2"/>
  <c r="H133" i="2"/>
  <c r="G133" i="2"/>
  <c r="F133" i="2"/>
  <c r="E133" i="2"/>
  <c r="D133" i="2"/>
  <c r="C133" i="2"/>
  <c r="B133" i="2"/>
  <c r="I132" i="2"/>
  <c r="H132" i="2"/>
  <c r="G132" i="2"/>
  <c r="F132" i="2"/>
  <c r="E132" i="2"/>
  <c r="D132" i="2"/>
  <c r="C132" i="2"/>
  <c r="B132" i="2"/>
  <c r="I131" i="2"/>
  <c r="H131" i="2"/>
  <c r="G131" i="2"/>
  <c r="F131" i="2"/>
  <c r="E131" i="2"/>
  <c r="D131" i="2"/>
  <c r="C131" i="2"/>
  <c r="B131" i="2"/>
  <c r="I130" i="2"/>
  <c r="H130" i="2"/>
  <c r="G130" i="2"/>
  <c r="F130" i="2"/>
  <c r="E130" i="2"/>
  <c r="D130" i="2"/>
  <c r="C130" i="2"/>
  <c r="B130" i="2"/>
  <c r="I129" i="2"/>
  <c r="H129" i="2"/>
  <c r="G129" i="2"/>
  <c r="F129" i="2"/>
  <c r="E129" i="2"/>
  <c r="D129" i="2"/>
  <c r="C129" i="2"/>
  <c r="B129" i="2"/>
  <c r="I128" i="2"/>
  <c r="H128" i="2"/>
  <c r="G128" i="2"/>
  <c r="F128" i="2"/>
  <c r="E128" i="2"/>
  <c r="D128" i="2"/>
  <c r="C128" i="2"/>
  <c r="B128" i="2"/>
  <c r="I127" i="2"/>
  <c r="H127" i="2"/>
  <c r="G127" i="2"/>
  <c r="F127" i="2"/>
  <c r="E127" i="2"/>
  <c r="D127" i="2"/>
  <c r="C127" i="2"/>
  <c r="B127" i="2"/>
  <c r="I126" i="2"/>
  <c r="H126" i="2"/>
  <c r="G126" i="2"/>
  <c r="F126" i="2"/>
  <c r="E126" i="2"/>
  <c r="D126" i="2"/>
  <c r="C126" i="2"/>
  <c r="B126" i="2"/>
  <c r="I125" i="2"/>
  <c r="H125" i="2"/>
  <c r="G125" i="2"/>
  <c r="F125" i="2"/>
  <c r="E125" i="2"/>
  <c r="D125" i="2"/>
  <c r="C125" i="2"/>
  <c r="B125" i="2"/>
  <c r="I124" i="2"/>
  <c r="H124" i="2"/>
  <c r="G124" i="2"/>
  <c r="F124" i="2"/>
  <c r="E124" i="2"/>
  <c r="D124" i="2"/>
  <c r="C124" i="2"/>
  <c r="B124" i="2"/>
  <c r="I123" i="2"/>
  <c r="H123" i="2"/>
  <c r="G123" i="2"/>
  <c r="F123" i="2"/>
  <c r="E123" i="2"/>
  <c r="D123" i="2"/>
  <c r="C123" i="2"/>
  <c r="B123" i="2"/>
  <c r="I122" i="2"/>
  <c r="H122" i="2"/>
  <c r="G122" i="2"/>
  <c r="F122" i="2"/>
  <c r="E122" i="2"/>
  <c r="D122" i="2"/>
  <c r="C122" i="2"/>
  <c r="B122" i="2"/>
  <c r="I121" i="2"/>
  <c r="H121" i="2"/>
  <c r="G121" i="2"/>
  <c r="F121" i="2"/>
  <c r="E121" i="2"/>
  <c r="D121" i="2"/>
  <c r="C121" i="2"/>
  <c r="B121" i="2"/>
  <c r="I120" i="2"/>
  <c r="H120" i="2"/>
  <c r="G120" i="2"/>
  <c r="F120" i="2"/>
  <c r="E120" i="2"/>
  <c r="D120" i="2"/>
  <c r="C120" i="2"/>
  <c r="B120" i="2"/>
  <c r="I119" i="2"/>
  <c r="H119" i="2"/>
  <c r="G119" i="2"/>
  <c r="F119" i="2"/>
  <c r="E119" i="2"/>
  <c r="D119" i="2"/>
  <c r="C119" i="2"/>
  <c r="B119" i="2"/>
  <c r="I118" i="2"/>
  <c r="H118" i="2"/>
  <c r="G118" i="2"/>
  <c r="F118" i="2"/>
  <c r="E118" i="2"/>
  <c r="D118" i="2"/>
  <c r="C118" i="2"/>
  <c r="B118" i="2"/>
  <c r="I117" i="2"/>
  <c r="H117" i="2"/>
  <c r="G117" i="2"/>
  <c r="F117" i="2"/>
  <c r="E117" i="2"/>
  <c r="D117" i="2"/>
  <c r="C117" i="2"/>
  <c r="B117" i="2"/>
  <c r="I116" i="2"/>
  <c r="H116" i="2"/>
  <c r="G116" i="2"/>
  <c r="F116" i="2"/>
  <c r="E116" i="2"/>
  <c r="D116" i="2"/>
  <c r="C116" i="2"/>
  <c r="B116" i="2"/>
  <c r="I115" i="2"/>
  <c r="H115" i="2"/>
  <c r="G115" i="2"/>
  <c r="F115" i="2"/>
  <c r="E115" i="2"/>
  <c r="D115" i="2"/>
  <c r="C115" i="2"/>
  <c r="B115" i="2"/>
  <c r="I114" i="2"/>
  <c r="H114" i="2"/>
  <c r="G114" i="2"/>
  <c r="F114" i="2"/>
  <c r="E114" i="2"/>
  <c r="D114" i="2"/>
  <c r="C114" i="2"/>
  <c r="B114" i="2"/>
  <c r="I113" i="2"/>
  <c r="H113" i="2"/>
  <c r="G113" i="2"/>
  <c r="F113" i="2"/>
  <c r="E113" i="2"/>
  <c r="D113" i="2"/>
  <c r="C113" i="2"/>
  <c r="B113" i="2"/>
  <c r="I112" i="2"/>
  <c r="H112" i="2"/>
  <c r="G112" i="2"/>
  <c r="F112" i="2"/>
  <c r="E112" i="2"/>
  <c r="D112" i="2"/>
  <c r="C112" i="2"/>
  <c r="B112" i="2"/>
  <c r="I111" i="2"/>
  <c r="H111" i="2"/>
  <c r="G111" i="2"/>
  <c r="F111" i="2"/>
  <c r="E111" i="2"/>
  <c r="D111" i="2"/>
  <c r="C111" i="2"/>
  <c r="B111" i="2"/>
  <c r="I110" i="2"/>
  <c r="H110" i="2"/>
  <c r="G110" i="2"/>
  <c r="F110" i="2"/>
  <c r="E110" i="2"/>
  <c r="D110" i="2"/>
  <c r="C110" i="2"/>
  <c r="B110" i="2"/>
  <c r="I109" i="2"/>
  <c r="H109" i="2"/>
  <c r="G109" i="2"/>
  <c r="F109" i="2"/>
  <c r="E109" i="2"/>
  <c r="D109" i="2"/>
  <c r="C109" i="2"/>
  <c r="B109" i="2"/>
  <c r="I108" i="2"/>
  <c r="H108" i="2"/>
  <c r="G108" i="2"/>
  <c r="F108" i="2"/>
  <c r="E108" i="2"/>
  <c r="D108" i="2"/>
  <c r="C108" i="2"/>
  <c r="B108" i="2"/>
  <c r="I107" i="2"/>
  <c r="H107" i="2"/>
  <c r="G107" i="2"/>
  <c r="F107" i="2"/>
  <c r="E107" i="2"/>
  <c r="D107" i="2"/>
  <c r="C107" i="2"/>
  <c r="B107" i="2"/>
  <c r="I106" i="2"/>
  <c r="H106" i="2"/>
  <c r="G106" i="2"/>
  <c r="F106" i="2"/>
  <c r="E106" i="2"/>
  <c r="D106" i="2"/>
  <c r="C106" i="2"/>
  <c r="B106" i="2"/>
  <c r="I105" i="2"/>
  <c r="H105" i="2"/>
  <c r="G105" i="2"/>
  <c r="F105" i="2"/>
  <c r="E105" i="2"/>
  <c r="D105" i="2"/>
  <c r="C105" i="2"/>
  <c r="B105" i="2"/>
  <c r="I104" i="2"/>
  <c r="H104" i="2"/>
  <c r="G104" i="2"/>
  <c r="F104" i="2"/>
  <c r="E104" i="2"/>
  <c r="D104" i="2"/>
  <c r="C104" i="2"/>
  <c r="B104" i="2"/>
  <c r="I103" i="2"/>
  <c r="H103" i="2"/>
  <c r="G103" i="2"/>
  <c r="F103" i="2"/>
  <c r="E103" i="2"/>
  <c r="D103" i="2"/>
  <c r="C103" i="2"/>
  <c r="B103" i="2"/>
  <c r="I102" i="2"/>
  <c r="H102" i="2"/>
  <c r="G102" i="2"/>
  <c r="F102" i="2"/>
  <c r="E102" i="2"/>
  <c r="D102" i="2"/>
  <c r="C102" i="2"/>
  <c r="B102" i="2"/>
  <c r="I101" i="2"/>
  <c r="H101" i="2"/>
  <c r="G101" i="2"/>
  <c r="F101" i="2"/>
  <c r="E101" i="2"/>
  <c r="D101" i="2"/>
  <c r="C101" i="2"/>
  <c r="B101" i="2"/>
  <c r="I100" i="2"/>
  <c r="H100" i="2"/>
  <c r="G100" i="2"/>
  <c r="F100" i="2"/>
  <c r="E100" i="2"/>
  <c r="D100" i="2"/>
  <c r="C100" i="2"/>
  <c r="B100" i="2"/>
  <c r="I99" i="2"/>
  <c r="H99" i="2"/>
  <c r="G99" i="2"/>
  <c r="F99" i="2"/>
  <c r="E99" i="2"/>
  <c r="D99" i="2"/>
  <c r="C99" i="2"/>
  <c r="B99" i="2"/>
  <c r="I98" i="2"/>
  <c r="H98" i="2"/>
  <c r="G98" i="2"/>
  <c r="F98" i="2"/>
  <c r="E98" i="2"/>
  <c r="D98" i="2"/>
  <c r="C98" i="2"/>
  <c r="B98" i="2"/>
  <c r="I97" i="2"/>
  <c r="H97" i="2"/>
  <c r="G97" i="2"/>
  <c r="F97" i="2"/>
  <c r="E97" i="2"/>
  <c r="D97" i="2"/>
  <c r="C97" i="2"/>
  <c r="B97" i="2"/>
  <c r="I96" i="2"/>
  <c r="H96" i="2"/>
  <c r="G96" i="2"/>
  <c r="F96" i="2"/>
  <c r="E96" i="2"/>
  <c r="D96" i="2"/>
  <c r="C96" i="2"/>
  <c r="B96" i="2"/>
  <c r="I95" i="2"/>
  <c r="H95" i="2"/>
  <c r="G95" i="2"/>
  <c r="F95" i="2"/>
  <c r="E95" i="2"/>
  <c r="D95" i="2"/>
  <c r="C95" i="2"/>
  <c r="B95" i="2"/>
  <c r="I94" i="2"/>
  <c r="H94" i="2"/>
  <c r="G94" i="2"/>
  <c r="F94" i="2"/>
  <c r="E94" i="2"/>
  <c r="D94" i="2"/>
  <c r="C94" i="2"/>
  <c r="B94" i="2"/>
  <c r="I93" i="2"/>
  <c r="H93" i="2"/>
  <c r="G93" i="2"/>
  <c r="F93" i="2"/>
  <c r="E93" i="2"/>
  <c r="D93" i="2"/>
  <c r="C93" i="2"/>
  <c r="B93" i="2"/>
  <c r="I92" i="2"/>
  <c r="H92" i="2"/>
  <c r="G92" i="2"/>
  <c r="F92" i="2"/>
  <c r="E92" i="2"/>
  <c r="D92" i="2"/>
  <c r="C92" i="2"/>
  <c r="B92" i="2"/>
  <c r="I91" i="2"/>
  <c r="H91" i="2"/>
  <c r="G91" i="2"/>
  <c r="F91" i="2"/>
  <c r="E91" i="2"/>
  <c r="D91" i="2"/>
  <c r="C91" i="2"/>
  <c r="B91" i="2"/>
  <c r="I90" i="2"/>
  <c r="H90" i="2"/>
  <c r="G90" i="2"/>
  <c r="F90" i="2"/>
  <c r="E90" i="2"/>
  <c r="D90" i="2"/>
  <c r="C90" i="2"/>
  <c r="B90" i="2"/>
  <c r="I89" i="2"/>
  <c r="H89" i="2"/>
  <c r="G89" i="2"/>
  <c r="F89" i="2"/>
  <c r="E89" i="2"/>
  <c r="D89" i="2"/>
  <c r="C89" i="2"/>
  <c r="B89" i="2"/>
  <c r="I88" i="2"/>
  <c r="H88" i="2"/>
  <c r="G88" i="2"/>
  <c r="F88" i="2"/>
  <c r="E88" i="2"/>
  <c r="D88" i="2"/>
  <c r="C88" i="2"/>
  <c r="B88" i="2"/>
  <c r="I87" i="2"/>
  <c r="H87" i="2"/>
  <c r="G87" i="2"/>
  <c r="F87" i="2"/>
  <c r="E87" i="2"/>
  <c r="D87" i="2"/>
  <c r="C87" i="2"/>
  <c r="B87" i="2"/>
  <c r="I86" i="2"/>
  <c r="H86" i="2"/>
  <c r="G86" i="2"/>
  <c r="F86" i="2"/>
  <c r="E86" i="2"/>
  <c r="D86" i="2"/>
  <c r="C86" i="2"/>
  <c r="B86" i="2"/>
  <c r="I85" i="2"/>
  <c r="H85" i="2"/>
  <c r="G85" i="2"/>
  <c r="F85" i="2"/>
  <c r="E85" i="2"/>
  <c r="D85" i="2"/>
  <c r="C85" i="2"/>
  <c r="B85" i="2"/>
  <c r="I84" i="2"/>
  <c r="H84" i="2"/>
  <c r="G84" i="2"/>
  <c r="F84" i="2"/>
  <c r="E84" i="2"/>
  <c r="D84" i="2"/>
  <c r="C84" i="2"/>
  <c r="B84" i="2"/>
  <c r="I83" i="2"/>
  <c r="H83" i="2"/>
  <c r="G83" i="2"/>
  <c r="F83" i="2"/>
  <c r="E83" i="2"/>
  <c r="D83" i="2"/>
  <c r="C83" i="2"/>
  <c r="B83" i="2"/>
  <c r="I82" i="2"/>
  <c r="H82" i="2"/>
  <c r="G82" i="2"/>
  <c r="F82" i="2"/>
  <c r="E82" i="2"/>
  <c r="D82" i="2"/>
  <c r="C82" i="2"/>
  <c r="B82" i="2"/>
  <c r="I81" i="2"/>
  <c r="H81" i="2"/>
  <c r="G81" i="2"/>
  <c r="F81" i="2"/>
  <c r="E81" i="2"/>
  <c r="D81" i="2"/>
  <c r="C81" i="2"/>
  <c r="B81" i="2"/>
  <c r="I80" i="2"/>
  <c r="H80" i="2"/>
  <c r="G80" i="2"/>
  <c r="F80" i="2"/>
  <c r="E80" i="2"/>
  <c r="D80" i="2"/>
  <c r="C80" i="2"/>
  <c r="B80" i="2"/>
  <c r="I79" i="2"/>
  <c r="H79" i="2"/>
  <c r="G79" i="2"/>
  <c r="F79" i="2"/>
  <c r="E79" i="2"/>
  <c r="D79" i="2"/>
  <c r="C79" i="2"/>
  <c r="B79" i="2"/>
  <c r="I78" i="2"/>
  <c r="H78" i="2"/>
  <c r="G78" i="2"/>
  <c r="F78" i="2"/>
  <c r="E78" i="2"/>
  <c r="D78" i="2"/>
  <c r="C78" i="2"/>
  <c r="B78" i="2"/>
  <c r="I77" i="2"/>
  <c r="H77" i="2"/>
  <c r="G77" i="2"/>
  <c r="F77" i="2"/>
  <c r="E77" i="2"/>
  <c r="D77" i="2"/>
  <c r="C77" i="2"/>
  <c r="B77" i="2"/>
  <c r="I76" i="2"/>
  <c r="H76" i="2"/>
  <c r="G76" i="2"/>
  <c r="F76" i="2"/>
  <c r="E76" i="2"/>
  <c r="D76" i="2"/>
  <c r="C76" i="2"/>
  <c r="B76" i="2"/>
  <c r="I75" i="2"/>
  <c r="H75" i="2"/>
  <c r="G75" i="2"/>
  <c r="F75" i="2"/>
  <c r="E75" i="2"/>
  <c r="D75" i="2"/>
  <c r="C75" i="2"/>
  <c r="B75" i="2"/>
  <c r="I74" i="2"/>
  <c r="H74" i="2"/>
  <c r="G74" i="2"/>
  <c r="F74" i="2"/>
  <c r="E74" i="2"/>
  <c r="D74" i="2"/>
  <c r="C74" i="2"/>
  <c r="B74" i="2"/>
  <c r="I73" i="2"/>
  <c r="H73" i="2"/>
  <c r="G73" i="2"/>
  <c r="F73" i="2"/>
  <c r="E73" i="2"/>
  <c r="D73" i="2"/>
  <c r="C73" i="2"/>
  <c r="B73" i="2"/>
  <c r="I72" i="2"/>
  <c r="H72" i="2"/>
  <c r="G72" i="2"/>
  <c r="F72" i="2"/>
  <c r="E72" i="2"/>
  <c r="D72" i="2"/>
  <c r="C72" i="2"/>
  <c r="B72" i="2"/>
  <c r="I71" i="2"/>
  <c r="H71" i="2"/>
  <c r="G71" i="2"/>
  <c r="F71" i="2"/>
  <c r="E71" i="2"/>
  <c r="D71" i="2"/>
  <c r="C71" i="2"/>
  <c r="B71" i="2"/>
  <c r="I70" i="2"/>
  <c r="H70" i="2"/>
  <c r="G70" i="2"/>
  <c r="F70" i="2"/>
  <c r="E70" i="2"/>
  <c r="D70" i="2"/>
  <c r="C70" i="2"/>
  <c r="B70" i="2"/>
  <c r="I69" i="2"/>
  <c r="H69" i="2"/>
  <c r="G69" i="2"/>
  <c r="F69" i="2"/>
  <c r="E69" i="2"/>
  <c r="D69" i="2"/>
  <c r="C69" i="2"/>
  <c r="B69" i="2"/>
  <c r="I68" i="2"/>
  <c r="H68" i="2"/>
  <c r="G68" i="2"/>
  <c r="F68" i="2"/>
  <c r="E68" i="2"/>
  <c r="D68" i="2"/>
  <c r="C68" i="2"/>
  <c r="B68" i="2"/>
  <c r="I67" i="2"/>
  <c r="H67" i="2"/>
  <c r="G67" i="2"/>
  <c r="F67" i="2"/>
  <c r="E67" i="2"/>
  <c r="D67" i="2"/>
  <c r="C67" i="2"/>
  <c r="B67" i="2"/>
  <c r="I66" i="2"/>
  <c r="H66" i="2"/>
  <c r="G66" i="2"/>
  <c r="F66" i="2"/>
  <c r="E66" i="2"/>
  <c r="D66" i="2"/>
  <c r="C66" i="2"/>
  <c r="B66" i="2"/>
  <c r="I65" i="2"/>
  <c r="H65" i="2"/>
  <c r="G65" i="2"/>
  <c r="F65" i="2"/>
  <c r="E65" i="2"/>
  <c r="D65" i="2"/>
  <c r="C65" i="2"/>
  <c r="B65" i="2"/>
  <c r="I64" i="2"/>
  <c r="H64" i="2"/>
  <c r="G64" i="2"/>
  <c r="F64" i="2"/>
  <c r="E64" i="2"/>
  <c r="D64" i="2"/>
  <c r="C64" i="2"/>
  <c r="B64" i="2"/>
  <c r="I63" i="2"/>
  <c r="H63" i="2"/>
  <c r="G63" i="2"/>
  <c r="F63" i="2"/>
  <c r="E63" i="2"/>
  <c r="D63" i="2"/>
  <c r="C63" i="2"/>
  <c r="B63" i="2"/>
  <c r="I62" i="2"/>
  <c r="H62" i="2"/>
  <c r="G62" i="2"/>
  <c r="F62" i="2"/>
  <c r="E62" i="2"/>
  <c r="D62" i="2"/>
  <c r="C62" i="2"/>
  <c r="B62" i="2"/>
  <c r="I61" i="2"/>
  <c r="H61" i="2"/>
  <c r="G61" i="2"/>
  <c r="F61" i="2"/>
  <c r="E61" i="2"/>
  <c r="D61" i="2"/>
  <c r="C61" i="2"/>
  <c r="B61" i="2"/>
  <c r="I60" i="2"/>
  <c r="H60" i="2"/>
  <c r="G60" i="2"/>
  <c r="F60" i="2"/>
  <c r="E60" i="2"/>
  <c r="D60" i="2"/>
  <c r="C60" i="2"/>
  <c r="B60" i="2"/>
  <c r="I59" i="2"/>
  <c r="H59" i="2"/>
  <c r="G59" i="2"/>
  <c r="F59" i="2"/>
  <c r="E59" i="2"/>
  <c r="D59" i="2"/>
  <c r="C59" i="2"/>
  <c r="B59" i="2"/>
  <c r="I58" i="2"/>
  <c r="H58" i="2"/>
  <c r="G58" i="2"/>
  <c r="F58" i="2"/>
  <c r="E58" i="2"/>
  <c r="D58" i="2"/>
  <c r="C58" i="2"/>
  <c r="B58" i="2"/>
  <c r="I57" i="2"/>
  <c r="H57" i="2"/>
  <c r="G57" i="2"/>
  <c r="F57" i="2"/>
  <c r="E57" i="2"/>
  <c r="D57" i="2"/>
  <c r="C57" i="2"/>
  <c r="B57" i="2"/>
  <c r="I56" i="2"/>
  <c r="H56" i="2"/>
  <c r="G56" i="2"/>
  <c r="F56" i="2"/>
  <c r="E56" i="2"/>
  <c r="D56" i="2"/>
  <c r="C56" i="2"/>
  <c r="B56" i="2"/>
  <c r="I55" i="2"/>
  <c r="H55" i="2"/>
  <c r="G55" i="2"/>
  <c r="F55" i="2"/>
  <c r="E55" i="2"/>
  <c r="D55" i="2"/>
  <c r="C55" i="2"/>
  <c r="B55" i="2"/>
  <c r="I54" i="2"/>
  <c r="H54" i="2"/>
  <c r="G54" i="2"/>
  <c r="F54" i="2"/>
  <c r="E54" i="2"/>
  <c r="D54" i="2"/>
  <c r="C54" i="2"/>
  <c r="B54" i="2"/>
  <c r="I53" i="2"/>
  <c r="H53" i="2"/>
  <c r="G53" i="2"/>
  <c r="F53" i="2"/>
  <c r="E53" i="2"/>
  <c r="D53" i="2"/>
  <c r="C53" i="2"/>
  <c r="B53" i="2"/>
  <c r="I52" i="2"/>
  <c r="H52" i="2"/>
  <c r="G52" i="2"/>
  <c r="F52" i="2"/>
  <c r="E52" i="2"/>
  <c r="D52" i="2"/>
  <c r="C52" i="2"/>
  <c r="B52" i="2"/>
  <c r="I51" i="2"/>
  <c r="H51" i="2"/>
  <c r="G51" i="2"/>
  <c r="F51" i="2"/>
  <c r="E51" i="2"/>
  <c r="D51" i="2"/>
  <c r="C51" i="2"/>
  <c r="B51" i="2"/>
  <c r="I50" i="2"/>
  <c r="H50" i="2"/>
  <c r="G50" i="2"/>
  <c r="F50" i="2"/>
  <c r="E50" i="2"/>
  <c r="D50" i="2"/>
  <c r="C50" i="2"/>
  <c r="B50" i="2"/>
  <c r="I49" i="2"/>
  <c r="H49" i="2"/>
  <c r="G49" i="2"/>
  <c r="F49" i="2"/>
  <c r="E49" i="2"/>
  <c r="D49" i="2"/>
  <c r="C49" i="2"/>
  <c r="B49" i="2"/>
  <c r="I48" i="2"/>
  <c r="H48" i="2"/>
  <c r="G48" i="2"/>
  <c r="F48" i="2"/>
  <c r="E48" i="2"/>
  <c r="D48" i="2"/>
  <c r="C48" i="2"/>
  <c r="B48" i="2"/>
  <c r="I47" i="2"/>
  <c r="H47" i="2"/>
  <c r="G47" i="2"/>
  <c r="F47" i="2"/>
  <c r="E47" i="2"/>
  <c r="D47" i="2"/>
  <c r="C47" i="2"/>
  <c r="B47" i="2"/>
  <c r="I46" i="2"/>
  <c r="H46" i="2"/>
  <c r="G46" i="2"/>
  <c r="F46" i="2"/>
  <c r="E46" i="2"/>
  <c r="D46" i="2"/>
  <c r="C46" i="2"/>
  <c r="B46" i="2"/>
  <c r="I45" i="2"/>
  <c r="H45" i="2"/>
  <c r="G45" i="2"/>
  <c r="F45" i="2"/>
  <c r="E45" i="2"/>
  <c r="D45" i="2"/>
  <c r="C45" i="2"/>
  <c r="B45" i="2"/>
  <c r="I44" i="2"/>
  <c r="H44" i="2"/>
  <c r="G44" i="2"/>
  <c r="F44" i="2"/>
  <c r="E44" i="2"/>
  <c r="D44" i="2"/>
  <c r="C44" i="2"/>
  <c r="B44" i="2"/>
  <c r="I43" i="2"/>
  <c r="H43" i="2"/>
  <c r="G43" i="2"/>
  <c r="F43" i="2"/>
  <c r="E43" i="2"/>
  <c r="D43" i="2"/>
  <c r="C43" i="2"/>
  <c r="B43" i="2"/>
  <c r="I42" i="2"/>
  <c r="H42" i="2"/>
  <c r="G42" i="2"/>
  <c r="F42" i="2"/>
  <c r="E42" i="2"/>
  <c r="D42" i="2"/>
  <c r="C42" i="2"/>
  <c r="B42" i="2"/>
  <c r="I41" i="2"/>
  <c r="H41" i="2"/>
  <c r="G41" i="2"/>
  <c r="F41" i="2"/>
  <c r="E41" i="2"/>
  <c r="D41" i="2"/>
  <c r="C41" i="2"/>
  <c r="B41" i="2"/>
  <c r="I40" i="2"/>
  <c r="H40" i="2"/>
  <c r="G40" i="2"/>
  <c r="F40" i="2"/>
  <c r="E40" i="2"/>
  <c r="D40" i="2"/>
  <c r="C40" i="2"/>
  <c r="B40" i="2"/>
  <c r="I39" i="2"/>
  <c r="H39" i="2"/>
  <c r="G39" i="2"/>
  <c r="F39" i="2"/>
  <c r="E39" i="2"/>
  <c r="D39" i="2"/>
  <c r="C39" i="2"/>
  <c r="B39" i="2"/>
  <c r="I38" i="2"/>
  <c r="H38" i="2"/>
  <c r="G38" i="2"/>
  <c r="F38" i="2"/>
  <c r="E38" i="2"/>
  <c r="D38" i="2"/>
  <c r="C38" i="2"/>
  <c r="B38" i="2"/>
  <c r="I37" i="2"/>
  <c r="H37" i="2"/>
  <c r="G37" i="2"/>
  <c r="F37" i="2"/>
  <c r="E37" i="2"/>
  <c r="D37" i="2"/>
  <c r="C37" i="2"/>
  <c r="B37" i="2"/>
  <c r="I36" i="2"/>
  <c r="H36" i="2"/>
  <c r="G36" i="2"/>
  <c r="F36" i="2"/>
  <c r="E36" i="2"/>
  <c r="D36" i="2"/>
  <c r="C36" i="2"/>
  <c r="B36" i="2"/>
  <c r="I35" i="2"/>
  <c r="H35" i="2"/>
  <c r="G35" i="2"/>
  <c r="F35" i="2"/>
  <c r="E35" i="2"/>
  <c r="D35" i="2"/>
  <c r="C35" i="2"/>
  <c r="B35" i="2"/>
  <c r="I34" i="2"/>
  <c r="H34" i="2"/>
  <c r="G34" i="2"/>
  <c r="F34" i="2"/>
  <c r="E34" i="2"/>
  <c r="D34" i="2"/>
  <c r="C34" i="2"/>
  <c r="B34" i="2"/>
  <c r="I33" i="2"/>
  <c r="H33" i="2"/>
  <c r="G33" i="2"/>
  <c r="F33" i="2"/>
  <c r="E33" i="2"/>
  <c r="D33" i="2"/>
  <c r="C33" i="2"/>
  <c r="B33" i="2"/>
  <c r="I32" i="2"/>
  <c r="H32" i="2"/>
  <c r="G32" i="2"/>
  <c r="F32" i="2"/>
  <c r="E32" i="2"/>
  <c r="D32" i="2"/>
  <c r="C32" i="2"/>
  <c r="B32" i="2"/>
  <c r="I31" i="2"/>
  <c r="H31" i="2"/>
  <c r="G31" i="2"/>
  <c r="F31" i="2"/>
  <c r="E31" i="2"/>
  <c r="D31" i="2"/>
  <c r="C31" i="2"/>
  <c r="B31" i="2"/>
  <c r="I30" i="2"/>
  <c r="H30" i="2"/>
  <c r="G30" i="2"/>
  <c r="F30" i="2"/>
  <c r="E30" i="2"/>
  <c r="D30" i="2"/>
  <c r="C30" i="2"/>
  <c r="B30" i="2"/>
  <c r="I29" i="2"/>
  <c r="H29" i="2"/>
  <c r="G29" i="2"/>
  <c r="F29" i="2"/>
  <c r="E29" i="2"/>
  <c r="D29" i="2"/>
  <c r="C29" i="2"/>
  <c r="B29" i="2"/>
  <c r="I28" i="2"/>
  <c r="H28" i="2"/>
  <c r="G28" i="2"/>
  <c r="F28" i="2"/>
  <c r="E28" i="2"/>
  <c r="D28" i="2"/>
  <c r="C28" i="2"/>
  <c r="B28" i="2"/>
  <c r="I27" i="2"/>
  <c r="H27" i="2"/>
  <c r="G27" i="2"/>
  <c r="F27" i="2"/>
  <c r="E27" i="2"/>
  <c r="D27" i="2"/>
  <c r="C27" i="2"/>
  <c r="B27" i="2"/>
  <c r="I26" i="2"/>
  <c r="H26" i="2"/>
  <c r="G26" i="2"/>
  <c r="F26" i="2"/>
  <c r="E26" i="2"/>
  <c r="D26" i="2"/>
  <c r="C26" i="2"/>
  <c r="B26" i="2"/>
  <c r="I25" i="2"/>
  <c r="H25" i="2"/>
  <c r="G25" i="2"/>
  <c r="F25" i="2"/>
  <c r="E25" i="2"/>
  <c r="D25" i="2"/>
  <c r="C25" i="2"/>
  <c r="B25" i="2"/>
  <c r="I24" i="2"/>
  <c r="H24" i="2"/>
  <c r="G24" i="2"/>
  <c r="F24" i="2"/>
  <c r="E24" i="2"/>
  <c r="D24" i="2"/>
  <c r="C24" i="2"/>
  <c r="B24" i="2"/>
  <c r="I23" i="2"/>
  <c r="H23" i="2"/>
  <c r="G23" i="2"/>
  <c r="F23" i="2"/>
  <c r="E23" i="2"/>
  <c r="D23" i="2"/>
  <c r="C23" i="2"/>
  <c r="B23" i="2"/>
  <c r="I22" i="2"/>
  <c r="H22" i="2"/>
  <c r="G22" i="2"/>
  <c r="F22" i="2"/>
  <c r="E22" i="2"/>
  <c r="D22" i="2"/>
  <c r="C22" i="2"/>
  <c r="B22" i="2"/>
  <c r="I21" i="2"/>
  <c r="H21" i="2"/>
  <c r="G21" i="2"/>
  <c r="F21" i="2"/>
  <c r="E21" i="2"/>
  <c r="D21" i="2"/>
  <c r="C21" i="2"/>
  <c r="B21" i="2"/>
  <c r="I20" i="2"/>
  <c r="H20" i="2"/>
  <c r="G20" i="2"/>
  <c r="F20" i="2"/>
  <c r="E20" i="2"/>
  <c r="D20" i="2"/>
  <c r="C20" i="2"/>
  <c r="B20" i="2"/>
  <c r="I19" i="2"/>
  <c r="H19" i="2"/>
  <c r="G19" i="2"/>
  <c r="F19" i="2"/>
  <c r="E19" i="2"/>
  <c r="D19" i="2"/>
  <c r="C19" i="2"/>
  <c r="B19" i="2"/>
  <c r="I18" i="2"/>
  <c r="H18" i="2"/>
  <c r="G18" i="2"/>
  <c r="F18" i="2"/>
  <c r="E18" i="2"/>
  <c r="D18" i="2"/>
  <c r="C18" i="2"/>
  <c r="B18" i="2"/>
  <c r="I17" i="2"/>
  <c r="H17" i="2"/>
  <c r="G17" i="2"/>
  <c r="F17" i="2"/>
  <c r="E17" i="2"/>
  <c r="D17" i="2"/>
  <c r="C17" i="2"/>
  <c r="B17" i="2"/>
  <c r="I16" i="2"/>
  <c r="H16" i="2"/>
  <c r="G16" i="2"/>
  <c r="F16" i="2"/>
  <c r="E16" i="2"/>
  <c r="D16" i="2"/>
  <c r="C16" i="2"/>
  <c r="B16" i="2"/>
  <c r="I15" i="2"/>
  <c r="H15" i="2"/>
  <c r="G15" i="2"/>
  <c r="F15" i="2"/>
  <c r="E15" i="2"/>
  <c r="D15" i="2"/>
  <c r="C15" i="2"/>
  <c r="B15" i="2"/>
  <c r="I14" i="2"/>
  <c r="H14" i="2"/>
  <c r="G14" i="2"/>
  <c r="F14" i="2"/>
  <c r="E14" i="2"/>
  <c r="D14" i="2"/>
  <c r="C14" i="2"/>
  <c r="B14" i="2"/>
  <c r="I13" i="2"/>
  <c r="H13" i="2"/>
  <c r="G13" i="2"/>
  <c r="F13" i="2"/>
  <c r="E13" i="2"/>
  <c r="D13" i="2"/>
  <c r="C13" i="2"/>
  <c r="B13" i="2"/>
  <c r="I12" i="2"/>
  <c r="H12" i="2"/>
  <c r="G12" i="2"/>
  <c r="F12" i="2"/>
  <c r="E12" i="2"/>
  <c r="D12" i="2"/>
  <c r="C12" i="2"/>
  <c r="B12" i="2"/>
  <c r="I11" i="2"/>
  <c r="H11" i="2"/>
  <c r="G11" i="2"/>
  <c r="F11" i="2"/>
  <c r="E11" i="2"/>
  <c r="D11" i="2"/>
  <c r="C11" i="2"/>
  <c r="B11" i="2"/>
  <c r="I10" i="2"/>
  <c r="H10" i="2"/>
  <c r="G10" i="2"/>
  <c r="F10" i="2"/>
  <c r="E10" i="2"/>
  <c r="D10" i="2"/>
  <c r="C10" i="2"/>
  <c r="B10" i="2"/>
  <c r="I9" i="2"/>
  <c r="H9" i="2"/>
  <c r="G9" i="2"/>
  <c r="F9" i="2"/>
  <c r="E9" i="2"/>
  <c r="D9" i="2"/>
  <c r="C9" i="2"/>
  <c r="B9" i="2"/>
  <c r="I8" i="2"/>
  <c r="H8" i="2"/>
  <c r="G8" i="2"/>
  <c r="F8" i="2"/>
  <c r="E8" i="2"/>
  <c r="D8" i="2"/>
  <c r="C8" i="2"/>
  <c r="B8" i="2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</calcChain>
</file>

<file path=xl/sharedStrings.xml><?xml version="1.0" encoding="utf-8"?>
<sst xmlns="http://schemas.openxmlformats.org/spreadsheetml/2006/main" count="1408" uniqueCount="835">
  <si>
    <t>NOMBRE COMERCIAL</t>
  </si>
  <si>
    <t>PRESENTACIÓN</t>
  </si>
  <si>
    <t>PRINCIPIO ACTIVO</t>
  </si>
  <si>
    <t>CASA</t>
  </si>
  <si>
    <t>EXPIRA</t>
  </si>
  <si>
    <t>PRECIO COSTO</t>
  </si>
  <si>
    <t>P. VENT. APROX.</t>
  </si>
  <si>
    <t>PRECIO AL PÚBLICO</t>
  </si>
  <si>
    <t>ACETAMINOFEN 120MG/5ML</t>
  </si>
  <si>
    <t>SUSPENCIÒN 60ML</t>
  </si>
  <si>
    <t>ACETAMINOFEN</t>
  </si>
  <si>
    <t>INFASA</t>
  </si>
  <si>
    <t>ADENURIC 80MG.</t>
  </si>
  <si>
    <t>CAJA 20 TABLETAS</t>
  </si>
  <si>
    <t>FEBUXOSTAT</t>
  </si>
  <si>
    <t>MENARINI</t>
  </si>
  <si>
    <t>ADRENALINA /EPINEFRINA</t>
  </si>
  <si>
    <t>AMPOLLA</t>
  </si>
  <si>
    <t>ADRENALINA C/EPINEFRINA</t>
  </si>
  <si>
    <t>VIJOSA</t>
  </si>
  <si>
    <t>AERO OM</t>
  </si>
  <si>
    <t>BLISTER 10 TABLETAS</t>
  </si>
  <si>
    <t>SIMETICONA 40MG.</t>
  </si>
  <si>
    <t>RESCO</t>
  </si>
  <si>
    <t>AERO OM ORAL</t>
  </si>
  <si>
    <t>GOTAS</t>
  </si>
  <si>
    <t>SIMETICONA 100MG/ML</t>
  </si>
  <si>
    <t>ALAMO 16</t>
  </si>
  <si>
    <t>CAJA 30 TABLETAS</t>
  </si>
  <si>
    <t>CANDESARTÀN</t>
  </si>
  <si>
    <t>PHARMEDIC</t>
  </si>
  <si>
    <t>ALBUGENOL-TR</t>
  </si>
  <si>
    <t>AEROSOL PARA INHALAR</t>
  </si>
  <si>
    <t>SALBUTAMOL 120 MCG./ BROMURO DE IPATROPIUM 20 MCG.</t>
  </si>
  <si>
    <t>GENERIX Hadalabs</t>
  </si>
  <si>
    <t>ALBUMINA HUMANA</t>
  </si>
  <si>
    <t>FRASCO IV 50ML</t>
  </si>
  <si>
    <t>INSUMEDIC GT</t>
  </si>
  <si>
    <t>ALCET 5</t>
  </si>
  <si>
    <t>CAJA 10 TAB.</t>
  </si>
  <si>
    <t>LEVOCETIRIZINA 5MG.</t>
  </si>
  <si>
    <t>PRISM</t>
  </si>
  <si>
    <t>AMIKASINA</t>
  </si>
  <si>
    <t>AMIKASINA 500MG</t>
  </si>
  <si>
    <t>VITALIS</t>
  </si>
  <si>
    <t>AMINOFILINA</t>
  </si>
  <si>
    <t>AMINOFILINA 250MG.</t>
  </si>
  <si>
    <t>BONIN/QUALITY</t>
  </si>
  <si>
    <t>AMIODARONA ATLANSIL</t>
  </si>
  <si>
    <t>AMIODARONA CLORHIDRATO</t>
  </si>
  <si>
    <t>AMPICILINA + SULBACTAM</t>
  </si>
  <si>
    <t>FRASCO INYECTABLE</t>
  </si>
  <si>
    <t>AMPICILINA + SULBACTAM 1.5G</t>
  </si>
  <si>
    <t>VITALIS/DISSA</t>
  </si>
  <si>
    <t>ANGINOVAG</t>
  </si>
  <si>
    <t>SPRAY BUCAL</t>
  </si>
  <si>
    <t>decualinio cloruro, enoxolona, acetato de hidrocortisona , tirotricina y lidocaína clorhidrato.</t>
  </si>
  <si>
    <t>FERRER</t>
  </si>
  <si>
    <t>ARTROSIL 5</t>
  </si>
  <si>
    <t>CAJA 30 SOBRES</t>
  </si>
  <si>
    <t>GLUCOSAMINA, CONDROITINA, COLÁGENO, ÁCIDO IALURÓNICO, ÁCIDO ASCÓRBICO</t>
  </si>
  <si>
    <t>PHARMALAT</t>
  </si>
  <si>
    <t>ASCORBOL</t>
  </si>
  <si>
    <t>VITAMINA C</t>
  </si>
  <si>
    <t>DIPROFARM</t>
  </si>
  <si>
    <t>ATOR-DEL 20</t>
  </si>
  <si>
    <t>ATORVASTATINA 20MG.</t>
  </si>
  <si>
    <t>PHARMADEL</t>
  </si>
  <si>
    <t>AZITROMICINA 500MG</t>
  </si>
  <si>
    <t>BLISTER 5 TABLETAS</t>
  </si>
  <si>
    <t>AZITROMICINA</t>
  </si>
  <si>
    <t>BAC-CLOR</t>
  </si>
  <si>
    <t>SUSPENCIÒN</t>
  </si>
  <si>
    <t>CEFIXIMA 100MG.</t>
  </si>
  <si>
    <t>CAJA 5 CAPSULAS</t>
  </si>
  <si>
    <t>CEFIXIMA 400MG.</t>
  </si>
  <si>
    <t>BACTEMICINA K</t>
  </si>
  <si>
    <t>7 ÒVULOS VAGINALES</t>
  </si>
  <si>
    <t>CLIDAMINICINA + KETOCONAZOL</t>
  </si>
  <si>
    <t>QUALIPHARM</t>
  </si>
  <si>
    <t>CREMA VAGINAL</t>
  </si>
  <si>
    <t>BADYKET</t>
  </si>
  <si>
    <t>IV</t>
  </si>
  <si>
    <t>ANTICUABILANTE</t>
  </si>
  <si>
    <t>FARMEN</t>
  </si>
  <si>
    <t>BALANAT</t>
  </si>
  <si>
    <t>COMPLEMENTO NUTRICIONAL</t>
  </si>
  <si>
    <t>WINZZER</t>
  </si>
  <si>
    <t>BIO FILM</t>
  </si>
  <si>
    <t>MEMBRANA 10 * 10</t>
  </si>
  <si>
    <t>BIOFILM/BONIN</t>
  </si>
  <si>
    <t>BIO ZINK</t>
  </si>
  <si>
    <t>PASTA TÒPICA</t>
  </si>
  <si>
    <t>OXIDO DE ZINK/MIEL DE ABEJA</t>
  </si>
  <si>
    <t>BIOGAIA</t>
  </si>
  <si>
    <t>GOTERO 5ML</t>
  </si>
  <si>
    <t>PROBIOTICOS + VITAMINA D3</t>
  </si>
  <si>
    <t>AGEFINSA</t>
  </si>
  <si>
    <t>BIXICORT</t>
  </si>
  <si>
    <t>BETAMETASONA 5MG</t>
  </si>
  <si>
    <t>MEDPHARMA</t>
  </si>
  <si>
    <t>BOLARIA 16MG.</t>
  </si>
  <si>
    <t>CAJA 20 COMPRIMIDOS</t>
  </si>
  <si>
    <t>BETAHISTINA DICLORHIDRATO</t>
  </si>
  <si>
    <t>MEGALABS</t>
  </si>
  <si>
    <t>BONADIONA /VITAMINA K</t>
  </si>
  <si>
    <t>AMPOLLA 1ML</t>
  </si>
  <si>
    <t>VITAMINA K</t>
  </si>
  <si>
    <t>BRONCODIL</t>
  </si>
  <si>
    <t>CARBOXIMETILCISTEÌNA</t>
  </si>
  <si>
    <t>BRONCOMAT</t>
  </si>
  <si>
    <t>FRASCO</t>
  </si>
  <si>
    <t>SALBUTAMOL 0.5%</t>
  </si>
  <si>
    <t>UNIPHARM</t>
  </si>
  <si>
    <t>BROXOLVAN COMPUESTO</t>
  </si>
  <si>
    <t>AMBROXOL/CLENBUTEROL</t>
  </si>
  <si>
    <t>BUDEGEN</t>
  </si>
  <si>
    <t>FRASCO 20 ML</t>
  </si>
  <si>
    <t>BUDESONIDA PARA NEBULIZAR</t>
  </si>
  <si>
    <t>QUALITY</t>
  </si>
  <si>
    <t>FRASCO 10ML</t>
  </si>
  <si>
    <t>BUDEGEN-200</t>
  </si>
  <si>
    <t>BUDESONIDA 200 MCG</t>
  </si>
  <si>
    <t>GENERIX</t>
  </si>
  <si>
    <t>CALCID</t>
  </si>
  <si>
    <t>CALCIO+ VITAMINA D3 200MG</t>
  </si>
  <si>
    <t>CARDIOZAR 50</t>
  </si>
  <si>
    <t>LOSARTÀN</t>
  </si>
  <si>
    <t>CATASIL 30MG.</t>
  </si>
  <si>
    <t>CAJA 10 TABLETAS</t>
  </si>
  <si>
    <t>KETOROLACO TROMETAMINA</t>
  </si>
  <si>
    <t>CEFAPRONT</t>
  </si>
  <si>
    <t>CAJA 10 CAPSULAS</t>
  </si>
  <si>
    <t>ARA STENDHAL</t>
  </si>
  <si>
    <t>CEFEPIME 1G</t>
  </si>
  <si>
    <t>SOLUCIÒN INYECTABLE</t>
  </si>
  <si>
    <t>CEFEPIMA 1G</t>
  </si>
  <si>
    <t>LABORATORIO DELTA</t>
  </si>
  <si>
    <t>CEFTRIAXONA 1G</t>
  </si>
  <si>
    <t>ETIC'S S.A.</t>
  </si>
  <si>
    <t>CELICOB 200MG.</t>
  </si>
  <si>
    <t>CELECOXIB</t>
  </si>
  <si>
    <t>HETERO</t>
  </si>
  <si>
    <t>CETRAXAL PLUS</t>
  </si>
  <si>
    <t>CIPROFLOXACINO/ACETÒNIDO DE FLUOCINOLONA</t>
  </si>
  <si>
    <t>CICASTIM.S</t>
  </si>
  <si>
    <t>GEL</t>
  </si>
  <si>
    <t>DIMETICONE</t>
  </si>
  <si>
    <t>ACM LAB.</t>
  </si>
  <si>
    <t>CIPROFLOXACINA 500MG.</t>
  </si>
  <si>
    <t>BLISTER 10 TAB.</t>
  </si>
  <si>
    <t>UMEDICA/infasa</t>
  </si>
  <si>
    <t>CIRIAX OTIC</t>
  </si>
  <si>
    <t>GOTAS OFTALMOLOGICAS</t>
  </si>
  <si>
    <t>CIPROFLOXACINA/HIDROCORTISONA</t>
  </si>
  <si>
    <t>CLAVUDEL BID</t>
  </si>
  <si>
    <t>AMOXICILINA/ACIDO CLAVULÀNICO</t>
  </si>
  <si>
    <t>CAJA 14 TABLETAS</t>
  </si>
  <si>
    <t>CLINDAMICINA 4ML.</t>
  </si>
  <si>
    <t>CLINDAMICINA</t>
  </si>
  <si>
    <t>CAPLIN POINT</t>
  </si>
  <si>
    <t>CLORFENIRAMINA 1ML.</t>
  </si>
  <si>
    <t>DISSA/SELECTPHARMA</t>
  </si>
  <si>
    <t>CLORURO DE POTASIO KCL 5ML</t>
  </si>
  <si>
    <t>CLORURO DE POTASIO KCL</t>
  </si>
  <si>
    <t>BONIN</t>
  </si>
  <si>
    <t>CLORURO DE SODIO NACL 10ML</t>
  </si>
  <si>
    <t>CLORURO DE SOCIO NCL</t>
  </si>
  <si>
    <t>COMPLEJO B 10ML</t>
  </si>
  <si>
    <t>COMPLEJO B</t>
  </si>
  <si>
    <t>CRONEX-FEM</t>
  </si>
  <si>
    <t>CAJA 60 CAPSULAS</t>
  </si>
  <si>
    <t>ISOFLAVONAS/VITAMINA E</t>
  </si>
  <si>
    <t>CRONEX-GEL</t>
  </si>
  <si>
    <t>TUBO 60 GRAMOS</t>
  </si>
  <si>
    <t>HIDRATANTE ÍNTIMO</t>
  </si>
  <si>
    <t>CROSBA</t>
  </si>
  <si>
    <t>CAJA 6 SOBRES</t>
  </si>
  <si>
    <t>CROSPOVIDONA</t>
  </si>
  <si>
    <t>BAGÓ</t>
  </si>
  <si>
    <t>CYFLONDEX</t>
  </si>
  <si>
    <t>CIFLODEX</t>
  </si>
  <si>
    <t>OFTISOL</t>
  </si>
  <si>
    <t>CYSTONE</t>
  </si>
  <si>
    <t>FRASCO 100 TABLETAS</t>
  </si>
  <si>
    <t>tartrazina</t>
  </si>
  <si>
    <t>HIMALAYA</t>
  </si>
  <si>
    <t>CYSTONE 200ML.</t>
  </si>
  <si>
    <t>DANSYL</t>
  </si>
  <si>
    <t>AMIDOSIDINA 250MG</t>
  </si>
  <si>
    <t>FRASCO 60 ML</t>
  </si>
  <si>
    <t>AMIDOSIDINA 125MG/5ML</t>
  </si>
  <si>
    <t>DEFLARIN 30 MG.</t>
  </si>
  <si>
    <t>DEFLEZACORT 30MG</t>
  </si>
  <si>
    <t>EXELTIS</t>
  </si>
  <si>
    <t>DEXAMETAZONA</t>
  </si>
  <si>
    <t>SOLUCIÒN INYECTABLE 8MG/2ML</t>
  </si>
  <si>
    <t>DIABENOR</t>
  </si>
  <si>
    <t>CAJA 120 CAPSULAS</t>
  </si>
  <si>
    <t>DELFINIDINA,GLICINA DE COBRE, ACIDO ALFALINOLÈNICO, COLINA, ACIDO ALFALIPOICO</t>
  </si>
  <si>
    <t>DIAZEPAN</t>
  </si>
  <si>
    <t>SOLUCIÒN INYECTABLE 2ML</t>
  </si>
  <si>
    <t>DICABIL</t>
  </si>
  <si>
    <t>SUSPENSION 50ML</t>
  </si>
  <si>
    <t>ACIDO URSODESOXICOLICO</t>
  </si>
  <si>
    <t>PHARMOZ</t>
  </si>
  <si>
    <t>DICABIL 300MG</t>
  </si>
  <si>
    <t>DICLOFENACO</t>
  </si>
  <si>
    <t>SOLUCIÒN INYECTABLE 3ML</t>
  </si>
  <si>
    <t>PROMEGAL</t>
  </si>
  <si>
    <t>DICYNONE</t>
  </si>
  <si>
    <t>OM PHARMA</t>
  </si>
  <si>
    <t>DICYNONE 500</t>
  </si>
  <si>
    <t>CAJA 20 CAPSULAS</t>
  </si>
  <si>
    <t>ETAMSILATO 500MG</t>
  </si>
  <si>
    <t>OM</t>
  </si>
  <si>
    <t>DIOSMIL</t>
  </si>
  <si>
    <t>CAJA 30 COMPRIMIDOS</t>
  </si>
  <si>
    <t>DIOSMINA MICRONIZADA/HESPERIDINA 500MG</t>
  </si>
  <si>
    <t>GLOBAL FARMA</t>
  </si>
  <si>
    <t>DIPIRONA</t>
  </si>
  <si>
    <t>DISLEP</t>
  </si>
  <si>
    <t>GOTAS ORALES</t>
  </si>
  <si>
    <t>LEVOSULPIRIDE</t>
  </si>
  <si>
    <t>DISSUALON PLUS</t>
  </si>
  <si>
    <t>ATORVASTATINA 20MG/EZETIMIBE 10MG</t>
  </si>
  <si>
    <t>VIZCAINO</t>
  </si>
  <si>
    <t>DIVAX-C 100ML IV</t>
  </si>
  <si>
    <t>CIPROFLOXACINA 100ML</t>
  </si>
  <si>
    <t>FARMEX</t>
  </si>
  <si>
    <t>DIXAFER/ HIERRO SACAROSO</t>
  </si>
  <si>
    <t>AMPOLLA 5ML</t>
  </si>
  <si>
    <t>HIERRO SACARATO</t>
  </si>
  <si>
    <t>DKS</t>
  </si>
  <si>
    <t>CAJA 15 GELCAPS</t>
  </si>
  <si>
    <t>DEXKETOPROFENO 25MG.</t>
  </si>
  <si>
    <t>APS</t>
  </si>
  <si>
    <t>DOGAMIN</t>
  </si>
  <si>
    <t>PREGABALINA 150MG</t>
  </si>
  <si>
    <t>DOLO GLUCOFLEX</t>
  </si>
  <si>
    <t>CAJA 15 SOBRES</t>
  </si>
  <si>
    <t>GLUCOSAMINA SULFATO 1500MG., MELOXICAM 15MG.</t>
  </si>
  <si>
    <t>DOLO-BELCREVIT</t>
  </si>
  <si>
    <t>VITAMINAS NEUROTROPAS B1, B6, B12 + DICLOFENACO SÒDICO</t>
  </si>
  <si>
    <t>BELENPHARM</t>
  </si>
  <si>
    <t>DOLOFORT</t>
  </si>
  <si>
    <t>SOLUCIÒN INYECTABLE 5ML</t>
  </si>
  <si>
    <t>DIPIRONA MAGNÈSICA 2G/5ML</t>
  </si>
  <si>
    <t>DOLOSAL (MEPERIDINA)</t>
  </si>
  <si>
    <t>DEMEROL</t>
  </si>
  <si>
    <t>DOTRAM</t>
  </si>
  <si>
    <t>SUSPENSION 60ML</t>
  </si>
  <si>
    <t>CLARITROMICINA 250MG/5ML</t>
  </si>
  <si>
    <t>DOXILIN</t>
  </si>
  <si>
    <t>DOXICICLINA 100MG</t>
  </si>
  <si>
    <t>PHARBEST, S.A.</t>
  </si>
  <si>
    <t>DYNAMOGEN</t>
  </si>
  <si>
    <t>CAJA 20 AMPOLLAS BEBIBLES</t>
  </si>
  <si>
    <t>VIALES</t>
  </si>
  <si>
    <t>FAES FARMA</t>
  </si>
  <si>
    <t>EFEDRINA</t>
  </si>
  <si>
    <t>EFEDRINA HCI 50MG/1ML</t>
  </si>
  <si>
    <t>ENEMA FLEET</t>
  </si>
  <si>
    <t>FRASCO 133ML</t>
  </si>
  <si>
    <t>SOLUCIÓN SALINA LAXANTE, USO RECTAL</t>
  </si>
  <si>
    <t>H&amp;L</t>
  </si>
  <si>
    <t>ENOXAPARINA</t>
  </si>
  <si>
    <t>EQUILIV</t>
  </si>
  <si>
    <t>CLONAZEPAN 2.5MG</t>
  </si>
  <si>
    <t>ERITROPROYECTINA</t>
  </si>
  <si>
    <t>ESKAPAR COMPUESTO</t>
  </si>
  <si>
    <t>CAJA DE 20 CAPSULAS</t>
  </si>
  <si>
    <t>NIFUROXAZIDA/METRONIDAZOL</t>
  </si>
  <si>
    <t>ESPASMO DIGESTONE</t>
  </si>
  <si>
    <t>BLISTER DE 10 TAB.</t>
  </si>
  <si>
    <t>PANCREATINA, SIMETICONA, LACTOSA Y OTROS</t>
  </si>
  <si>
    <t>EUROCLIN</t>
  </si>
  <si>
    <t>CAJA 30 CAPSULAS</t>
  </si>
  <si>
    <t>CLINDAMICINA 300MG.</t>
  </si>
  <si>
    <t>CHALVER</t>
  </si>
  <si>
    <t>EVECARE</t>
  </si>
  <si>
    <t>FRASCO DE 30 TAB.</t>
  </si>
  <si>
    <t>CAPSULAS</t>
  </si>
  <si>
    <t>EXKEN DEXEKETOFRENO</t>
  </si>
  <si>
    <t>PARACETAMOL TROMETAMOL 25MG</t>
  </si>
  <si>
    <t>PHARA</t>
  </si>
  <si>
    <t>FEMTRIOL CREMA VAGINAL</t>
  </si>
  <si>
    <t>CAJA 5 APLICADORES</t>
  </si>
  <si>
    <t>ESTRIOL 0,1G</t>
  </si>
  <si>
    <t>FENITOINA SODICA</t>
  </si>
  <si>
    <t>FENTANILO</t>
  </si>
  <si>
    <t>AMPOLLA 0.05MG/2ML</t>
  </si>
  <si>
    <t>FE-Q800</t>
  </si>
  <si>
    <t>CAJA DE 28 TAB.</t>
  </si>
  <si>
    <t>HIERRO AMINOQUELADO, ACIDO FOLICO, CIANOCOBALAMINA</t>
  </si>
  <si>
    <t>COIDE S.A.</t>
  </si>
  <si>
    <t>FERKEL</t>
  </si>
  <si>
    <t>GOTERO 30ML</t>
  </si>
  <si>
    <t>HIERRO AMINOQUELADO</t>
  </si>
  <si>
    <t>FILINAR G</t>
  </si>
  <si>
    <t>FRASCO 120 ML.</t>
  </si>
  <si>
    <t>ACEBROFILINA 5ML</t>
  </si>
  <si>
    <t>FLAMANTIL</t>
  </si>
  <si>
    <t>BLISTER DE 5 TAB.</t>
  </si>
  <si>
    <t>NAPROXENO SODICO 550MG.</t>
  </si>
  <si>
    <t>FLAMYDOL</t>
  </si>
  <si>
    <t>SUSPENSION</t>
  </si>
  <si>
    <t>MEDIUM</t>
  </si>
  <si>
    <t>FLORENTEROL</t>
  </si>
  <si>
    <t>CAJA DE 6 SOBRES</t>
  </si>
  <si>
    <t>SACCHAROMYCES BOULARDIL 200MG</t>
  </si>
  <si>
    <t>FLUMAZENIL</t>
  </si>
  <si>
    <t>FLUMAZENIL 01</t>
  </si>
  <si>
    <t>FOLY PLUS</t>
  </si>
  <si>
    <t>CAJA DE 30 CAPSULAS</t>
  </si>
  <si>
    <t>ACIDO FOLICO 5MG.</t>
  </si>
  <si>
    <t>FARMECO</t>
  </si>
  <si>
    <t>FORTALENE</t>
  </si>
  <si>
    <t>CAJA DE 30 TAB.</t>
  </si>
  <si>
    <t>ZINC 20MG</t>
  </si>
  <si>
    <t>FRASCO 120ML. SUSP</t>
  </si>
  <si>
    <t>ZINC 10MG/5ML</t>
  </si>
  <si>
    <t>FOSFOBAC</t>
  </si>
  <si>
    <t>POLVO PARA SUSP. ORAL</t>
  </si>
  <si>
    <t>FOSFOMACINA 3G</t>
  </si>
  <si>
    <t>FOSFOMICINA</t>
  </si>
  <si>
    <t>FRASCO IV 1 G</t>
  </si>
  <si>
    <t>MEDICAL</t>
  </si>
  <si>
    <t>FRENEX</t>
  </si>
  <si>
    <t>FRASCO 60ML. SUSP</t>
  </si>
  <si>
    <t>NITAZOXANIDA 100MG/5ML</t>
  </si>
  <si>
    <t>CAJA 6 TABLETAS</t>
  </si>
  <si>
    <t>NITAZOXANIDA 500MG</t>
  </si>
  <si>
    <t>FUNGITER</t>
  </si>
  <si>
    <t>AEROSOL</t>
  </si>
  <si>
    <t>TERBINAFINA HCI 1%</t>
  </si>
  <si>
    <t>FUROSEMIDA</t>
  </si>
  <si>
    <t>AMPOLLA 2ML</t>
  </si>
  <si>
    <t>FUROSEMIDA 20MG</t>
  </si>
  <si>
    <t>SOLUCIONES MÈDICAS</t>
  </si>
  <si>
    <t>FUROSEMIDA MK</t>
  </si>
  <si>
    <t>CAJA 50 TABLETAS</t>
  </si>
  <si>
    <t>FUROSEMIDA 40MG</t>
  </si>
  <si>
    <t>feb-30</t>
  </si>
  <si>
    <t>GABEX PLUS</t>
  </si>
  <si>
    <t>GABAPENTINA + VITAMINAS B1 Y 12</t>
  </si>
  <si>
    <t>GASTREXX</t>
  </si>
  <si>
    <t>ESOMEPRAZOL 40MG</t>
  </si>
  <si>
    <t>GESIMAX GEL</t>
  </si>
  <si>
    <t>GEL TOPICO 40G</t>
  </si>
  <si>
    <t>NAPROXENO 10%</t>
  </si>
  <si>
    <t>GLISER-PLUS</t>
  </si>
  <si>
    <t>METFORMINA + GLIMEPIRIDE</t>
  </si>
  <si>
    <t>FRAMA SWISS</t>
  </si>
  <si>
    <t>GLUCONATO D CALCIO 10%</t>
  </si>
  <si>
    <t>CALCIO</t>
  </si>
  <si>
    <t>HIDRALAZINA</t>
  </si>
  <si>
    <t>HIDRALAZINA CLORIDRATO</t>
  </si>
  <si>
    <t>HIMCOCID</t>
  </si>
  <si>
    <t>FRASCO 200ML</t>
  </si>
  <si>
    <t>VERATICA, DUGDHAPASHANA, MOUKTIKA</t>
  </si>
  <si>
    <t>ILACOX/MELOXICAN</t>
  </si>
  <si>
    <t>SOLUCION INYECTABLE</t>
  </si>
  <si>
    <t>el dolor, la sensibilidad, la inflamación y la rigidez ocasionados por la osteoartritis</t>
  </si>
  <si>
    <t>I.R.S.</t>
  </si>
  <si>
    <t>GOTAS PEDIA. NASAL 20ML</t>
  </si>
  <si>
    <t>ACETAMINOFEN, CLORHIDRATO DE FENILEFRINA, MALEATO DE BROMFENIRAMINA</t>
  </si>
  <si>
    <t>IBUPROFENO SUSP.</t>
  </si>
  <si>
    <t>FRASCO 60ML</t>
  </si>
  <si>
    <t>IBUPROFENO 100MG.</t>
  </si>
  <si>
    <t>UMEDICA</t>
  </si>
  <si>
    <t>IMIPENEM+ CILASTATINA</t>
  </si>
  <si>
    <t>FRASCO 0.05 POLVO</t>
  </si>
  <si>
    <t>infección de las válvulas y revestimiento del corazón</t>
  </si>
  <si>
    <t>INMUNOGRIP</t>
  </si>
  <si>
    <t>FRASCO 180ML</t>
  </si>
  <si>
    <t>JARABE NATURAL</t>
  </si>
  <si>
    <t>INMUNOPHARA</t>
  </si>
  <si>
    <t>FRASCO 80ML</t>
  </si>
  <si>
    <t>EXTRACTO DE PELARGONIO, GLICEROLADO DE EQUINACEA</t>
  </si>
  <si>
    <t>FRASCO 40ML</t>
  </si>
  <si>
    <t>INSULEX N</t>
  </si>
  <si>
    <t>INSULINA ISOFONA (INSULINA CRISTALINA)</t>
  </si>
  <si>
    <t>PISA</t>
  </si>
  <si>
    <t>IPRAK 750SP</t>
  </si>
  <si>
    <t>BROMURO DE IPATROPIUM 750MCG/1ML</t>
  </si>
  <si>
    <t>DONOVAN WERKE</t>
  </si>
  <si>
    <t>ISOCRANEOL</t>
  </si>
  <si>
    <t>CAJA DE 10 TAB.</t>
  </si>
  <si>
    <t>CITICOLINA 500MG</t>
  </si>
  <si>
    <t>ISOPRINOSINE 250 MG</t>
  </si>
  <si>
    <t>JARABE FRASCO 5ML</t>
  </si>
  <si>
    <t>METISOPRINOL VIA ORAL 5 ML</t>
  </si>
  <si>
    <t>NEW PORT (RESCO)</t>
  </si>
  <si>
    <t>KEROLAC</t>
  </si>
  <si>
    <t>KETOROLACO TROMETAMOL 60MG/2ML</t>
  </si>
  <si>
    <t>KETAMINA</t>
  </si>
  <si>
    <t>SOLUCIÒN INYECTABLE 10ML</t>
  </si>
  <si>
    <t>KETAMINA 50MG/ML</t>
  </si>
  <si>
    <t>KID VIT</t>
  </si>
  <si>
    <t>SPRAY 10ML</t>
  </si>
  <si>
    <t>SUPLEMENTO ALIMENTICIO</t>
  </si>
  <si>
    <t>LACIMEN</t>
  </si>
  <si>
    <t>AMPOLLA 20ML</t>
  </si>
  <si>
    <t>LABETALOL</t>
  </si>
  <si>
    <t>LAXIGLICOL</t>
  </si>
  <si>
    <t>FRASCO 119G</t>
  </si>
  <si>
    <t>POLIETILENGLICOL</t>
  </si>
  <si>
    <t>LEVEN-VIT FORTE</t>
  </si>
  <si>
    <t>CAJA 10 AMP. BEBIBLES</t>
  </si>
  <si>
    <t>ASPARTATO DE ARGININA</t>
  </si>
  <si>
    <t>LEVEN/RESCO</t>
  </si>
  <si>
    <t>feb-29</t>
  </si>
  <si>
    <t>LEVOFLAXIN 500MG</t>
  </si>
  <si>
    <t>CAJA 7 TAB.</t>
  </si>
  <si>
    <t>LEVOFLOXACINA 500MG</t>
  </si>
  <si>
    <t>LEVOFLAXIN 750MG</t>
  </si>
  <si>
    <t>CAJA 5 TAB.</t>
  </si>
  <si>
    <t>LEVOFLOXACINA 750MG</t>
  </si>
  <si>
    <t>LIDOCAINA SIMPLE</t>
  </si>
  <si>
    <t>FRASCO 50ML</t>
  </si>
  <si>
    <t>LIDOCAINA CLORHIDRATO</t>
  </si>
  <si>
    <t>LIMTOX</t>
  </si>
  <si>
    <t>CAJA 60 SOBRES</t>
  </si>
  <si>
    <t>LIV.52 DS</t>
  </si>
  <si>
    <t>FRACO DE 60 TAB.</t>
  </si>
  <si>
    <t>LIV.52DS</t>
  </si>
  <si>
    <t>LOPERAMIDA MK</t>
  </si>
  <si>
    <t>CAJA DE 30 TABL.</t>
  </si>
  <si>
    <t>LOPERAMIDE HUDROCHLORIDE</t>
  </si>
  <si>
    <t>SELECTPHARMA</t>
  </si>
  <si>
    <t>LOTRIAL</t>
  </si>
  <si>
    <t>ENALAPRILATO</t>
  </si>
  <si>
    <t>LUBRIWELL</t>
  </si>
  <si>
    <t>CARBOXIMETILCELULOSA SODICA0.5%</t>
  </si>
  <si>
    <t>WELLCO</t>
  </si>
  <si>
    <t>LUTEVISTA</t>
  </si>
  <si>
    <t>CAJA 30 GELCAPS</t>
  </si>
  <si>
    <t>SUPLEMENTO VITAMÍNICO</t>
  </si>
  <si>
    <t>BROPHARMA</t>
  </si>
  <si>
    <t>MACROVITAM</t>
  </si>
  <si>
    <t>CAJA 30 TAB.</t>
  </si>
  <si>
    <t>MULTIVITAMINICO</t>
  </si>
  <si>
    <t>MAGNAGEL</t>
  </si>
  <si>
    <t>FRASCO 360ML</t>
  </si>
  <si>
    <t>HIDRÓXIDO DE ALUMINIO, HIDRÓXIDO DE MAGNESIO, SIMETICONA</t>
  </si>
  <si>
    <t>MANITOL</t>
  </si>
  <si>
    <t>MANITOL AL 25%</t>
  </si>
  <si>
    <t>RUIPHARMA</t>
  </si>
  <si>
    <t>MEDISUM</t>
  </si>
  <si>
    <t>SPRAY</t>
  </si>
  <si>
    <t>PROTECTOR SOLAR</t>
  </si>
  <si>
    <t>ACM LAB. DERMATOLOGIQUE</t>
  </si>
  <si>
    <t>MENADERM OTOLÓGICO</t>
  </si>
  <si>
    <t>GOTERO 10ML</t>
  </si>
  <si>
    <t>BECLOMETASONA 0.25MG+CLIOQUINOL 0.01G/ML</t>
  </si>
  <si>
    <t>MERLIX DEXKETOFRENO</t>
  </si>
  <si>
    <t>SOBRES SOLUCION ORAL</t>
  </si>
  <si>
    <t>DEXKETOFRENO 25MG</t>
  </si>
  <si>
    <t>LUMINOVA (COIDE)</t>
  </si>
  <si>
    <t>AMPOLLAS</t>
  </si>
  <si>
    <t>MEROPENEM 500MG</t>
  </si>
  <si>
    <t>POLVO PARA SOLUCIÓN INYEC.</t>
  </si>
  <si>
    <t>METFORMINA 850MG</t>
  </si>
  <si>
    <t>METILPREDNISOLONA</t>
  </si>
  <si>
    <t>FRASCO IV</t>
  </si>
  <si>
    <t>METILPERDNISOLOLA 1G.</t>
  </si>
  <si>
    <t>METOCARBAN</t>
  </si>
  <si>
    <t>METOCARBAMOL 100MG</t>
  </si>
  <si>
    <t>METOCARBAN AC</t>
  </si>
  <si>
    <t>METOCARBAMOL 400MG + ACETAMINOFÉN 250MG</t>
  </si>
  <si>
    <t>METOCLOPRAMIDA</t>
  </si>
  <si>
    <t>MIDAZOLAM</t>
  </si>
  <si>
    <t>ARPHARMA</t>
  </si>
  <si>
    <t>MINART AM</t>
  </si>
  <si>
    <t>CANDESARTÁN CILEXETIL 16MG/AMLODIPINA2.5MG</t>
  </si>
  <si>
    <t>MERCK Bofasa</t>
  </si>
  <si>
    <t>MORFINA</t>
  </si>
  <si>
    <t>MOFINA SULFATO 10MG/ML</t>
  </si>
  <si>
    <t>NAGREG</t>
  </si>
  <si>
    <t>RUPATADINA 10MG</t>
  </si>
  <si>
    <t>ALTIAN PHARMA</t>
  </si>
  <si>
    <t>NATRASOL 50MG</t>
  </si>
  <si>
    <t>LOSARTÀN POTASICO 50MG</t>
  </si>
  <si>
    <t>FARMA SWISS</t>
  </si>
  <si>
    <t>NAUSEOL</t>
  </si>
  <si>
    <t>BONIN H&amp;L</t>
  </si>
  <si>
    <t>NAUXIL</t>
  </si>
  <si>
    <t>FRASCO 30ML</t>
  </si>
  <si>
    <t>DOXILAMINA 10MG+PIRIDOXINA 10MG</t>
  </si>
  <si>
    <t>NEOTREX</t>
  </si>
  <si>
    <t>LEVOSULPIRIDE 25MG</t>
  </si>
  <si>
    <t>NEURO EXKEN</t>
  </si>
  <si>
    <t>DEXKETOPROFENO/VITAMINAS NEUROTROPAS B1, B6 y B12</t>
  </si>
  <si>
    <t>NIC</t>
  </si>
  <si>
    <t>CLARITROMICINA 500MG</t>
  </si>
  <si>
    <t>CLARITROMICINA 250MG</t>
  </si>
  <si>
    <t>NOLAXONA</t>
  </si>
  <si>
    <t>CLORHIDRATO DE NOLAXONA</t>
  </si>
  <si>
    <t>NORBRAIN</t>
  </si>
  <si>
    <t>ACIDO OLEICO, AACIDO ROSMARÍNICO, CALÉNDULA, ACIDO GAMMA-AMNOBUTÍTICO</t>
  </si>
  <si>
    <t>NOREPENEFRINA</t>
  </si>
  <si>
    <t>AMPOLLA 4 ML</t>
  </si>
  <si>
    <t>se usa para aumentar la presión arterial baja</t>
  </si>
  <si>
    <t>NOVA CISTEINA</t>
  </si>
  <si>
    <t>COMPRIMIDO EFERVECENTE</t>
  </si>
  <si>
    <t>N-ACETILCISTEÍNA</t>
  </si>
  <si>
    <t>NOVALAB</t>
  </si>
  <si>
    <t>NÚCLEO C.M.P. FORTE</t>
  </si>
  <si>
    <t>BOFASA</t>
  </si>
  <si>
    <t>CAJA 3 AMPOLLAS</t>
  </si>
  <si>
    <t>ODCAN</t>
  </si>
  <si>
    <t>CAJA 2 TAB.</t>
  </si>
  <si>
    <t>FLUCONAZOL</t>
  </si>
  <si>
    <t>OMEPPRAZOL 20MG</t>
  </si>
  <si>
    <t>OMEPFRAZOL 20MG</t>
  </si>
  <si>
    <t>OMEPRAZOL 40MG</t>
  </si>
  <si>
    <t>ONDASETRÓN 8MG.</t>
  </si>
  <si>
    <t>ONDASETRÓN</t>
  </si>
  <si>
    <t>P&amp;C PHARMA</t>
  </si>
  <si>
    <t>ORAXIMA</t>
  </si>
  <si>
    <t>SPRAY 30ML</t>
  </si>
  <si>
    <t>PROPOLEO, MANZANILLA, ACEITES ESENCIALES</t>
  </si>
  <si>
    <t>OSMAX</t>
  </si>
  <si>
    <t>CAJA 4 TAB.</t>
  </si>
  <si>
    <t>ALENDRONATO SÓDICO 70MG</t>
  </si>
  <si>
    <t>NIUMED GROUP</t>
  </si>
  <si>
    <t>OTROZOL 500</t>
  </si>
  <si>
    <t>FRASCO 100ML.</t>
  </si>
  <si>
    <t>METRONIDAZOL 500MG</t>
  </si>
  <si>
    <t>PAÑAL DESECHABLE NIÑO</t>
  </si>
  <si>
    <t>UNIDAD</t>
  </si>
  <si>
    <t>PAÑALES</t>
  </si>
  <si>
    <t>SUPER MAS</t>
  </si>
  <si>
    <t>Pañale Desechable Adulto</t>
  </si>
  <si>
    <t>paquete 6</t>
  </si>
  <si>
    <t>INNOVA MED</t>
  </si>
  <si>
    <t>PARACO-DENK 500/30 MG</t>
  </si>
  <si>
    <t>PARACETAMOL 500MG/FOSFATO DE CODEÍNA HEMIHIDRATADO 30MG</t>
  </si>
  <si>
    <t>PARACONICA</t>
  </si>
  <si>
    <t>LANQUETAN</t>
  </si>
  <si>
    <t>PENICLOR</t>
  </si>
  <si>
    <t>CAPSULA BLISTER</t>
  </si>
  <si>
    <t>DICLOXACILINA 500MG</t>
  </si>
  <si>
    <t>FRASCO 90ML</t>
  </si>
  <si>
    <t>DICLOXACILINA 250MG/5ML</t>
  </si>
  <si>
    <t>PHANEX</t>
  </si>
  <si>
    <t>ESOMEPRAZOL 10MG</t>
  </si>
  <si>
    <t>PHARA AMEB</t>
  </si>
  <si>
    <t>PHARA ENTEROBIOTICS</t>
  </si>
  <si>
    <t>ESPORAS DE BACILIUS CLAUSII</t>
  </si>
  <si>
    <t>PHARA VIT GERIÁTRICO</t>
  </si>
  <si>
    <t>30 AMPOLLAS BEBIBLES</t>
  </si>
  <si>
    <t>PHARA FARMECO</t>
  </si>
  <si>
    <t>PIODAY M</t>
  </si>
  <si>
    <t>PIOGLITAZONA 15mg + METFORMINA clorhidrato 500 mg tabletas</t>
  </si>
  <si>
    <t>PIPERACILINA Y TAZOBACTAM</t>
  </si>
  <si>
    <t>POLIFARMA</t>
  </si>
  <si>
    <t>PRANEX</t>
  </si>
  <si>
    <t>CAJA 15 CAPSULAS</t>
  </si>
  <si>
    <t>PREDNICET 20MG</t>
  </si>
  <si>
    <t>PREDNISOLONA 20MG</t>
  </si>
  <si>
    <t>PRELACTA</t>
  </si>
  <si>
    <t>CAJA 28 TABLETAS</t>
  </si>
  <si>
    <t>SUPLEMENTO DE VITAMINAS Y MINERALES</t>
  </si>
  <si>
    <t>PRONOCTIUM 3MG.</t>
  </si>
  <si>
    <t>COMPRIMIDOS</t>
  </si>
  <si>
    <t>ESZOPICLONA</t>
  </si>
  <si>
    <t>PROGETIN</t>
  </si>
  <si>
    <t>CAJA DE 1 AMPOLLA</t>
  </si>
  <si>
    <t>ovulación</t>
  </si>
  <si>
    <t>PSICODOL 1MG</t>
  </si>
  <si>
    <t>RISPERIDONA 1MG</t>
  </si>
  <si>
    <t>PULMOKAST</t>
  </si>
  <si>
    <t>MONTELUKAST 10MG</t>
  </si>
  <si>
    <t>RANITIDINA</t>
  </si>
  <si>
    <t>RECTO MENADERM</t>
  </si>
  <si>
    <t>POMADA RECTAL TUBO 30G.</t>
  </si>
  <si>
    <t>BECLOMETASONA DIPROPIONATO</t>
  </si>
  <si>
    <t>RELAJAMED 2ML</t>
  </si>
  <si>
    <t>AMPOLLA 2 ML</t>
  </si>
  <si>
    <t>TIOCOLCHICOSIDO 4MG.</t>
  </si>
  <si>
    <t>MOBA</t>
  </si>
  <si>
    <t>RENUVEN</t>
  </si>
  <si>
    <t>CAJA 30 CÁPUSLAS</t>
  </si>
  <si>
    <t>DLOPIDOGREL 75MG + ÁCIDO ACETILSALICÍLICA 75MG</t>
  </si>
  <si>
    <t>RILATEN</t>
  </si>
  <si>
    <t>ROCIVERINA 20MG</t>
  </si>
  <si>
    <t>MENARINI FARMEN SA</t>
  </si>
  <si>
    <t>RIMOSS</t>
  </si>
  <si>
    <t>SPRAY NASAL 12ML</t>
  </si>
  <si>
    <t>MOMETASONA FUROATO</t>
  </si>
  <si>
    <t>RUPAZZER</t>
  </si>
  <si>
    <t>FRASCO 120ML.</t>
  </si>
  <si>
    <t>RUPATADINA 1MG/ML</t>
  </si>
  <si>
    <t>S.C.I.</t>
  </si>
  <si>
    <t>BROMURO DE OTILONIO 40MG</t>
  </si>
  <si>
    <t>SARCOPHAR</t>
  </si>
  <si>
    <t>CREMA TOPICA 60ML</t>
  </si>
  <si>
    <t>PERMETRINA AL 5%</t>
  </si>
  <si>
    <t>SECBIL</t>
  </si>
  <si>
    <t>SECNIDAZOL 500MG</t>
  </si>
  <si>
    <t>BILE FARMACÉUTICA</t>
  </si>
  <si>
    <t>SEDALGINA COMPUESTA</t>
  </si>
  <si>
    <t>BONIN/DISSA</t>
  </si>
  <si>
    <t>SEPTIDEX</t>
  </si>
  <si>
    <t>AEROSOL 40G</t>
  </si>
  <si>
    <t>SERTAL GOTAS</t>
  </si>
  <si>
    <t>GOTERO 20ML</t>
  </si>
  <si>
    <t>PROPINOS CLORHIDRATO 1%</t>
  </si>
  <si>
    <t>SERTAL PERLAS</t>
  </si>
  <si>
    <t>PROPINOX CLORHIDRATO 20MG</t>
  </si>
  <si>
    <t>SITAGLIPTINA + METFORMINA</t>
  </si>
  <si>
    <t>SITAGLIPTINA 50 MG./ METFORMINA 1000 MG.</t>
  </si>
  <si>
    <t>SEVEN PHARMA</t>
  </si>
  <si>
    <t>SOMAZINA 500MG (ISOCRANEOL)</t>
  </si>
  <si>
    <t>STORVAS 20</t>
  </si>
  <si>
    <t>ATORVASTATINA, HIPOLIPEMIANTE</t>
  </si>
  <si>
    <t>SUERO DEXTROSA AL 10%</t>
  </si>
  <si>
    <t>FRASCO 1000ML.</t>
  </si>
  <si>
    <t>GLUCOSA AL 10%</t>
  </si>
  <si>
    <t>SUERO DEXTROSA AL 5%</t>
  </si>
  <si>
    <t>GLUCOSA AL 5%</t>
  </si>
  <si>
    <t>SUERO HARTMAN</t>
  </si>
  <si>
    <t>SOLUCIÓN HARTMAN</t>
  </si>
  <si>
    <t>SUERO MIXTO</t>
  </si>
  <si>
    <t>SOLUCION DE ELECTROLITOS ORALES</t>
  </si>
  <si>
    <t>SUERO ORAL HIDRAVIDA</t>
  </si>
  <si>
    <t>FRASCO 625ML</t>
  </si>
  <si>
    <t>SOLUCIÓN DE ELECTROLITOS ORALES</t>
  </si>
  <si>
    <t>SUERO SALINO</t>
  </si>
  <si>
    <t>CLORURO DE SODIO 0.9%</t>
  </si>
  <si>
    <t>BOLSA 3000ML</t>
  </si>
  <si>
    <t>SULFATO DE ATROPINA</t>
  </si>
  <si>
    <t>SULFATO DE MAGNESIO</t>
  </si>
  <si>
    <t>AMPOLLA 10ML</t>
  </si>
  <si>
    <t>SULFATO DE MAGNESIO 50%</t>
  </si>
  <si>
    <t>SUPER BELIRON</t>
  </si>
  <si>
    <t>CAJA 2 TABLETAS</t>
  </si>
  <si>
    <t>SILDENAFIL 50MG, DAPOXETINA HCI 30MG</t>
  </si>
  <si>
    <t>TAGLIP</t>
  </si>
  <si>
    <t>SITAGLIPTINA 100MG.</t>
  </si>
  <si>
    <t>TIAMINA</t>
  </si>
  <si>
    <t>TIAMINA HCI, VITAMINA B1</t>
  </si>
  <si>
    <t>TIAMINAL B12</t>
  </si>
  <si>
    <t>CIANOCOBALAMINA, PRIRDOXINA, TIAMINA</t>
  </si>
  <si>
    <t>SILANES</t>
  </si>
  <si>
    <t>TIBONELLA</t>
  </si>
  <si>
    <t>TIBOLONA 2,5MG.</t>
  </si>
  <si>
    <t>TOALLA FEMENINA</t>
  </si>
  <si>
    <t>TOALLA</t>
  </si>
  <si>
    <t>TOPIBEST "HC"</t>
  </si>
  <si>
    <t>CREMA 30G.</t>
  </si>
  <si>
    <t>CREMA DERMATOLOGICA DE HIDROCORTIZONA 0.5%</t>
  </si>
  <si>
    <t>TRAMADOL</t>
  </si>
  <si>
    <t>TRANEXIN</t>
  </si>
  <si>
    <t>ACIDO TRANEXÁNICO</t>
  </si>
  <si>
    <t>TRIACID</t>
  </si>
  <si>
    <t>BROMURO DE PINAVERIO 100MG + SIMETICONA 300MG</t>
  </si>
  <si>
    <t>TRIGOPAX</t>
  </si>
  <si>
    <t>CREMA CALMANTE Y PROTECTORA DE LA PIEL</t>
  </si>
  <si>
    <t>TRIPACK-DEL</t>
  </si>
  <si>
    <t>CAJA 10 BLISTER</t>
  </si>
  <si>
    <t>AMOXICILINA, LEVOFLOXACINA Y ESOMEPRAZOL</t>
  </si>
  <si>
    <t>TUSILEXIL</t>
  </si>
  <si>
    <t>CARBOXIMETILCISTEÌNA/DEXTROMETORFANO/BROMHIDRATO/CLOFGENIRAMINA MALEATO</t>
  </si>
  <si>
    <t>LETERAGO</t>
  </si>
  <si>
    <t>URICRIS</t>
  </si>
  <si>
    <t>ALOPURINOL 300MG.</t>
  </si>
  <si>
    <t>URINOM XR</t>
  </si>
  <si>
    <t>TAMSULOSINA 0.4MG</t>
  </si>
  <si>
    <t>URITAM D</t>
  </si>
  <si>
    <t>DUTASTERIDA 05MG + TAMSULOSINA CLORHIDRATO 0.4MG</t>
  </si>
  <si>
    <t>UROBERRY FORTE</t>
  </si>
  <si>
    <t>EXTRACTO DE CRANBERRY, VITAMINA C</t>
  </si>
  <si>
    <t>UROXACINA/NORFLOXACINA</t>
  </si>
  <si>
    <t>MICTASOL tratamiento de infecciones agudas, crónicas y recurrentes del aparato urinario</t>
  </si>
  <si>
    <t>BRULAB</t>
  </si>
  <si>
    <t>VANCOMICINA</t>
  </si>
  <si>
    <t>VIDARTIL</t>
  </si>
  <si>
    <t>VIDAGLIPTINA 50MG.</t>
  </si>
  <si>
    <t>UNINOVA</t>
  </si>
  <si>
    <t>VINTAX</t>
  </si>
  <si>
    <t>IVERMECTINA 6MG.</t>
  </si>
  <si>
    <t>VIPAXEN</t>
  </si>
  <si>
    <t>IBUPROFENO 300MG + METOCARBAMOL 250MG</t>
  </si>
  <si>
    <t>VIPARSA</t>
  </si>
  <si>
    <t>VIRULEV</t>
  </si>
  <si>
    <t>CREMA 5G</t>
  </si>
  <si>
    <t>ACICLOVIR 5%</t>
  </si>
  <si>
    <t>LEVEN</t>
  </si>
  <si>
    <t>VIRULEVV400</t>
  </si>
  <si>
    <t>ACICLOVIR 400MG</t>
  </si>
  <si>
    <t>VITABROX</t>
  </si>
  <si>
    <t>FRASCO 240 ML</t>
  </si>
  <si>
    <t>SUPLEMENTO NUTRICIONAL</t>
  </si>
  <si>
    <t>WINVIT</t>
  </si>
  <si>
    <t>ZETAWIN</t>
  </si>
  <si>
    <t>PARACETAMOL 500MG.</t>
  </si>
  <si>
    <t>ZETAWIN FORTE</t>
  </si>
  <si>
    <t>PARACETAMOL 1G</t>
  </si>
  <si>
    <t>ZETAWIN PLUS</t>
  </si>
  <si>
    <t>PARACETAMOL 325MG + TRAMADOR HCI 37.5MG</t>
  </si>
  <si>
    <t>DESCARTABLE</t>
  </si>
  <si>
    <t>Agua Oxigenada Galòn</t>
  </si>
  <si>
    <t>GALÓN</t>
  </si>
  <si>
    <t>Aguja No. 20</t>
  </si>
  <si>
    <t>CAJA 100U.</t>
  </si>
  <si>
    <t>Aguja No. 22</t>
  </si>
  <si>
    <t>Aguja No. 23</t>
  </si>
  <si>
    <t>Aguja No. 24</t>
  </si>
  <si>
    <t>Aguja No. 25</t>
  </si>
  <si>
    <t>MEDICAL M&amp;M</t>
  </si>
  <si>
    <t>Alcohol Galón</t>
  </si>
  <si>
    <t>Galón</t>
  </si>
  <si>
    <t>Algodón Rollo</t>
  </si>
  <si>
    <t>LIBRA</t>
  </si>
  <si>
    <t>Angiocat 16</t>
  </si>
  <si>
    <t>Angiocat No. 18</t>
  </si>
  <si>
    <t>Angiocat No. 20</t>
  </si>
  <si>
    <t>Angiocat No.22</t>
  </si>
  <si>
    <t>Angiocat No. 24</t>
  </si>
  <si>
    <t>Aplicadore de madera</t>
  </si>
  <si>
    <t>BOLSA</t>
  </si>
  <si>
    <t>Baja Lenguas</t>
  </si>
  <si>
    <t>Bisturi No. 22</t>
  </si>
  <si>
    <t>Bolsa Rec. De orina</t>
  </si>
  <si>
    <t>Cabestrillo Talla S</t>
  </si>
  <si>
    <t>Cabestrillo Talla M</t>
  </si>
  <si>
    <t>Cabestrillo Talla L</t>
  </si>
  <si>
    <t>Cánula Binasal Pediatrico</t>
  </si>
  <si>
    <t>Cánula Binasal Adulto</t>
  </si>
  <si>
    <t>Cal sodada</t>
  </si>
  <si>
    <t>luis</t>
  </si>
  <si>
    <t>Cinta de testigo</t>
  </si>
  <si>
    <t>PROVEEDORA QUIRÚRGICA</t>
  </si>
  <si>
    <t>Empower</t>
  </si>
  <si>
    <t>Equipo de suero para Bomba</t>
  </si>
  <si>
    <t>Enema Fleet</t>
  </si>
  <si>
    <t>Equipo de suero</t>
  </si>
  <si>
    <t>Equipo Flebotek Ambar</t>
  </si>
  <si>
    <t>Electrodos para EKG</t>
  </si>
  <si>
    <t>BOLSA 50U.</t>
  </si>
  <si>
    <t>Espéculos Talla Small</t>
  </si>
  <si>
    <t>BIOTHICAL</t>
  </si>
  <si>
    <t>Espéculos vaginales T.M</t>
  </si>
  <si>
    <t>Espéculos vaginalesT. L</t>
  </si>
  <si>
    <t>Formucide Dic</t>
  </si>
  <si>
    <t>Galon</t>
  </si>
  <si>
    <t>Formol Galón</t>
  </si>
  <si>
    <t>Formuex galon</t>
  </si>
  <si>
    <t>Glucocide Galon</t>
  </si>
  <si>
    <t>Gaza</t>
  </si>
  <si>
    <t>Pieza 36 Ydas.</t>
  </si>
  <si>
    <t>Glucometro monitor</t>
  </si>
  <si>
    <t>Unidad</t>
  </si>
  <si>
    <t>DASA</t>
  </si>
  <si>
    <t>Guantes desc. talla M</t>
  </si>
  <si>
    <t>caja 50 pares</t>
  </si>
  <si>
    <t>Guantes Qx. No. 6 1/2</t>
  </si>
  <si>
    <t>Guantes Qx. No. 7.</t>
  </si>
  <si>
    <t>Guantes QX. No. 7 1/2</t>
  </si>
  <si>
    <t>Hilo Nylon 1-0</t>
  </si>
  <si>
    <t>JOSE GUILLERMO</t>
  </si>
  <si>
    <t>Hilo Nylon 2-0</t>
  </si>
  <si>
    <t>Hilo Nylon 3-0</t>
  </si>
  <si>
    <t>OSCAR RIVAS</t>
  </si>
  <si>
    <t>Hilo Nylon 4-0</t>
  </si>
  <si>
    <t>Hilo Nylon 5-0</t>
  </si>
  <si>
    <t>Hilo Nylon 6-0</t>
  </si>
  <si>
    <t>Hilo Vicril 0-0</t>
  </si>
  <si>
    <t>Hilo Vicril 1-0</t>
  </si>
  <si>
    <t>Hilo Vicril 2-0 (punta Cónica )</t>
  </si>
  <si>
    <t>Hilo Vicril 3-0, Punta Cònica)</t>
  </si>
  <si>
    <t>Hilo Vicril 4-0</t>
  </si>
  <si>
    <t>Hilo Vicril 5-0</t>
  </si>
  <si>
    <t>Humificadores</t>
  </si>
  <si>
    <t>DAKO</t>
  </si>
  <si>
    <t>Hisopos de madera</t>
  </si>
  <si>
    <t>Bolsa 100 u.</t>
  </si>
  <si>
    <t>Jeringa Desc. 1cc.</t>
  </si>
  <si>
    <t>caja 100 u,.</t>
  </si>
  <si>
    <t>Jeringa Desc. 3cc.</t>
  </si>
  <si>
    <t>Jeringa Desc. 5cc.</t>
  </si>
  <si>
    <t>Jeringa Desc. 10.cc</t>
  </si>
  <si>
    <t>Jeringa Desc. 20cc</t>
  </si>
  <si>
    <t>caja 50</t>
  </si>
  <si>
    <t>Mascarilla p/oxigeno c/res. L</t>
  </si>
  <si>
    <t>Mascarilla p/oxigeno c/res. M</t>
  </si>
  <si>
    <t>Mascarilla p/Nebulizar Talla L</t>
  </si>
  <si>
    <t>Mascarillas p/nebulizar talla M</t>
  </si>
  <si>
    <t>caja 50 unid.</t>
  </si>
  <si>
    <t>Microgoteros</t>
  </si>
  <si>
    <t>Micropore 1 Pulgada</t>
  </si>
  <si>
    <t>Papel Crepado 110*240</t>
  </si>
  <si>
    <t>Rollo</t>
  </si>
  <si>
    <t>Pañal Desechable Niño</t>
  </si>
  <si>
    <t>Sonda Foley No. 12</t>
  </si>
  <si>
    <t>Sonda Foley 14</t>
  </si>
  <si>
    <t>Sonda Foley No. 16</t>
  </si>
  <si>
    <t>Sonda Foley 18</t>
  </si>
  <si>
    <t>Sonda Foley 16 3 vias</t>
  </si>
  <si>
    <t>Sonda Foley 18 3 vias</t>
  </si>
  <si>
    <t>Sonda Foley 20 3 vias</t>
  </si>
  <si>
    <t>Sonda Foley 22 3 vias</t>
  </si>
  <si>
    <t>SONDA DE ALIMENTACIÓN #10</t>
  </si>
  <si>
    <t>SONDA DE ALIMENTACIÓN #5</t>
  </si>
  <si>
    <t>SONDA DE ALIMENTACIÓN #8</t>
  </si>
  <si>
    <t>SONDA DE SUCCIÓN #14</t>
  </si>
  <si>
    <t>SONDA DE SUCCIÓN #18</t>
  </si>
  <si>
    <t>SONDA DE SUCCIÓN #6</t>
  </si>
  <si>
    <t>Sellos de heparina</t>
  </si>
  <si>
    <t>Tiras para Glucómetro</t>
  </si>
  <si>
    <t>caja 50 tiras</t>
  </si>
  <si>
    <t>Termòmetros Orales</t>
  </si>
  <si>
    <t>TUBO DE ASPIRACIÓN</t>
  </si>
  <si>
    <t>Tubo de Penros de 1/2</t>
  </si>
  <si>
    <t>Tubo de Penros de 1 Pulg.</t>
  </si>
  <si>
    <t>fco.</t>
  </si>
  <si>
    <t>Vaselina solida</t>
  </si>
  <si>
    <t>Venda de gaza 4 pulg.</t>
  </si>
  <si>
    <t>Venda de guata 4 Pulg.</t>
  </si>
  <si>
    <t>Venda de yeso 4 pulg.</t>
  </si>
  <si>
    <t>Venda de yeso 6 pulg.</t>
  </si>
  <si>
    <t>Venda Elastica 4 Pulg. Don.</t>
  </si>
  <si>
    <t>Venda Elastica 6 Pulg</t>
  </si>
  <si>
    <t>peras de succion</t>
  </si>
  <si>
    <t>Aguja No. 18</t>
  </si>
  <si>
    <t>Jul-28</t>
  </si>
  <si>
    <t>Q30.00</t>
  </si>
  <si>
    <t>Q45.00</t>
  </si>
  <si>
    <t>septidex</t>
  </si>
  <si>
    <t>CONSULTA MEDICAMENTO</t>
  </si>
  <si>
    <t>NOMBRE COMERCIAL O PRESENTACION</t>
  </si>
  <si>
    <t xml:space="preserve">ranitidina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</si>
</sst>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[$Q]#,##0.00"/>
    <numFmt numFmtId="165" formatCode="mmm\-d"/>
  </numFmts>
  <fonts count="19">
    <font>
      <sz val="10"/>
      <color rgb="FF000000"/>
      <name val="Arial"/>
      <scheme val="minor"/>
    </font>
    <font>
      <b/>
      <sz val="22"/>
      <color rgb="FF000000"/>
      <name val="Lexend"/>
    </font>
    <font>
      <b/>
      <sz val="11"/>
      <color theme="1"/>
      <name val="Lexend"/>
    </font>
    <font>
      <sz val="9"/>
      <color rgb="FF000000"/>
      <name val="Lexend"/>
    </font>
    <font>
      <sz val="10"/>
      <color rgb="FF000000"/>
      <name val="Lexend"/>
    </font>
    <font>
      <sz val="9"/>
      <color rgb="FF040C28"/>
      <name val="Lexend"/>
    </font>
    <font>
      <sz val="8"/>
      <color rgb="FF474747"/>
      <name val="Lexend"/>
    </font>
    <font>
      <sz val="10"/>
      <color rgb="FF040C28"/>
      <name val="Lexend"/>
    </font>
    <font>
      <sz val="9"/>
      <color theme="1"/>
      <name val="Lexend"/>
    </font>
    <font>
      <sz val="12"/>
      <color rgb="FF040C28"/>
      <name val="Lexend"/>
    </font>
    <font>
      <sz val="8"/>
      <color rgb="FF040C28"/>
      <name val="Lexend"/>
    </font>
    <font>
      <b/>
      <sz val="11"/>
      <color rgb="FFFFFFFF"/>
      <name val="Lexend"/>
    </font>
    <font>
      <sz val="11"/>
      <color rgb="FF000000"/>
      <name val="Calibri"/>
      <family val="2"/>
    </font>
    <font>
      <sz val="10"/>
      <color theme="1"/>
      <name val="Lexend"/>
    </font>
    <font>
      <sz val="19"/>
      <color rgb="FFFFFFFF"/>
      <name val="Lexend"/>
    </font>
    <font>
      <sz val="10"/>
      <color rgb="FF000000"/>
      <name val="Lexend"/>
    </font>
    <font>
      <sz val="10"/>
      <color rgb="FFFFFFFF"/>
      <name val="Lexend"/>
    </font>
    <font>
      <sz val="10"/>
      <color theme="1"/>
      <name val="Arial"/>
      <family val="2"/>
      <scheme val="minor"/>
    </font>
    <font>
      <sz val="12"/>
      <color theme="1"/>
      <name val="Lexend"/>
    </font>
  </fonts>
  <fills count="11">
    <fill>
      <patternFill patternType="none"/>
    </fill>
    <fill>
      <patternFill patternType="gray125"/>
    </fill>
    <fill>
      <patternFill patternType="solid">
        <fgColor rgb="FFDDEBF7"/>
        <bgColor rgb="FFDDEBF7"/>
      </patternFill>
    </fill>
    <fill>
      <patternFill patternType="solid">
        <fgColor rgb="FFFFFF00"/>
        <bgColor rgb="FFFFFF00"/>
      </patternFill>
    </fill>
    <fill>
      <patternFill patternType="solid">
        <fgColor rgb="FF00B0F0"/>
        <bgColor rgb="FF00B0F0"/>
      </patternFill>
    </fill>
    <fill>
      <patternFill patternType="solid">
        <fgColor rgb="FFFFFFFF"/>
        <bgColor rgb="FFFFFFFF"/>
      </patternFill>
    </fill>
    <fill>
      <patternFill patternType="solid">
        <fgColor rgb="FF833C0C"/>
        <bgColor rgb="FF833C0C"/>
      </patternFill>
    </fill>
    <fill>
      <patternFill patternType="solid">
        <fgColor rgb="FFD9E1F2"/>
        <bgColor rgb="FFD9E1F2"/>
      </patternFill>
    </fill>
    <fill>
      <patternFill patternType="solid">
        <fgColor rgb="FF980000"/>
        <bgColor rgb="FF980000"/>
      </patternFill>
    </fill>
    <fill>
      <patternFill patternType="solid">
        <fgColor rgb="FFD4D7F0"/>
        <bgColor rgb="FFD4D7F0"/>
      </patternFill>
    </fill>
    <fill>
      <patternFill patternType="solid">
        <fgColor rgb="FF0C343D"/>
        <bgColor rgb="FF0C343D"/>
      </patternFill>
    </fill>
  </fills>
  <borders count="9">
    <border>
      <left/>
      <right/>
      <top/>
      <bottom/>
      <diagonal/>
    </border>
    <border>
      <left style="thin">
        <color rgb="FF3E4791"/>
      </left>
      <right style="thin">
        <color rgb="FF3E4791"/>
      </right>
      <top style="thin">
        <color rgb="FF3E4791"/>
      </top>
      <bottom style="thin">
        <color rgb="FF3E4791"/>
      </bottom>
      <diagonal/>
    </border>
    <border>
      <left style="thin">
        <color rgb="FF9BC2E6"/>
      </left>
      <right style="thin">
        <color rgb="FFD9D9D9"/>
      </right>
      <top style="thin">
        <color rgb="FF9BC2E6"/>
      </top>
      <bottom style="thin">
        <color rgb="FF9BC2E6"/>
      </bottom>
      <diagonal/>
    </border>
    <border>
      <left style="thin">
        <color rgb="FFD9D9D9"/>
      </left>
      <right style="thin">
        <color rgb="FFD9D9D9"/>
      </right>
      <top style="thin">
        <color rgb="FF9BC2E6"/>
      </top>
      <bottom style="thin">
        <color rgb="FF9BC2E6"/>
      </bottom>
      <diagonal/>
    </border>
    <border>
      <left style="thin">
        <color rgb="FFD9D9D9"/>
      </left>
      <right style="thin">
        <color rgb="FF9BC2E6"/>
      </right>
      <top style="thin">
        <color rgb="FF9BC2E6"/>
      </top>
      <bottom style="thin">
        <color rgb="FF9BC2E6"/>
      </bottom>
      <diagonal/>
    </border>
    <border>
      <left style="thin">
        <color rgb="FF9BC2E6"/>
      </left>
      <right style="thin">
        <color rgb="FF9BC2E6"/>
      </right>
      <top style="thin">
        <color rgb="FF9BC2E6"/>
      </top>
      <bottom style="thin">
        <color rgb="FF9BC2E6"/>
      </bottom>
      <diagonal/>
    </border>
    <border>
      <left style="thin">
        <color rgb="FF9BC2E6"/>
      </left>
      <right style="thin">
        <color rgb="FF3E4791"/>
      </right>
      <top style="thin">
        <color rgb="FF9BC2E6"/>
      </top>
      <bottom style="thin">
        <color rgb="FF9BC2E6"/>
      </bottom>
      <diagonal/>
    </border>
    <border>
      <left style="thin">
        <color rgb="FFD9D9D9"/>
      </left>
      <right style="thin">
        <color rgb="FF3E4791"/>
      </right>
      <top style="thin">
        <color rgb="FF9BC2E6"/>
      </top>
      <bottom style="thin">
        <color rgb="FF9BC2E6"/>
      </bottom>
      <diagonal/>
    </border>
    <border>
      <left style="thin">
        <color rgb="FF3E4791"/>
      </left>
      <right style="thin">
        <color rgb="FF3E4791"/>
      </right>
      <top style="thin">
        <color rgb="FF9BC2E6"/>
      </top>
      <bottom style="thin">
        <color rgb="FF9BC2E6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165" fontId="4" fillId="2" borderId="3" xfId="0" applyNumberFormat="1" applyFont="1" applyFill="1" applyBorder="1" applyAlignment="1">
      <alignment horizontal="center" vertical="center" wrapText="1"/>
    </xf>
    <xf numFmtId="164" fontId="4" fillId="2" borderId="3" xfId="0" applyNumberFormat="1" applyFont="1" applyFill="1" applyBorder="1" applyAlignment="1">
      <alignment horizontal="center" vertical="center" wrapText="1"/>
    </xf>
    <xf numFmtId="164" fontId="4" fillId="2" borderId="4" xfId="0" applyNumberFormat="1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165" fontId="4" fillId="0" borderId="3" xfId="0" applyNumberFormat="1" applyFont="1" applyBorder="1" applyAlignment="1">
      <alignment horizontal="center" vertical="center" wrapText="1"/>
    </xf>
    <xf numFmtId="164" fontId="4" fillId="0" borderId="3" xfId="0" applyNumberFormat="1" applyFont="1" applyBorder="1" applyAlignment="1">
      <alignment horizontal="center" vertical="center" wrapText="1"/>
    </xf>
    <xf numFmtId="164" fontId="4" fillId="0" borderId="4" xfId="0" applyNumberFormat="1" applyFont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165" fontId="4" fillId="3" borderId="3" xfId="0" applyNumberFormat="1" applyFont="1" applyFill="1" applyBorder="1" applyAlignment="1">
      <alignment horizontal="center" vertical="center" wrapText="1"/>
    </xf>
    <xf numFmtId="164" fontId="4" fillId="3" borderId="3" xfId="0" applyNumberFormat="1" applyFont="1" applyFill="1" applyBorder="1" applyAlignment="1">
      <alignment horizontal="center" vertical="center" wrapText="1"/>
    </xf>
    <xf numFmtId="164" fontId="4" fillId="3" borderId="4" xfId="0" applyNumberFormat="1" applyFont="1" applyFill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 wrapText="1"/>
    </xf>
    <xf numFmtId="165" fontId="4" fillId="4" borderId="3" xfId="0" applyNumberFormat="1" applyFont="1" applyFill="1" applyBorder="1" applyAlignment="1">
      <alignment horizontal="center" vertical="center" wrapText="1"/>
    </xf>
    <xf numFmtId="164" fontId="4" fillId="4" borderId="3" xfId="0" applyNumberFormat="1" applyFont="1" applyFill="1" applyBorder="1" applyAlignment="1">
      <alignment horizontal="center" vertical="center" wrapText="1"/>
    </xf>
    <xf numFmtId="164" fontId="4" fillId="4" borderId="4" xfId="0" applyNumberFormat="1" applyFont="1" applyFill="1" applyBorder="1" applyAlignment="1">
      <alignment horizontal="center" vertical="center" wrapText="1"/>
    </xf>
    <xf numFmtId="164" fontId="4" fillId="0" borderId="5" xfId="0" applyNumberFormat="1" applyFont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165" fontId="4" fillId="5" borderId="3" xfId="0" applyNumberFormat="1" applyFont="1" applyFill="1" applyBorder="1" applyAlignment="1">
      <alignment horizontal="center" vertical="center" wrapText="1"/>
    </xf>
    <xf numFmtId="164" fontId="4" fillId="5" borderId="3" xfId="0" applyNumberFormat="1" applyFont="1" applyFill="1" applyBorder="1" applyAlignment="1">
      <alignment horizontal="center" vertical="center" wrapText="1"/>
    </xf>
    <xf numFmtId="164" fontId="4" fillId="5" borderId="4" xfId="0" applyNumberFormat="1" applyFont="1" applyFill="1" applyBorder="1" applyAlignment="1">
      <alignment horizontal="center" vertical="center" wrapText="1"/>
    </xf>
    <xf numFmtId="0" fontId="3" fillId="6" borderId="2" xfId="0" applyFont="1" applyFill="1" applyBorder="1" applyAlignment="1">
      <alignment horizontal="center" vertical="center" wrapText="1"/>
    </xf>
    <xf numFmtId="0" fontId="3" fillId="6" borderId="3" xfId="0" applyFont="1" applyFill="1" applyBorder="1" applyAlignment="1">
      <alignment horizontal="center" vertical="center" wrapText="1"/>
    </xf>
    <xf numFmtId="165" fontId="4" fillId="6" borderId="3" xfId="0" applyNumberFormat="1" applyFont="1" applyFill="1" applyBorder="1" applyAlignment="1">
      <alignment horizontal="center" vertical="center" wrapText="1"/>
    </xf>
    <xf numFmtId="164" fontId="4" fillId="6" borderId="3" xfId="0" applyNumberFormat="1" applyFont="1" applyFill="1" applyBorder="1" applyAlignment="1">
      <alignment horizontal="center" vertical="center" wrapText="1"/>
    </xf>
    <xf numFmtId="164" fontId="4" fillId="6" borderId="4" xfId="0" applyNumberFormat="1" applyFont="1" applyFill="1" applyBorder="1" applyAlignment="1">
      <alignment horizontal="center" vertical="center" wrapText="1"/>
    </xf>
    <xf numFmtId="164" fontId="4" fillId="7" borderId="4" xfId="0" applyNumberFormat="1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3" fillId="7" borderId="2" xfId="0" applyFont="1" applyFill="1" applyBorder="1" applyAlignment="1">
      <alignment horizontal="center" vertical="center" wrapText="1"/>
    </xf>
    <xf numFmtId="0" fontId="3" fillId="7" borderId="3" xfId="0" applyFont="1" applyFill="1" applyBorder="1" applyAlignment="1">
      <alignment horizontal="center" vertical="center" wrapText="1"/>
    </xf>
    <xf numFmtId="165" fontId="4" fillId="7" borderId="3" xfId="0" applyNumberFormat="1" applyFont="1" applyFill="1" applyBorder="1" applyAlignment="1">
      <alignment horizontal="center" vertical="center" wrapText="1"/>
    </xf>
    <xf numFmtId="164" fontId="4" fillId="7" borderId="3" xfId="0" applyNumberFormat="1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1" fillId="8" borderId="2" xfId="0" applyFont="1" applyFill="1" applyBorder="1" applyAlignment="1">
      <alignment horizontal="center" vertical="center" wrapText="1"/>
    </xf>
    <xf numFmtId="0" fontId="11" fillId="8" borderId="6" xfId="0" applyFont="1" applyFill="1" applyBorder="1" applyAlignment="1">
      <alignment horizontal="center" vertical="center" wrapText="1"/>
    </xf>
    <xf numFmtId="165" fontId="12" fillId="2" borderId="3" xfId="0" applyNumberFormat="1" applyFont="1" applyFill="1" applyBorder="1" applyAlignment="1">
      <alignment horizontal="right"/>
    </xf>
    <xf numFmtId="164" fontId="4" fillId="0" borderId="7" xfId="0" applyNumberFormat="1" applyFont="1" applyBorder="1" applyAlignment="1">
      <alignment horizontal="center" vertical="center" wrapText="1"/>
    </xf>
    <xf numFmtId="165" fontId="12" fillId="0" borderId="3" xfId="0" applyNumberFormat="1" applyFont="1" applyBorder="1" applyAlignment="1">
      <alignment horizontal="right"/>
    </xf>
    <xf numFmtId="0" fontId="13" fillId="0" borderId="0" xfId="0" applyFont="1"/>
    <xf numFmtId="0" fontId="12" fillId="2" borderId="3" xfId="0" applyFont="1" applyFill="1" applyBorder="1" applyAlignment="1">
      <alignment horizontal="right"/>
    </xf>
    <xf numFmtId="0" fontId="12" fillId="2" borderId="3" xfId="0" applyFont="1" applyFill="1" applyBorder="1"/>
    <xf numFmtId="0" fontId="12" fillId="0" borderId="3" xfId="0" applyFont="1" applyBorder="1"/>
    <xf numFmtId="0" fontId="12" fillId="0" borderId="3" xfId="0" applyFont="1" applyBorder="1" applyAlignment="1">
      <alignment horizontal="right"/>
    </xf>
    <xf numFmtId="0" fontId="3" fillId="9" borderId="6" xfId="0" applyFont="1" applyFill="1" applyBorder="1" applyAlignment="1">
      <alignment horizontal="center" vertical="center" wrapText="1"/>
    </xf>
    <xf numFmtId="165" fontId="12" fillId="9" borderId="8" xfId="0" applyNumberFormat="1" applyFont="1" applyFill="1" applyBorder="1" applyAlignment="1">
      <alignment horizontal="right"/>
    </xf>
    <xf numFmtId="164" fontId="4" fillId="9" borderId="8" xfId="0" applyNumberFormat="1" applyFont="1" applyFill="1" applyBorder="1" applyAlignment="1">
      <alignment horizontal="center" vertical="center" wrapText="1"/>
    </xf>
    <xf numFmtId="0" fontId="13" fillId="0" borderId="0" xfId="0" applyFont="1" applyAlignment="1">
      <alignment horizontal="center"/>
    </xf>
    <xf numFmtId="164" fontId="13" fillId="0" borderId="0" xfId="0" applyNumberFormat="1" applyFont="1" applyAlignment="1">
      <alignment horizontal="center"/>
    </xf>
    <xf numFmtId="0" fontId="13" fillId="10" borderId="0" xfId="0" applyFont="1" applyFill="1"/>
    <xf numFmtId="0" fontId="16" fillId="10" borderId="0" xfId="0" applyFont="1" applyFill="1" applyAlignment="1">
      <alignment horizontal="center" vertical="center"/>
    </xf>
    <xf numFmtId="0" fontId="17" fillId="0" borderId="0" xfId="0" applyFont="1"/>
    <xf numFmtId="0" fontId="16" fillId="10" borderId="0" xfId="0" applyFont="1" applyFill="1"/>
    <xf numFmtId="0" fontId="18" fillId="0" borderId="0" xfId="0" applyFont="1" applyAlignment="1">
      <alignment horizontal="center" vertical="center"/>
    </xf>
    <xf numFmtId="164" fontId="18" fillId="0" borderId="0" xfId="0" applyNumberFormat="1" applyFont="1" applyAlignment="1">
      <alignment horizontal="center" vertical="center"/>
    </xf>
    <xf numFmtId="165" fontId="18" fillId="0" borderId="0" xfId="0" applyNumberFormat="1" applyFont="1" applyAlignment="1">
      <alignment horizontal="center" vertical="center"/>
    </xf>
    <xf numFmtId="164" fontId="13" fillId="0" borderId="0" xfId="0" applyNumberFormat="1" applyFont="1"/>
    <xf numFmtId="0" fontId="1" fillId="0" borderId="0" xfId="0" applyFont="1" applyAlignment="1">
      <alignment horizontal="center"/>
    </xf>
    <xf numFmtId="0" fontId="0" fillId="0" borderId="0" xfId="0"/>
    <xf numFmtId="0" fontId="14" fillId="10" borderId="0" xfId="0" applyFont="1" applyFill="1" applyAlignment="1">
      <alignment horizontal="center" vertical="center"/>
    </xf>
    <xf numFmtId="0" fontId="15" fillId="0" borderId="0" xfId="0" applyFont="1" applyAlignment="1">
      <alignment horizontal="left" vertical="center"/>
    </xf>
  </cellXfs>
  <cellStyles count="1">
    <cellStyle name="Normal" xfId="0" builtinId="0"/>
  </cellStyles>
  <dxfs count="2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Lexend"/>
        <scheme val="none"/>
      </font>
      <numFmt numFmtId="164" formatCode="[$Q]#,##0.00"/>
      <fill>
        <patternFill patternType="solid">
          <fgColor rgb="FFD4D7F0"/>
          <bgColor rgb="FFD4D7F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3E4791"/>
        </left>
        <right style="thin">
          <color rgb="FF3E4791"/>
        </right>
        <top style="thin">
          <color rgb="FF9BC2E6"/>
        </top>
        <bottom style="thin">
          <color rgb="FF9BC2E6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Lexend"/>
        <scheme val="none"/>
      </font>
      <numFmt numFmtId="164" formatCode="[$Q]#,##0.00"/>
      <fill>
        <patternFill patternType="solid">
          <fgColor rgb="FFD4D7F0"/>
          <bgColor rgb="FFD4D7F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3E4791"/>
        </left>
        <right style="thin">
          <color rgb="FF3E4791"/>
        </right>
        <top style="thin">
          <color rgb="FF9BC2E6"/>
        </top>
        <bottom style="thin">
          <color rgb="FF9BC2E6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Lexend"/>
        <scheme val="none"/>
      </font>
      <numFmt numFmtId="164" formatCode="[$Q]#,##0.00"/>
      <fill>
        <patternFill patternType="solid">
          <fgColor rgb="FFD4D7F0"/>
          <bgColor rgb="FFD4D7F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3E4791"/>
        </left>
        <right style="thin">
          <color rgb="FF3E4791"/>
        </right>
        <top style="thin">
          <color rgb="FF9BC2E6"/>
        </top>
        <bottom style="thin">
          <color rgb="FF9BC2E6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65" formatCode="mmm\-d"/>
      <fill>
        <patternFill patternType="solid">
          <fgColor rgb="FFD4D7F0"/>
          <bgColor rgb="FFD4D7F0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rgb="FF3E4791"/>
        </left>
        <right style="thin">
          <color rgb="FF3E4791"/>
        </right>
        <top style="thin">
          <color rgb="FF9BC2E6"/>
        </top>
        <bottom style="thin">
          <color rgb="FF9BC2E6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Lexend"/>
        <scheme val="none"/>
      </font>
      <fill>
        <patternFill patternType="solid">
          <fgColor rgb="FFD4D7F0"/>
          <bgColor rgb="FFD4D7F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9BC2E6"/>
        </left>
        <right style="thin">
          <color rgb="FF3E4791"/>
        </right>
        <top style="thin">
          <color rgb="FF9BC2E6"/>
        </top>
        <bottom style="thin">
          <color rgb="FF9BC2E6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Lexend"/>
        <scheme val="none"/>
      </font>
      <fill>
        <patternFill patternType="solid">
          <fgColor rgb="FFD4D7F0"/>
          <bgColor rgb="FFD4D7F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9BC2E6"/>
        </left>
        <right style="thin">
          <color rgb="FF3E4791"/>
        </right>
        <top style="thin">
          <color rgb="FF9BC2E6"/>
        </top>
        <bottom style="thin">
          <color rgb="FF9BC2E6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Lexend"/>
        <scheme val="none"/>
      </font>
      <fill>
        <patternFill patternType="solid">
          <fgColor rgb="FFD4D7F0"/>
          <bgColor rgb="FFD4D7F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9BC2E6"/>
        </left>
        <right style="thin">
          <color rgb="FF3E4791"/>
        </right>
        <top style="thin">
          <color rgb="FF9BC2E6"/>
        </top>
        <bottom style="thin">
          <color rgb="FF9BC2E6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Lexend"/>
        <scheme val="none"/>
      </font>
      <fill>
        <patternFill patternType="solid">
          <fgColor rgb="FFD4D7F0"/>
          <bgColor rgb="FFD4D7F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9BC2E6"/>
        </left>
        <right style="thin">
          <color rgb="FF3E4791"/>
        </right>
        <top style="thin">
          <color rgb="FF9BC2E6"/>
        </top>
        <bottom style="thin">
          <color rgb="FF9BC2E6"/>
        </bottom>
      </border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D4D7F0"/>
          <bgColor rgb="FFD4D7F0"/>
        </patternFill>
      </fill>
    </dxf>
    <dxf>
      <fill>
        <patternFill patternType="solid">
          <fgColor rgb="FF535FC1"/>
          <bgColor rgb="FF535FC1"/>
        </patternFill>
      </fill>
    </dxf>
  </dxfs>
  <tableStyles count="4">
    <tableStyle name="ARANCEL-style" pivot="0" count="4" xr9:uid="{00000000-0011-0000-FFFF-FFFF00000000}">
      <tableStyleElement type="headerRow" dxfId="20"/>
      <tableStyleElement type="totalRow" dxfId="19"/>
      <tableStyleElement type="firstRowStripe" dxfId="18"/>
      <tableStyleElement type="secondRowStripe" dxfId="17"/>
    </tableStyle>
    <tableStyle name="CONSULTA ENFERMERIA-style" pivot="0" count="3" xr9:uid="{00000000-0011-0000-FFFF-FFFF01000000}">
      <tableStyleElement type="headerRow" dxfId="16"/>
      <tableStyleElement type="firstRowStripe" dxfId="15"/>
      <tableStyleElement type="secondRowStripe" dxfId="14"/>
    </tableStyle>
    <tableStyle name="CONSULTA EMERGENCIA-style" pivot="0" count="3" xr9:uid="{00000000-0011-0000-FFFF-FFFF02000000}">
      <tableStyleElement type="headerRow" dxfId="13"/>
      <tableStyleElement type="firstRowStripe" dxfId="12"/>
      <tableStyleElement type="secondRowStripe" dxfId="11"/>
    </tableStyle>
    <tableStyle name="CONSULTA GENERAL-style" pivot="0" count="3" xr9:uid="{00000000-0011-0000-FFFF-FFFF03000000}">
      <tableStyleElement type="headerRow" dxfId="10"/>
      <tableStyleElement type="firstRowStripe" dxfId="9"/>
      <tableStyleElement type="secondRowStripe" dxfId="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rancel" displayName="Arancel" ref="B3:I367" totalsRowCount="1">
  <tableColumns count="8">
    <tableColumn id="1" xr3:uid="{00000000-0010-0000-0000-000001000000}" name="NOMBRE COMERCIAL" totalsRowLabel="Aguja No. 18" totalsRowDxfId="7"/>
    <tableColumn id="2" xr3:uid="{00000000-0010-0000-0000-000002000000}" name="PRESENTACIÓN" totalsRowLabel="CAJA 100U." totalsRowDxfId="6"/>
    <tableColumn id="3" xr3:uid="{00000000-0010-0000-0000-000003000000}" name="PRINCIPIO ACTIVO" totalsRowDxfId="5"/>
    <tableColumn id="4" xr3:uid="{00000000-0010-0000-0000-000004000000}" name="CASA" totalsRowLabel="H&amp;L" totalsRowDxfId="4"/>
    <tableColumn id="5" xr3:uid="{00000000-0010-0000-0000-000005000000}" name="EXPIRA" totalsRowLabel="Jul-28" totalsRowDxfId="3"/>
    <tableColumn id="6" xr3:uid="{00000000-0010-0000-0000-000006000000}" name="PRECIO COSTO" totalsRowLabel="Q30.00" totalsRowDxfId="2"/>
    <tableColumn id="7" xr3:uid="{00000000-0010-0000-0000-000007000000}" name="P. VENT. APROX." totalsRowFunction="custom" totalsRowDxfId="1">
      <totalsRowFormula>G367+(G367*40%)</totalsRowFormula>
    </tableColumn>
    <tableColumn id="8" xr3:uid="{00000000-0010-0000-0000-000008000000}" name="PRECIO AL PÚBLICO" totalsRowLabel="Q45.00" totalsRowDxfId="0"/>
  </tableColumns>
  <tableStyleInfo name="ARANCEL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1" displayName="Table_1" ref="B7:I370">
  <tableColumns count="8">
    <tableColumn id="1" xr3:uid="{00000000-0010-0000-0100-000001000000}" name="NOMBRE COMERCIAL"/>
    <tableColumn id="2" xr3:uid="{00000000-0010-0000-0100-000002000000}" name="PRESENTACIÓN"/>
    <tableColumn id="3" xr3:uid="{00000000-0010-0000-0100-000003000000}" name="PRINCIPIO ACTIVO"/>
    <tableColumn id="4" xr3:uid="{00000000-0010-0000-0100-000004000000}" name="CASA"/>
    <tableColumn id="5" xr3:uid="{00000000-0010-0000-0100-000005000000}" name="EXPIRA"/>
    <tableColumn id="6" xr3:uid="{00000000-0010-0000-0100-000006000000}" name="PRECIO COSTO"/>
    <tableColumn id="7" xr3:uid="{00000000-0010-0000-0100-000007000000}" name="P. VENT. APROX."/>
    <tableColumn id="8" xr3:uid="{00000000-0010-0000-0100-000008000000}" name="PRECIO AL PÚBLICO"/>
  </tableColumns>
  <tableStyleInfo name="CONSULTA ENFERMERIA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2" displayName="Table_2" ref="B7:I370">
  <tableColumns count="8">
    <tableColumn id="1" xr3:uid="{00000000-0010-0000-0200-000001000000}" name="NOMBRE COMERCIAL"/>
    <tableColumn id="2" xr3:uid="{00000000-0010-0000-0200-000002000000}" name="PRESENTACIÓN"/>
    <tableColumn id="3" xr3:uid="{00000000-0010-0000-0200-000003000000}" name="PRINCIPIO ACTIVO"/>
    <tableColumn id="4" xr3:uid="{00000000-0010-0000-0200-000004000000}" name="CASA"/>
    <tableColumn id="5" xr3:uid="{00000000-0010-0000-0200-000005000000}" name="EXPIRA"/>
    <tableColumn id="6" xr3:uid="{00000000-0010-0000-0200-000006000000}" name="PRECIO COSTO"/>
    <tableColumn id="7" xr3:uid="{00000000-0010-0000-0200-000007000000}" name="P. VENT. APROX."/>
    <tableColumn id="8" xr3:uid="{00000000-0010-0000-0200-000008000000}" name="PRECIO AL PÚBLICO"/>
  </tableColumns>
  <tableStyleInfo name="CONSULTA EMERGENCIA-style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_3" displayName="Table_3" ref="B7:I370">
  <tableColumns count="8">
    <tableColumn id="1" xr3:uid="{00000000-0010-0000-0300-000001000000}" name="NOMBRE COMERCIAL"/>
    <tableColumn id="2" xr3:uid="{00000000-0010-0000-0300-000002000000}" name="PRESENTACIÓN"/>
    <tableColumn id="3" xr3:uid="{00000000-0010-0000-0300-000003000000}" name="PRINCIPIO ACTIVO"/>
    <tableColumn id="4" xr3:uid="{00000000-0010-0000-0300-000004000000}" name="CASA"/>
    <tableColumn id="5" xr3:uid="{00000000-0010-0000-0300-000005000000}" name="EXPIRA"/>
    <tableColumn id="6" xr3:uid="{00000000-0010-0000-0300-000006000000}" name="PRECIO COSTO"/>
    <tableColumn id="7" xr3:uid="{00000000-0010-0000-0300-000007000000}" name="P. VENT. APROX."/>
    <tableColumn id="8" xr3:uid="{00000000-0010-0000-0300-000008000000}" name="PRECIO AL PÚBLICO"/>
  </tableColumns>
  <tableStyleInfo name="CONSULTA GENERAL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1003"/>
  <sheetViews>
    <sheetView tabSelected="1" topLeftCell="A12" workbookViewId="0">
      <selection activeCell="C2" sqref="C2"/>
    </sheetView>
  </sheetViews>
  <sheetFormatPr baseColWidth="10" defaultColWidth="12.5703125" defaultRowHeight="15.75" customHeight="1"/>
  <cols>
    <col min="1" max="1" width="18.140625" customWidth="1"/>
    <col min="2" max="2" width="41" customWidth="1"/>
    <col min="3" max="3" width="37.5703125" customWidth="1"/>
    <col min="4" max="4" width="27" customWidth="1"/>
    <col min="5" max="5" width="22.85546875" customWidth="1"/>
    <col min="6" max="6" width="16.5703125" customWidth="1"/>
    <col min="7" max="7" width="17.7109375" customWidth="1"/>
    <col min="8" max="8" width="20.42578125" customWidth="1"/>
    <col min="9" max="9" width="22.140625" customWidth="1"/>
  </cols>
  <sheetData>
    <row r="1" spans="1:9" ht="15.75" customHeight="1">
      <c r="A1" s="77"/>
      <c r="B1" s="78"/>
      <c r="C1" s="78"/>
      <c r="D1" s="78"/>
      <c r="E1" s="78"/>
      <c r="F1" s="78"/>
      <c r="G1" s="78"/>
      <c r="H1" s="78"/>
    </row>
    <row r="2" spans="1:9" ht="15.75" customHeight="1">
      <c r="B2" s="1"/>
      <c r="C2" s="1"/>
      <c r="D2" s="1"/>
      <c r="E2" s="1"/>
      <c r="F2" s="1"/>
      <c r="G2" s="2"/>
      <c r="H2" s="2"/>
      <c r="I2" s="2"/>
    </row>
    <row r="3" spans="1:9" ht="30">
      <c r="B3" s="3" t="s">
        <v>0</v>
      </c>
      <c r="C3" s="3" t="s">
        <v>1</v>
      </c>
      <c r="D3" s="3" t="s">
        <v>2</v>
      </c>
      <c r="E3" s="3" t="s">
        <v>3</v>
      </c>
      <c r="F3" s="3" t="s">
        <v>4</v>
      </c>
      <c r="G3" s="4" t="s">
        <v>5</v>
      </c>
      <c r="H3" s="4" t="s">
        <v>6</v>
      </c>
      <c r="I3" s="4" t="s">
        <v>7</v>
      </c>
    </row>
    <row r="4" spans="1:9" ht="12.75">
      <c r="B4" s="5" t="s">
        <v>8</v>
      </c>
      <c r="C4" s="6" t="s">
        <v>9</v>
      </c>
      <c r="D4" s="6" t="s">
        <v>10</v>
      </c>
      <c r="E4" s="6" t="s">
        <v>11</v>
      </c>
      <c r="F4" s="7">
        <v>45895</v>
      </c>
      <c r="G4" s="8">
        <v>16.8</v>
      </c>
      <c r="H4" s="8">
        <f t="shared" ref="H4:H258" si="0">G4+(G4*40%)</f>
        <v>23.520000000000003</v>
      </c>
      <c r="I4" s="9">
        <v>25</v>
      </c>
    </row>
    <row r="5" spans="1:9" ht="12.75">
      <c r="B5" s="10" t="s">
        <v>12</v>
      </c>
      <c r="C5" s="11" t="s">
        <v>13</v>
      </c>
      <c r="D5" s="11" t="s">
        <v>14</v>
      </c>
      <c r="E5" s="11" t="s">
        <v>15</v>
      </c>
      <c r="F5" s="12">
        <v>46017</v>
      </c>
      <c r="G5" s="13">
        <v>234.15</v>
      </c>
      <c r="H5" s="8">
        <f t="shared" si="0"/>
        <v>327.81</v>
      </c>
      <c r="I5" s="14">
        <v>330</v>
      </c>
    </row>
    <row r="6" spans="1:9" ht="12.75">
      <c r="B6" s="5" t="s">
        <v>16</v>
      </c>
      <c r="C6" s="6" t="s">
        <v>17</v>
      </c>
      <c r="D6" s="6" t="s">
        <v>18</v>
      </c>
      <c r="E6" s="6" t="s">
        <v>19</v>
      </c>
      <c r="F6" s="7">
        <v>45835</v>
      </c>
      <c r="G6" s="8">
        <v>12.65</v>
      </c>
      <c r="H6" s="8">
        <f t="shared" si="0"/>
        <v>17.71</v>
      </c>
      <c r="I6" s="9">
        <v>25</v>
      </c>
    </row>
    <row r="7" spans="1:9" ht="12.75">
      <c r="B7" s="10" t="s">
        <v>20</v>
      </c>
      <c r="C7" s="11" t="s">
        <v>21</v>
      </c>
      <c r="D7" s="11" t="s">
        <v>22</v>
      </c>
      <c r="E7" s="11" t="s">
        <v>23</v>
      </c>
      <c r="F7" s="12">
        <v>45865</v>
      </c>
      <c r="G7" s="13">
        <v>16.829999999999998</v>
      </c>
      <c r="H7" s="8">
        <f t="shared" si="0"/>
        <v>23.561999999999998</v>
      </c>
      <c r="I7" s="14">
        <v>30</v>
      </c>
    </row>
    <row r="8" spans="1:9" ht="12.75">
      <c r="B8" s="5" t="s">
        <v>24</v>
      </c>
      <c r="C8" s="6" t="s">
        <v>25</v>
      </c>
      <c r="D8" s="6" t="s">
        <v>26</v>
      </c>
      <c r="E8" s="6" t="s">
        <v>23</v>
      </c>
      <c r="F8" s="7">
        <v>45957</v>
      </c>
      <c r="G8" s="8">
        <v>51.84</v>
      </c>
      <c r="H8" s="8">
        <f t="shared" si="0"/>
        <v>72.576000000000008</v>
      </c>
      <c r="I8" s="9">
        <v>75</v>
      </c>
    </row>
    <row r="9" spans="1:9" ht="12.75">
      <c r="B9" s="10" t="s">
        <v>27</v>
      </c>
      <c r="C9" s="11" t="s">
        <v>28</v>
      </c>
      <c r="D9" s="11" t="s">
        <v>29</v>
      </c>
      <c r="E9" s="11" t="s">
        <v>30</v>
      </c>
      <c r="F9" s="12">
        <v>45896</v>
      </c>
      <c r="G9" s="13">
        <v>138</v>
      </c>
      <c r="H9" s="8">
        <f t="shared" si="0"/>
        <v>193.2</v>
      </c>
      <c r="I9" s="14">
        <v>195</v>
      </c>
    </row>
    <row r="10" spans="1:9" ht="36">
      <c r="B10" s="5" t="s">
        <v>31</v>
      </c>
      <c r="C10" s="6" t="s">
        <v>32</v>
      </c>
      <c r="D10" s="6" t="s">
        <v>33</v>
      </c>
      <c r="E10" s="6" t="s">
        <v>34</v>
      </c>
      <c r="F10" s="7">
        <v>45865</v>
      </c>
      <c r="G10" s="8">
        <v>115.2</v>
      </c>
      <c r="H10" s="8">
        <f t="shared" si="0"/>
        <v>161.28</v>
      </c>
      <c r="I10" s="9">
        <v>170</v>
      </c>
    </row>
    <row r="11" spans="1:9" ht="12.75">
      <c r="B11" s="10" t="s">
        <v>35</v>
      </c>
      <c r="C11" s="11" t="s">
        <v>36</v>
      </c>
      <c r="D11" s="11" t="s">
        <v>35</v>
      </c>
      <c r="E11" s="11" t="s">
        <v>37</v>
      </c>
      <c r="F11" s="12">
        <v>46017</v>
      </c>
      <c r="G11" s="13">
        <v>375</v>
      </c>
      <c r="H11" s="8">
        <f t="shared" si="0"/>
        <v>525</v>
      </c>
      <c r="I11" s="14">
        <v>530</v>
      </c>
    </row>
    <row r="12" spans="1:9" ht="12.75">
      <c r="B12" s="15" t="s">
        <v>38</v>
      </c>
      <c r="C12" s="16" t="s">
        <v>39</v>
      </c>
      <c r="D12" s="16" t="s">
        <v>40</v>
      </c>
      <c r="E12" s="16" t="s">
        <v>41</v>
      </c>
      <c r="F12" s="17">
        <v>45956</v>
      </c>
      <c r="G12" s="18">
        <v>75.09</v>
      </c>
      <c r="H12" s="18">
        <f t="shared" si="0"/>
        <v>105.126</v>
      </c>
      <c r="I12" s="19">
        <v>105</v>
      </c>
    </row>
    <row r="13" spans="1:9" ht="12.75">
      <c r="B13" s="10" t="s">
        <v>42</v>
      </c>
      <c r="C13" s="6" t="s">
        <v>17</v>
      </c>
      <c r="D13" s="11" t="s">
        <v>43</v>
      </c>
      <c r="E13" s="11" t="s">
        <v>44</v>
      </c>
      <c r="F13" s="12">
        <v>46018</v>
      </c>
      <c r="G13" s="13">
        <v>5</v>
      </c>
      <c r="H13" s="8">
        <f t="shared" si="0"/>
        <v>7</v>
      </c>
      <c r="I13" s="14">
        <v>40</v>
      </c>
    </row>
    <row r="14" spans="1:9" ht="12.75">
      <c r="B14" s="5" t="s">
        <v>45</v>
      </c>
      <c r="C14" s="6" t="s">
        <v>17</v>
      </c>
      <c r="D14" s="6" t="s">
        <v>46</v>
      </c>
      <c r="E14" s="6" t="s">
        <v>47</v>
      </c>
      <c r="F14" s="7">
        <v>45803</v>
      </c>
      <c r="G14" s="8">
        <v>6</v>
      </c>
      <c r="H14" s="8">
        <f t="shared" si="0"/>
        <v>8.4</v>
      </c>
      <c r="I14" s="9">
        <v>40</v>
      </c>
    </row>
    <row r="15" spans="1:9" ht="12.75">
      <c r="B15" s="10" t="s">
        <v>48</v>
      </c>
      <c r="C15" s="11" t="s">
        <v>17</v>
      </c>
      <c r="D15" s="11" t="s">
        <v>49</v>
      </c>
      <c r="E15" s="11" t="s">
        <v>37</v>
      </c>
      <c r="F15" s="12">
        <v>45803</v>
      </c>
      <c r="G15" s="13">
        <v>78</v>
      </c>
      <c r="H15" s="8">
        <f t="shared" si="0"/>
        <v>109.2</v>
      </c>
      <c r="I15" s="14">
        <v>150</v>
      </c>
    </row>
    <row r="16" spans="1:9" ht="12.75">
      <c r="B16" s="5" t="s">
        <v>50</v>
      </c>
      <c r="C16" s="6" t="s">
        <v>51</v>
      </c>
      <c r="D16" s="6" t="s">
        <v>52</v>
      </c>
      <c r="E16" s="6" t="s">
        <v>53</v>
      </c>
      <c r="F16" s="7">
        <v>45775</v>
      </c>
      <c r="G16" s="8">
        <v>7.13</v>
      </c>
      <c r="H16" s="8">
        <f t="shared" si="0"/>
        <v>9.9819999999999993</v>
      </c>
      <c r="I16" s="9">
        <v>70</v>
      </c>
    </row>
    <row r="17" spans="2:9" ht="36">
      <c r="B17" s="10" t="s">
        <v>54</v>
      </c>
      <c r="C17" s="11" t="s">
        <v>55</v>
      </c>
      <c r="D17" s="20" t="s">
        <v>56</v>
      </c>
      <c r="E17" s="11" t="s">
        <v>57</v>
      </c>
      <c r="F17" s="12">
        <v>45805</v>
      </c>
      <c r="G17" s="13">
        <v>85</v>
      </c>
      <c r="H17" s="8">
        <f t="shared" si="0"/>
        <v>119</v>
      </c>
      <c r="I17" s="14">
        <v>120</v>
      </c>
    </row>
    <row r="18" spans="2:9" ht="48">
      <c r="B18" s="21" t="s">
        <v>58</v>
      </c>
      <c r="C18" s="22" t="s">
        <v>59</v>
      </c>
      <c r="D18" s="23" t="s">
        <v>60</v>
      </c>
      <c r="E18" s="22" t="s">
        <v>61</v>
      </c>
      <c r="F18" s="24">
        <v>45987</v>
      </c>
      <c r="G18" s="25">
        <v>395</v>
      </c>
      <c r="H18" s="25">
        <f t="shared" si="0"/>
        <v>553</v>
      </c>
      <c r="I18" s="26">
        <v>560</v>
      </c>
    </row>
    <row r="19" spans="2:9" ht="12.75">
      <c r="B19" s="10" t="s">
        <v>62</v>
      </c>
      <c r="C19" s="11" t="s">
        <v>17</v>
      </c>
      <c r="D19" s="11" t="s">
        <v>63</v>
      </c>
      <c r="E19" s="11" t="s">
        <v>64</v>
      </c>
      <c r="F19" s="12">
        <v>45804</v>
      </c>
      <c r="G19" s="13">
        <v>5.82</v>
      </c>
      <c r="H19" s="8">
        <f t="shared" si="0"/>
        <v>8.1479999999999997</v>
      </c>
      <c r="I19" s="14">
        <v>30</v>
      </c>
    </row>
    <row r="20" spans="2:9" ht="12.75">
      <c r="B20" s="5" t="s">
        <v>65</v>
      </c>
      <c r="C20" s="6" t="s">
        <v>28</v>
      </c>
      <c r="D20" s="6" t="s">
        <v>66</v>
      </c>
      <c r="E20" s="6" t="s">
        <v>67</v>
      </c>
      <c r="F20" s="7">
        <v>45927</v>
      </c>
      <c r="G20" s="8">
        <v>90</v>
      </c>
      <c r="H20" s="8">
        <f t="shared" si="0"/>
        <v>126</v>
      </c>
      <c r="I20" s="9">
        <v>140</v>
      </c>
    </row>
    <row r="21" spans="2:9" ht="12.75">
      <c r="B21" s="10" t="s">
        <v>68</v>
      </c>
      <c r="C21" s="11" t="s">
        <v>69</v>
      </c>
      <c r="D21" s="11" t="s">
        <v>70</v>
      </c>
      <c r="E21" s="11" t="s">
        <v>11</v>
      </c>
      <c r="F21" s="12">
        <v>45927</v>
      </c>
      <c r="G21" s="13">
        <v>33</v>
      </c>
      <c r="H21" s="8">
        <f t="shared" si="0"/>
        <v>46.2</v>
      </c>
      <c r="I21" s="14">
        <v>45</v>
      </c>
    </row>
    <row r="22" spans="2:9" ht="12.75">
      <c r="B22" s="5" t="s">
        <v>71</v>
      </c>
      <c r="C22" s="6" t="s">
        <v>72</v>
      </c>
      <c r="D22" s="6" t="s">
        <v>73</v>
      </c>
      <c r="E22" s="6" t="s">
        <v>67</v>
      </c>
      <c r="F22" s="7">
        <v>45988</v>
      </c>
      <c r="G22" s="8">
        <v>94</v>
      </c>
      <c r="H22" s="8">
        <f t="shared" si="0"/>
        <v>131.6</v>
      </c>
      <c r="I22" s="9">
        <v>135</v>
      </c>
    </row>
    <row r="23" spans="2:9" ht="12.75">
      <c r="B23" s="15" t="s">
        <v>71</v>
      </c>
      <c r="C23" s="16" t="s">
        <v>74</v>
      </c>
      <c r="D23" s="16" t="s">
        <v>75</v>
      </c>
      <c r="E23" s="16" t="s">
        <v>67</v>
      </c>
      <c r="F23" s="17">
        <v>45805</v>
      </c>
      <c r="G23" s="18">
        <v>65</v>
      </c>
      <c r="H23" s="18">
        <f t="shared" si="0"/>
        <v>91</v>
      </c>
      <c r="I23" s="19">
        <v>95</v>
      </c>
    </row>
    <row r="24" spans="2:9" ht="24">
      <c r="B24" s="5" t="s">
        <v>76</v>
      </c>
      <c r="C24" s="6" t="s">
        <v>77</v>
      </c>
      <c r="D24" s="6" t="s">
        <v>78</v>
      </c>
      <c r="E24" s="6" t="s">
        <v>79</v>
      </c>
      <c r="F24" s="7">
        <v>45895</v>
      </c>
      <c r="G24" s="8">
        <v>80</v>
      </c>
      <c r="H24" s="8">
        <f t="shared" si="0"/>
        <v>112</v>
      </c>
      <c r="I24" s="9">
        <v>130</v>
      </c>
    </row>
    <row r="25" spans="2:9" ht="24">
      <c r="B25" s="10" t="s">
        <v>76</v>
      </c>
      <c r="C25" s="11" t="s">
        <v>80</v>
      </c>
      <c r="D25" s="11" t="s">
        <v>78</v>
      </c>
      <c r="E25" s="11" t="s">
        <v>79</v>
      </c>
      <c r="F25" s="12">
        <v>45927</v>
      </c>
      <c r="G25" s="13">
        <v>60</v>
      </c>
      <c r="H25" s="8">
        <f t="shared" si="0"/>
        <v>84</v>
      </c>
      <c r="I25" s="14">
        <v>85</v>
      </c>
    </row>
    <row r="26" spans="2:9" ht="12.75">
      <c r="B26" s="5" t="s">
        <v>81</v>
      </c>
      <c r="C26" s="6" t="s">
        <v>82</v>
      </c>
      <c r="D26" s="6" t="s">
        <v>83</v>
      </c>
      <c r="E26" s="6" t="s">
        <v>84</v>
      </c>
      <c r="F26" s="7">
        <v>45804</v>
      </c>
      <c r="G26" s="8">
        <v>100</v>
      </c>
      <c r="H26" s="8">
        <f t="shared" si="0"/>
        <v>140</v>
      </c>
      <c r="I26" s="9">
        <v>150</v>
      </c>
    </row>
    <row r="27" spans="2:9" ht="12.75">
      <c r="B27" s="10" t="s">
        <v>85</v>
      </c>
      <c r="C27" s="11" t="s">
        <v>59</v>
      </c>
      <c r="D27" s="11" t="s">
        <v>86</v>
      </c>
      <c r="E27" s="11" t="s">
        <v>87</v>
      </c>
      <c r="F27" s="12">
        <v>45926</v>
      </c>
      <c r="G27" s="13">
        <v>485.71</v>
      </c>
      <c r="H27" s="8">
        <f t="shared" si="0"/>
        <v>679.99399999999991</v>
      </c>
      <c r="I27" s="14">
        <v>680</v>
      </c>
    </row>
    <row r="28" spans="2:9" ht="12.75">
      <c r="B28" s="5" t="s">
        <v>88</v>
      </c>
      <c r="C28" s="6" t="s">
        <v>89</v>
      </c>
      <c r="D28" s="6" t="s">
        <v>89</v>
      </c>
      <c r="E28" s="6" t="s">
        <v>90</v>
      </c>
      <c r="F28" s="7">
        <v>45803</v>
      </c>
      <c r="G28" s="8">
        <v>125</v>
      </c>
      <c r="H28" s="8">
        <f t="shared" si="0"/>
        <v>175</v>
      </c>
      <c r="I28" s="9">
        <v>200</v>
      </c>
    </row>
    <row r="29" spans="2:9" ht="12.75">
      <c r="B29" s="10" t="s">
        <v>91</v>
      </c>
      <c r="C29" s="11" t="s">
        <v>92</v>
      </c>
      <c r="D29" s="11" t="s">
        <v>93</v>
      </c>
      <c r="E29" s="11" t="s">
        <v>90</v>
      </c>
      <c r="F29" s="12">
        <v>45686</v>
      </c>
      <c r="G29" s="13">
        <v>56.74</v>
      </c>
      <c r="H29" s="8">
        <f t="shared" si="0"/>
        <v>79.436000000000007</v>
      </c>
      <c r="I29" s="14">
        <v>80</v>
      </c>
    </row>
    <row r="30" spans="2:9" ht="12.75">
      <c r="B30" s="5" t="s">
        <v>94</v>
      </c>
      <c r="C30" s="6" t="s">
        <v>95</v>
      </c>
      <c r="D30" s="6" t="s">
        <v>96</v>
      </c>
      <c r="E30" s="6" t="s">
        <v>97</v>
      </c>
      <c r="F30" s="7">
        <v>45714</v>
      </c>
      <c r="G30" s="8">
        <v>189.2</v>
      </c>
      <c r="H30" s="8">
        <f t="shared" si="0"/>
        <v>264.88</v>
      </c>
      <c r="I30" s="9">
        <v>265</v>
      </c>
    </row>
    <row r="31" spans="2:9" ht="12.75">
      <c r="B31" s="10" t="s">
        <v>98</v>
      </c>
      <c r="C31" s="11" t="s">
        <v>17</v>
      </c>
      <c r="D31" s="11" t="s">
        <v>99</v>
      </c>
      <c r="E31" s="11" t="s">
        <v>100</v>
      </c>
      <c r="F31" s="12">
        <v>45895</v>
      </c>
      <c r="G31" s="13">
        <v>89.63</v>
      </c>
      <c r="H31" s="8">
        <f t="shared" si="0"/>
        <v>125.482</v>
      </c>
      <c r="I31" s="14">
        <v>130</v>
      </c>
    </row>
    <row r="32" spans="2:9" ht="12.75">
      <c r="B32" s="5" t="s">
        <v>101</v>
      </c>
      <c r="C32" s="6" t="s">
        <v>102</v>
      </c>
      <c r="D32" s="6" t="s">
        <v>103</v>
      </c>
      <c r="E32" s="6" t="s">
        <v>104</v>
      </c>
      <c r="F32" s="7">
        <v>45864</v>
      </c>
      <c r="G32" s="8">
        <v>110.28</v>
      </c>
      <c r="H32" s="8">
        <f t="shared" si="0"/>
        <v>154.392</v>
      </c>
      <c r="I32" s="9">
        <v>155</v>
      </c>
    </row>
    <row r="33" spans="2:9" ht="12.75">
      <c r="B33" s="10" t="s">
        <v>105</v>
      </c>
      <c r="C33" s="11" t="s">
        <v>106</v>
      </c>
      <c r="D33" s="11" t="s">
        <v>107</v>
      </c>
      <c r="E33" s="11" t="s">
        <v>47</v>
      </c>
      <c r="F33" s="12">
        <v>45773</v>
      </c>
      <c r="G33" s="13">
        <v>6.85</v>
      </c>
      <c r="H33" s="8">
        <f t="shared" si="0"/>
        <v>9.59</v>
      </c>
      <c r="I33" s="27">
        <v>15</v>
      </c>
    </row>
    <row r="34" spans="2:9" ht="12.75">
      <c r="B34" s="5" t="s">
        <v>108</v>
      </c>
      <c r="C34" s="6" t="s">
        <v>72</v>
      </c>
      <c r="D34" s="6" t="s">
        <v>109</v>
      </c>
      <c r="E34" s="6" t="s">
        <v>11</v>
      </c>
      <c r="F34" s="7">
        <v>45926</v>
      </c>
      <c r="G34" s="8">
        <v>40</v>
      </c>
      <c r="H34" s="8">
        <f t="shared" si="0"/>
        <v>56</v>
      </c>
      <c r="I34" s="9">
        <v>60</v>
      </c>
    </row>
    <row r="35" spans="2:9" ht="12.75">
      <c r="B35" s="10" t="s">
        <v>110</v>
      </c>
      <c r="C35" s="11" t="s">
        <v>111</v>
      </c>
      <c r="D35" s="11" t="s">
        <v>112</v>
      </c>
      <c r="E35" s="11" t="s">
        <v>113</v>
      </c>
      <c r="F35" s="12">
        <v>45956</v>
      </c>
      <c r="G35" s="13">
        <v>45.08</v>
      </c>
      <c r="H35" s="8">
        <f t="shared" si="0"/>
        <v>63.111999999999995</v>
      </c>
      <c r="I35" s="14">
        <v>75</v>
      </c>
    </row>
    <row r="36" spans="2:9" ht="12.75">
      <c r="B36" s="5" t="s">
        <v>114</v>
      </c>
      <c r="C36" s="6" t="s">
        <v>72</v>
      </c>
      <c r="D36" s="6" t="s">
        <v>115</v>
      </c>
      <c r="E36" s="6" t="s">
        <v>11</v>
      </c>
      <c r="F36" s="7">
        <v>45895</v>
      </c>
      <c r="G36" s="8">
        <v>39.35</v>
      </c>
      <c r="H36" s="8">
        <f t="shared" si="0"/>
        <v>55.09</v>
      </c>
      <c r="I36" s="9">
        <v>60</v>
      </c>
    </row>
    <row r="37" spans="2:9" ht="24">
      <c r="B37" s="10" t="s">
        <v>116</v>
      </c>
      <c r="C37" s="11" t="s">
        <v>117</v>
      </c>
      <c r="D37" s="11" t="s">
        <v>118</v>
      </c>
      <c r="E37" s="11" t="s">
        <v>119</v>
      </c>
      <c r="F37" s="12">
        <v>45864</v>
      </c>
      <c r="G37" s="13">
        <v>240</v>
      </c>
      <c r="H37" s="8">
        <f t="shared" si="0"/>
        <v>336</v>
      </c>
      <c r="I37" s="14">
        <v>336</v>
      </c>
    </row>
    <row r="38" spans="2:9" ht="24">
      <c r="B38" s="5" t="s">
        <v>116</v>
      </c>
      <c r="C38" s="6" t="s">
        <v>120</v>
      </c>
      <c r="D38" s="6" t="s">
        <v>118</v>
      </c>
      <c r="E38" s="6" t="s">
        <v>119</v>
      </c>
      <c r="F38" s="7">
        <v>45715</v>
      </c>
      <c r="G38" s="8">
        <v>154.28</v>
      </c>
      <c r="H38" s="8">
        <f t="shared" si="0"/>
        <v>215.99200000000002</v>
      </c>
      <c r="I38" s="9">
        <v>230</v>
      </c>
    </row>
    <row r="39" spans="2:9" ht="12.75">
      <c r="B39" s="10" t="s">
        <v>121</v>
      </c>
      <c r="C39" s="11" t="s">
        <v>32</v>
      </c>
      <c r="D39" s="11" t="s">
        <v>122</v>
      </c>
      <c r="E39" s="11" t="s">
        <v>123</v>
      </c>
      <c r="F39" s="12">
        <v>45957</v>
      </c>
      <c r="G39" s="13">
        <v>216</v>
      </c>
      <c r="H39" s="8">
        <f t="shared" si="0"/>
        <v>302.39999999999998</v>
      </c>
      <c r="I39" s="14">
        <v>305</v>
      </c>
    </row>
    <row r="40" spans="2:9" ht="12.75">
      <c r="B40" s="5" t="s">
        <v>124</v>
      </c>
      <c r="C40" s="6" t="s">
        <v>28</v>
      </c>
      <c r="D40" s="6" t="s">
        <v>125</v>
      </c>
      <c r="E40" s="6" t="s">
        <v>79</v>
      </c>
      <c r="F40" s="7">
        <v>45895</v>
      </c>
      <c r="G40" s="8">
        <v>50</v>
      </c>
      <c r="H40" s="8">
        <f t="shared" si="0"/>
        <v>70</v>
      </c>
      <c r="I40" s="9">
        <v>70</v>
      </c>
    </row>
    <row r="41" spans="2:9" ht="12.75">
      <c r="B41" s="10" t="s">
        <v>126</v>
      </c>
      <c r="C41" s="11" t="s">
        <v>28</v>
      </c>
      <c r="D41" s="11" t="s">
        <v>127</v>
      </c>
      <c r="E41" s="11" t="s">
        <v>30</v>
      </c>
      <c r="F41" s="12">
        <v>45683</v>
      </c>
      <c r="G41" s="13">
        <v>118.58</v>
      </c>
      <c r="H41" s="8">
        <f t="shared" si="0"/>
        <v>166.012</v>
      </c>
      <c r="I41" s="14">
        <v>170</v>
      </c>
    </row>
    <row r="42" spans="2:9" ht="12.75">
      <c r="B42" s="5" t="s">
        <v>128</v>
      </c>
      <c r="C42" s="6" t="s">
        <v>129</v>
      </c>
      <c r="D42" s="6" t="s">
        <v>130</v>
      </c>
      <c r="E42" s="6" t="s">
        <v>87</v>
      </c>
      <c r="F42" s="7">
        <v>45743</v>
      </c>
      <c r="G42" s="8">
        <v>79</v>
      </c>
      <c r="H42" s="8">
        <f t="shared" si="0"/>
        <v>110.6</v>
      </c>
      <c r="I42" s="9">
        <v>110</v>
      </c>
    </row>
    <row r="43" spans="2:9" ht="12.75">
      <c r="B43" s="10" t="s">
        <v>131</v>
      </c>
      <c r="C43" s="11" t="s">
        <v>132</v>
      </c>
      <c r="D43" s="11" t="s">
        <v>75</v>
      </c>
      <c r="E43" s="11" t="s">
        <v>133</v>
      </c>
      <c r="F43" s="12">
        <v>45988</v>
      </c>
      <c r="G43" s="13">
        <v>120</v>
      </c>
      <c r="H43" s="8">
        <f t="shared" si="0"/>
        <v>168</v>
      </c>
      <c r="I43" s="14">
        <v>190</v>
      </c>
    </row>
    <row r="44" spans="2:9" ht="12.75">
      <c r="B44" s="28" t="s">
        <v>134</v>
      </c>
      <c r="C44" s="29" t="s">
        <v>135</v>
      </c>
      <c r="D44" s="29" t="s">
        <v>136</v>
      </c>
      <c r="E44" s="29" t="s">
        <v>137</v>
      </c>
      <c r="F44" s="30">
        <v>45685</v>
      </c>
      <c r="G44" s="31">
        <v>21.66</v>
      </c>
      <c r="H44" s="8">
        <f t="shared" si="0"/>
        <v>30.323999999999998</v>
      </c>
      <c r="I44" s="32">
        <v>100</v>
      </c>
    </row>
    <row r="45" spans="2:9" ht="12.75">
      <c r="B45" s="10" t="s">
        <v>138</v>
      </c>
      <c r="C45" s="11" t="s">
        <v>135</v>
      </c>
      <c r="D45" s="11" t="s">
        <v>138</v>
      </c>
      <c r="E45" s="11" t="s">
        <v>79</v>
      </c>
      <c r="F45" s="12">
        <v>45743</v>
      </c>
      <c r="G45" s="14">
        <v>20</v>
      </c>
      <c r="H45" s="8">
        <f t="shared" si="0"/>
        <v>28</v>
      </c>
      <c r="I45" s="14">
        <v>50</v>
      </c>
    </row>
    <row r="46" spans="2:9" ht="12.75">
      <c r="B46" s="5" t="s">
        <v>138</v>
      </c>
      <c r="C46" s="6" t="s">
        <v>135</v>
      </c>
      <c r="D46" s="6" t="s">
        <v>138</v>
      </c>
      <c r="E46" s="6" t="s">
        <v>139</v>
      </c>
      <c r="F46" s="7">
        <v>45743</v>
      </c>
      <c r="G46" s="9">
        <v>16</v>
      </c>
      <c r="H46" s="8">
        <f t="shared" si="0"/>
        <v>22.4</v>
      </c>
      <c r="I46" s="9">
        <v>50</v>
      </c>
    </row>
    <row r="47" spans="2:9" ht="12.75">
      <c r="B47" s="33" t="s">
        <v>140</v>
      </c>
      <c r="C47" s="34" t="s">
        <v>132</v>
      </c>
      <c r="D47" s="34" t="s">
        <v>141</v>
      </c>
      <c r="E47" s="34" t="s">
        <v>142</v>
      </c>
      <c r="F47" s="35">
        <v>45955</v>
      </c>
      <c r="G47" s="36">
        <v>52</v>
      </c>
      <c r="H47" s="36">
        <f t="shared" si="0"/>
        <v>72.8</v>
      </c>
      <c r="I47" s="37">
        <v>75</v>
      </c>
    </row>
    <row r="48" spans="2:9" ht="24">
      <c r="B48" s="5" t="s">
        <v>143</v>
      </c>
      <c r="C48" s="6" t="s">
        <v>111</v>
      </c>
      <c r="D48" s="6" t="s">
        <v>144</v>
      </c>
      <c r="E48" s="6" t="s">
        <v>104</v>
      </c>
      <c r="F48" s="7">
        <v>45773</v>
      </c>
      <c r="G48" s="8">
        <v>90</v>
      </c>
      <c r="H48" s="8">
        <f t="shared" si="0"/>
        <v>126</v>
      </c>
      <c r="I48" s="9">
        <v>130</v>
      </c>
    </row>
    <row r="49" spans="2:9" ht="12.75">
      <c r="B49" s="10" t="s">
        <v>145</v>
      </c>
      <c r="C49" s="11" t="s">
        <v>146</v>
      </c>
      <c r="D49" s="11" t="s">
        <v>147</v>
      </c>
      <c r="E49" s="11" t="s">
        <v>148</v>
      </c>
      <c r="F49" s="12">
        <v>45836</v>
      </c>
      <c r="G49" s="13">
        <v>148.88999999999999</v>
      </c>
      <c r="H49" s="8">
        <f t="shared" si="0"/>
        <v>208.44599999999997</v>
      </c>
      <c r="I49" s="14">
        <v>210</v>
      </c>
    </row>
    <row r="50" spans="2:9" ht="12.75">
      <c r="B50" s="5" t="s">
        <v>149</v>
      </c>
      <c r="C50" s="6" t="s">
        <v>150</v>
      </c>
      <c r="D50" s="6" t="s">
        <v>149</v>
      </c>
      <c r="E50" s="6" t="s">
        <v>151</v>
      </c>
      <c r="F50" s="7">
        <v>45804</v>
      </c>
      <c r="G50" s="8">
        <v>14.19</v>
      </c>
      <c r="H50" s="8">
        <f t="shared" si="0"/>
        <v>19.866</v>
      </c>
      <c r="I50" s="9">
        <v>20</v>
      </c>
    </row>
    <row r="51" spans="2:9" ht="24">
      <c r="B51" s="10" t="s">
        <v>152</v>
      </c>
      <c r="C51" s="11" t="s">
        <v>153</v>
      </c>
      <c r="D51" s="11" t="s">
        <v>154</v>
      </c>
      <c r="E51" s="11" t="s">
        <v>104</v>
      </c>
      <c r="F51" s="12">
        <v>45683</v>
      </c>
      <c r="G51" s="13">
        <v>47.81</v>
      </c>
      <c r="H51" s="8">
        <f t="shared" si="0"/>
        <v>66.933999999999997</v>
      </c>
      <c r="I51" s="14">
        <v>70</v>
      </c>
    </row>
    <row r="52" spans="2:9" ht="24">
      <c r="B52" s="5" t="s">
        <v>155</v>
      </c>
      <c r="C52" s="6" t="s">
        <v>72</v>
      </c>
      <c r="D52" s="6" t="s">
        <v>156</v>
      </c>
      <c r="E52" s="6" t="s">
        <v>67</v>
      </c>
      <c r="F52" s="7">
        <v>46017</v>
      </c>
      <c r="G52" s="8">
        <v>72.75</v>
      </c>
      <c r="H52" s="8">
        <f t="shared" si="0"/>
        <v>101.85</v>
      </c>
      <c r="I52" s="9">
        <v>110</v>
      </c>
    </row>
    <row r="53" spans="2:9" ht="24">
      <c r="B53" s="10" t="s">
        <v>155</v>
      </c>
      <c r="C53" s="11" t="s">
        <v>157</v>
      </c>
      <c r="D53" s="11" t="s">
        <v>156</v>
      </c>
      <c r="E53" s="11" t="s">
        <v>67</v>
      </c>
      <c r="F53" s="12">
        <v>45926</v>
      </c>
      <c r="G53" s="13">
        <v>99.5</v>
      </c>
      <c r="H53" s="8">
        <f t="shared" si="0"/>
        <v>139.30000000000001</v>
      </c>
      <c r="I53" s="14">
        <v>160</v>
      </c>
    </row>
    <row r="54" spans="2:9" ht="12.75">
      <c r="B54" s="5" t="s">
        <v>158</v>
      </c>
      <c r="C54" s="6" t="s">
        <v>135</v>
      </c>
      <c r="D54" s="6" t="s">
        <v>159</v>
      </c>
      <c r="E54" s="6" t="s">
        <v>160</v>
      </c>
      <c r="F54" s="7">
        <v>45683</v>
      </c>
      <c r="G54" s="8">
        <v>11</v>
      </c>
      <c r="H54" s="8">
        <f t="shared" si="0"/>
        <v>15.4</v>
      </c>
      <c r="I54" s="9">
        <v>60</v>
      </c>
    </row>
    <row r="55" spans="2:9" ht="12.75">
      <c r="B55" s="10" t="s">
        <v>161</v>
      </c>
      <c r="C55" s="11" t="s">
        <v>135</v>
      </c>
      <c r="D55" s="11" t="s">
        <v>161</v>
      </c>
      <c r="E55" s="11" t="s">
        <v>162</v>
      </c>
      <c r="F55" s="12">
        <v>45686</v>
      </c>
      <c r="G55" s="13">
        <v>3.72</v>
      </c>
      <c r="H55" s="8">
        <f t="shared" si="0"/>
        <v>5.2080000000000002</v>
      </c>
      <c r="I55" s="14">
        <v>30</v>
      </c>
    </row>
    <row r="56" spans="2:9" ht="12.75">
      <c r="B56" s="5" t="s">
        <v>163</v>
      </c>
      <c r="C56" s="6" t="s">
        <v>135</v>
      </c>
      <c r="D56" s="6" t="s">
        <v>164</v>
      </c>
      <c r="E56" s="6" t="s">
        <v>165</v>
      </c>
      <c r="F56" s="7">
        <v>45745</v>
      </c>
      <c r="G56" s="8">
        <v>5.1100000000000003</v>
      </c>
      <c r="H56" s="8">
        <f t="shared" si="0"/>
        <v>7.1539999999999999</v>
      </c>
      <c r="I56" s="9">
        <v>30</v>
      </c>
    </row>
    <row r="57" spans="2:9" ht="12.75">
      <c r="B57" s="10" t="s">
        <v>166</v>
      </c>
      <c r="C57" s="11" t="s">
        <v>135</v>
      </c>
      <c r="D57" s="11" t="s">
        <v>167</v>
      </c>
      <c r="E57" s="11" t="s">
        <v>19</v>
      </c>
      <c r="F57" s="12">
        <v>45959</v>
      </c>
      <c r="G57" s="13">
        <v>20</v>
      </c>
      <c r="H57" s="8">
        <f t="shared" si="0"/>
        <v>28</v>
      </c>
      <c r="I57" s="14">
        <v>35</v>
      </c>
    </row>
    <row r="58" spans="2:9" ht="12.75">
      <c r="B58" s="5" t="s">
        <v>168</v>
      </c>
      <c r="C58" s="6" t="s">
        <v>135</v>
      </c>
      <c r="D58" s="6" t="s">
        <v>169</v>
      </c>
      <c r="E58" s="6" t="s">
        <v>19</v>
      </c>
      <c r="F58" s="7">
        <v>45927</v>
      </c>
      <c r="G58" s="8">
        <v>9.99</v>
      </c>
      <c r="H58" s="8">
        <f t="shared" si="0"/>
        <v>13.986000000000001</v>
      </c>
      <c r="I58" s="9">
        <v>30</v>
      </c>
    </row>
    <row r="59" spans="2:9" ht="12.75">
      <c r="B59" s="10" t="s">
        <v>170</v>
      </c>
      <c r="C59" s="11" t="s">
        <v>171</v>
      </c>
      <c r="D59" s="11" t="s">
        <v>172</v>
      </c>
      <c r="E59" s="11" t="s">
        <v>87</v>
      </c>
      <c r="F59" s="12">
        <v>45743</v>
      </c>
      <c r="G59" s="13">
        <v>144</v>
      </c>
      <c r="H59" s="8">
        <f t="shared" si="0"/>
        <v>201.6</v>
      </c>
      <c r="I59" s="14">
        <v>205</v>
      </c>
    </row>
    <row r="60" spans="2:9" ht="12.75">
      <c r="B60" s="5" t="s">
        <v>173</v>
      </c>
      <c r="C60" s="6" t="s">
        <v>174</v>
      </c>
      <c r="D60" s="6" t="s">
        <v>175</v>
      </c>
      <c r="E60" s="6" t="s">
        <v>87</v>
      </c>
      <c r="F60" s="7">
        <v>45987</v>
      </c>
      <c r="G60" s="8">
        <v>64.290000000000006</v>
      </c>
      <c r="H60" s="8">
        <f t="shared" si="0"/>
        <v>90.006000000000014</v>
      </c>
      <c r="I60" s="9">
        <v>90</v>
      </c>
    </row>
    <row r="61" spans="2:9" ht="12.75">
      <c r="B61" s="10" t="s">
        <v>176</v>
      </c>
      <c r="C61" s="11" t="s">
        <v>177</v>
      </c>
      <c r="D61" s="11" t="s">
        <v>178</v>
      </c>
      <c r="E61" s="11" t="s">
        <v>179</v>
      </c>
      <c r="F61" s="12">
        <v>46017</v>
      </c>
      <c r="G61" s="13">
        <v>67.16</v>
      </c>
      <c r="H61" s="8">
        <f t="shared" si="0"/>
        <v>94.024000000000001</v>
      </c>
      <c r="I61" s="14">
        <v>95</v>
      </c>
    </row>
    <row r="62" spans="2:9" ht="12.75">
      <c r="B62" s="5" t="s">
        <v>180</v>
      </c>
      <c r="C62" s="6" t="s">
        <v>25</v>
      </c>
      <c r="D62" s="6" t="s">
        <v>181</v>
      </c>
      <c r="E62" s="6" t="s">
        <v>182</v>
      </c>
      <c r="F62" s="7">
        <v>45896</v>
      </c>
      <c r="G62" s="8">
        <v>152.02000000000001</v>
      </c>
      <c r="H62" s="8">
        <f t="shared" si="0"/>
        <v>212.82800000000003</v>
      </c>
      <c r="I62" s="9">
        <v>215</v>
      </c>
    </row>
    <row r="63" spans="2:9" ht="12.75">
      <c r="B63" s="10" t="s">
        <v>183</v>
      </c>
      <c r="C63" s="11" t="s">
        <v>184</v>
      </c>
      <c r="D63" s="11" t="s">
        <v>185</v>
      </c>
      <c r="E63" s="11" t="s">
        <v>186</v>
      </c>
      <c r="F63" s="12">
        <v>45715</v>
      </c>
      <c r="G63" s="13">
        <v>135</v>
      </c>
      <c r="H63" s="8">
        <f t="shared" si="0"/>
        <v>189</v>
      </c>
      <c r="I63" s="14">
        <v>190</v>
      </c>
    </row>
    <row r="64" spans="2:9" ht="12.75">
      <c r="B64" s="5" t="s">
        <v>187</v>
      </c>
      <c r="C64" s="6" t="s">
        <v>72</v>
      </c>
      <c r="D64" s="6" t="s">
        <v>185</v>
      </c>
      <c r="E64" s="6" t="s">
        <v>186</v>
      </c>
      <c r="F64" s="7">
        <v>45926</v>
      </c>
      <c r="G64" s="8">
        <v>115.92</v>
      </c>
      <c r="H64" s="8">
        <f t="shared" si="0"/>
        <v>162.28800000000001</v>
      </c>
      <c r="I64" s="9">
        <v>165</v>
      </c>
    </row>
    <row r="65" spans="2:9" ht="12.75">
      <c r="B65" s="10" t="s">
        <v>188</v>
      </c>
      <c r="C65" s="11" t="s">
        <v>13</v>
      </c>
      <c r="D65" s="11" t="s">
        <v>189</v>
      </c>
      <c r="E65" s="11" t="s">
        <v>11</v>
      </c>
      <c r="F65" s="12">
        <v>45834</v>
      </c>
      <c r="G65" s="13">
        <v>123.04</v>
      </c>
      <c r="H65" s="8">
        <f t="shared" si="0"/>
        <v>172.25600000000003</v>
      </c>
      <c r="I65" s="14">
        <v>175</v>
      </c>
    </row>
    <row r="66" spans="2:9" ht="12.75">
      <c r="B66" s="5" t="s">
        <v>188</v>
      </c>
      <c r="C66" s="6" t="s">
        <v>190</v>
      </c>
      <c r="D66" s="6" t="s">
        <v>191</v>
      </c>
      <c r="E66" s="6" t="s">
        <v>11</v>
      </c>
      <c r="F66" s="7">
        <v>45864</v>
      </c>
      <c r="G66" s="8">
        <v>88.2</v>
      </c>
      <c r="H66" s="8">
        <f t="shared" si="0"/>
        <v>123.48</v>
      </c>
      <c r="I66" s="38">
        <v>125</v>
      </c>
    </row>
    <row r="67" spans="2:9" ht="12.75">
      <c r="B67" s="10" t="s">
        <v>192</v>
      </c>
      <c r="C67" s="11" t="s">
        <v>39</v>
      </c>
      <c r="D67" s="11" t="s">
        <v>193</v>
      </c>
      <c r="E67" s="11" t="s">
        <v>194</v>
      </c>
      <c r="F67" s="12">
        <v>45774</v>
      </c>
      <c r="G67" s="13">
        <v>217.58</v>
      </c>
      <c r="H67" s="8">
        <f t="shared" si="0"/>
        <v>304.61200000000002</v>
      </c>
      <c r="I67" s="14">
        <v>305</v>
      </c>
    </row>
    <row r="68" spans="2:9" ht="12.75">
      <c r="B68" s="5" t="s">
        <v>195</v>
      </c>
      <c r="C68" s="6" t="s">
        <v>196</v>
      </c>
      <c r="D68" s="6" t="s">
        <v>195</v>
      </c>
      <c r="E68" s="6" t="s">
        <v>53</v>
      </c>
      <c r="F68" s="7">
        <v>45804</v>
      </c>
      <c r="G68" s="8">
        <v>2.2799999999999998</v>
      </c>
      <c r="H68" s="8">
        <f t="shared" si="0"/>
        <v>3.1919999999999997</v>
      </c>
      <c r="I68" s="9">
        <v>30</v>
      </c>
    </row>
    <row r="69" spans="2:9" ht="48">
      <c r="B69" s="10" t="s">
        <v>197</v>
      </c>
      <c r="C69" s="11" t="s">
        <v>198</v>
      </c>
      <c r="D69" s="11" t="s">
        <v>199</v>
      </c>
      <c r="E69" s="11" t="s">
        <v>61</v>
      </c>
      <c r="F69" s="12">
        <v>45715</v>
      </c>
      <c r="G69" s="13">
        <v>250</v>
      </c>
      <c r="H69" s="8">
        <f t="shared" si="0"/>
        <v>350</v>
      </c>
      <c r="I69" s="14">
        <v>350</v>
      </c>
    </row>
    <row r="70" spans="2:9" ht="12.75">
      <c r="B70" s="5" t="s">
        <v>200</v>
      </c>
      <c r="C70" s="6" t="s">
        <v>201</v>
      </c>
      <c r="D70" s="6" t="s">
        <v>200</v>
      </c>
      <c r="E70" s="6" t="s">
        <v>165</v>
      </c>
      <c r="F70" s="7">
        <v>45927</v>
      </c>
      <c r="G70" s="8">
        <v>6</v>
      </c>
      <c r="H70" s="8">
        <f t="shared" si="0"/>
        <v>8.4</v>
      </c>
      <c r="I70" s="9">
        <v>50</v>
      </c>
    </row>
    <row r="71" spans="2:9" ht="12.75">
      <c r="B71" s="10" t="s">
        <v>202</v>
      </c>
      <c r="C71" s="11" t="s">
        <v>203</v>
      </c>
      <c r="D71" s="11" t="s">
        <v>204</v>
      </c>
      <c r="E71" s="11" t="s">
        <v>205</v>
      </c>
      <c r="F71" s="12">
        <v>45864</v>
      </c>
      <c r="G71" s="13">
        <v>60.86</v>
      </c>
      <c r="H71" s="8">
        <f t="shared" si="0"/>
        <v>85.204000000000008</v>
      </c>
      <c r="I71" s="14">
        <v>100</v>
      </c>
    </row>
    <row r="72" spans="2:9" ht="12.75">
      <c r="B72" s="28" t="s">
        <v>206</v>
      </c>
      <c r="C72" s="29" t="s">
        <v>28</v>
      </c>
      <c r="D72" s="29" t="s">
        <v>204</v>
      </c>
      <c r="E72" s="29" t="s">
        <v>205</v>
      </c>
      <c r="F72" s="30">
        <v>45773</v>
      </c>
      <c r="G72" s="31">
        <v>118.6</v>
      </c>
      <c r="H72" s="8">
        <f t="shared" si="0"/>
        <v>166.04</v>
      </c>
      <c r="I72" s="32">
        <v>180</v>
      </c>
    </row>
    <row r="73" spans="2:9" ht="12.75">
      <c r="B73" s="10" t="s">
        <v>207</v>
      </c>
      <c r="C73" s="11" t="s">
        <v>208</v>
      </c>
      <c r="D73" s="11" t="s">
        <v>207</v>
      </c>
      <c r="E73" s="11" t="s">
        <v>209</v>
      </c>
      <c r="F73" s="12">
        <v>45864</v>
      </c>
      <c r="G73" s="13">
        <v>1.6</v>
      </c>
      <c r="H73" s="8">
        <f t="shared" si="0"/>
        <v>2.2400000000000002</v>
      </c>
      <c r="I73" s="14">
        <v>20</v>
      </c>
    </row>
    <row r="74" spans="2:9" ht="12.75">
      <c r="B74" s="5" t="s">
        <v>210</v>
      </c>
      <c r="C74" s="6" t="s">
        <v>201</v>
      </c>
      <c r="D74" s="6" t="s">
        <v>210</v>
      </c>
      <c r="E74" s="6" t="s">
        <v>211</v>
      </c>
      <c r="F74" s="7">
        <v>46018</v>
      </c>
      <c r="G74" s="8">
        <v>18.7</v>
      </c>
      <c r="H74" s="8">
        <f t="shared" si="0"/>
        <v>26.18</v>
      </c>
      <c r="I74" s="9">
        <v>30</v>
      </c>
    </row>
    <row r="75" spans="2:9" ht="12.75">
      <c r="B75" s="10" t="s">
        <v>212</v>
      </c>
      <c r="C75" s="11" t="s">
        <v>213</v>
      </c>
      <c r="D75" s="11" t="s">
        <v>214</v>
      </c>
      <c r="E75" s="11" t="s">
        <v>215</v>
      </c>
      <c r="F75" s="12">
        <v>45774</v>
      </c>
      <c r="G75" s="13">
        <v>350.37</v>
      </c>
      <c r="H75" s="8">
        <f t="shared" si="0"/>
        <v>490.51800000000003</v>
      </c>
      <c r="I75" s="14">
        <v>490</v>
      </c>
    </row>
    <row r="76" spans="2:9" ht="36">
      <c r="B76" s="5" t="s">
        <v>216</v>
      </c>
      <c r="C76" s="6" t="s">
        <v>217</v>
      </c>
      <c r="D76" s="6" t="s">
        <v>218</v>
      </c>
      <c r="E76" s="6" t="s">
        <v>219</v>
      </c>
      <c r="F76" s="7">
        <v>45804</v>
      </c>
      <c r="G76" s="8">
        <v>115.93</v>
      </c>
      <c r="H76" s="8">
        <f t="shared" si="0"/>
        <v>162.30200000000002</v>
      </c>
      <c r="I76" s="9">
        <v>165</v>
      </c>
    </row>
    <row r="77" spans="2:9" ht="12.75">
      <c r="B77" s="10" t="s">
        <v>220</v>
      </c>
      <c r="C77" s="11" t="s">
        <v>201</v>
      </c>
      <c r="D77" s="11" t="s">
        <v>220</v>
      </c>
      <c r="E77" s="11" t="s">
        <v>165</v>
      </c>
      <c r="F77" s="12">
        <v>45773</v>
      </c>
      <c r="G77" s="13">
        <v>2.85</v>
      </c>
      <c r="H77" s="8">
        <f t="shared" si="0"/>
        <v>3.99</v>
      </c>
      <c r="I77" s="14">
        <v>20</v>
      </c>
    </row>
    <row r="78" spans="2:9" ht="12.75">
      <c r="B78" s="5" t="s">
        <v>221</v>
      </c>
      <c r="C78" s="6" t="s">
        <v>222</v>
      </c>
      <c r="D78" s="6" t="s">
        <v>223</v>
      </c>
      <c r="E78" s="6" t="s">
        <v>57</v>
      </c>
      <c r="F78" s="7">
        <v>45804</v>
      </c>
      <c r="G78" s="8">
        <v>145.54</v>
      </c>
      <c r="H78" s="8">
        <f t="shared" si="0"/>
        <v>203.756</v>
      </c>
      <c r="I78" s="9">
        <v>215</v>
      </c>
    </row>
    <row r="79" spans="2:9" ht="24">
      <c r="B79" s="10" t="s">
        <v>224</v>
      </c>
      <c r="C79" s="11" t="s">
        <v>217</v>
      </c>
      <c r="D79" s="11" t="s">
        <v>225</v>
      </c>
      <c r="E79" s="11" t="s">
        <v>226</v>
      </c>
      <c r="F79" s="12">
        <v>45775</v>
      </c>
      <c r="G79" s="13">
        <v>292.64</v>
      </c>
      <c r="H79" s="8">
        <f t="shared" si="0"/>
        <v>409.69599999999997</v>
      </c>
      <c r="I79" s="14">
        <v>410</v>
      </c>
    </row>
    <row r="80" spans="2:9" ht="12.75">
      <c r="B80" s="5" t="s">
        <v>227</v>
      </c>
      <c r="C80" s="6" t="s">
        <v>135</v>
      </c>
      <c r="D80" s="6" t="s">
        <v>228</v>
      </c>
      <c r="E80" s="6" t="s">
        <v>229</v>
      </c>
      <c r="F80" s="7">
        <v>45896</v>
      </c>
      <c r="G80" s="8">
        <v>30</v>
      </c>
      <c r="H80" s="8">
        <f t="shared" si="0"/>
        <v>42</v>
      </c>
      <c r="I80" s="9">
        <v>125</v>
      </c>
    </row>
    <row r="81" spans="2:9" ht="12.75">
      <c r="B81" s="10" t="s">
        <v>230</v>
      </c>
      <c r="C81" s="11" t="s">
        <v>231</v>
      </c>
      <c r="D81" s="11" t="s">
        <v>232</v>
      </c>
      <c r="E81" s="11" t="s">
        <v>44</v>
      </c>
      <c r="F81" s="12">
        <v>45895</v>
      </c>
      <c r="G81" s="13">
        <v>27.75</v>
      </c>
      <c r="H81" s="8">
        <f t="shared" si="0"/>
        <v>38.85</v>
      </c>
      <c r="I81" s="14">
        <v>100</v>
      </c>
    </row>
    <row r="82" spans="2:9" ht="12.75">
      <c r="B82" s="5" t="s">
        <v>233</v>
      </c>
      <c r="C82" s="6" t="s">
        <v>234</v>
      </c>
      <c r="D82" s="6" t="s">
        <v>235</v>
      </c>
      <c r="E82" s="6" t="s">
        <v>236</v>
      </c>
      <c r="F82" s="7">
        <v>45864</v>
      </c>
      <c r="G82" s="8">
        <v>70</v>
      </c>
      <c r="H82" s="8">
        <f t="shared" si="0"/>
        <v>98</v>
      </c>
      <c r="I82" s="9">
        <v>100</v>
      </c>
    </row>
    <row r="83" spans="2:9" ht="12.75">
      <c r="B83" s="10" t="s">
        <v>237</v>
      </c>
      <c r="C83" s="11" t="s">
        <v>217</v>
      </c>
      <c r="D83" s="11" t="s">
        <v>238</v>
      </c>
      <c r="E83" s="11" t="s">
        <v>226</v>
      </c>
      <c r="F83" s="12">
        <v>45987</v>
      </c>
      <c r="G83" s="13">
        <v>275.06</v>
      </c>
      <c r="H83" s="8">
        <f t="shared" si="0"/>
        <v>385.084</v>
      </c>
      <c r="I83" s="14">
        <v>385</v>
      </c>
    </row>
    <row r="84" spans="2:9" ht="24">
      <c r="B84" s="5" t="s">
        <v>239</v>
      </c>
      <c r="C84" s="6" t="s">
        <v>240</v>
      </c>
      <c r="D84" s="6" t="s">
        <v>241</v>
      </c>
      <c r="E84" s="6" t="s">
        <v>11</v>
      </c>
      <c r="F84" s="7">
        <v>45684</v>
      </c>
      <c r="G84" s="8">
        <v>128.58000000000001</v>
      </c>
      <c r="H84" s="8">
        <f t="shared" si="0"/>
        <v>180.01200000000003</v>
      </c>
      <c r="I84" s="9">
        <v>180</v>
      </c>
    </row>
    <row r="85" spans="2:9" ht="36">
      <c r="B85" s="10" t="s">
        <v>242</v>
      </c>
      <c r="C85" s="11" t="s">
        <v>135</v>
      </c>
      <c r="D85" s="11" t="s">
        <v>243</v>
      </c>
      <c r="E85" s="11" t="s">
        <v>244</v>
      </c>
      <c r="F85" s="12">
        <v>45684</v>
      </c>
      <c r="G85" s="13">
        <v>20</v>
      </c>
      <c r="H85" s="8">
        <f t="shared" si="0"/>
        <v>28</v>
      </c>
      <c r="I85" s="14">
        <v>35</v>
      </c>
    </row>
    <row r="86" spans="2:9" ht="12.75">
      <c r="B86" s="5" t="s">
        <v>245</v>
      </c>
      <c r="C86" s="6" t="s">
        <v>246</v>
      </c>
      <c r="D86" s="6" t="s">
        <v>247</v>
      </c>
      <c r="E86" s="6" t="s">
        <v>113</v>
      </c>
      <c r="F86" s="7">
        <v>45683</v>
      </c>
      <c r="G86" s="8">
        <v>15</v>
      </c>
      <c r="H86" s="8">
        <f t="shared" si="0"/>
        <v>21</v>
      </c>
      <c r="I86" s="9">
        <v>30</v>
      </c>
    </row>
    <row r="87" spans="2:9" ht="12.75">
      <c r="B87" s="10" t="s">
        <v>248</v>
      </c>
      <c r="C87" s="11" t="s">
        <v>17</v>
      </c>
      <c r="D87" s="11" t="s">
        <v>249</v>
      </c>
      <c r="E87" s="11" t="s">
        <v>165</v>
      </c>
      <c r="F87" s="12">
        <v>45686</v>
      </c>
      <c r="G87" s="13">
        <v>52.5</v>
      </c>
      <c r="H87" s="8">
        <f t="shared" si="0"/>
        <v>73.5</v>
      </c>
      <c r="I87" s="14">
        <v>100</v>
      </c>
    </row>
    <row r="88" spans="2:9" ht="12.75">
      <c r="B88" s="5" t="s">
        <v>250</v>
      </c>
      <c r="C88" s="6" t="s">
        <v>251</v>
      </c>
      <c r="D88" s="6" t="s">
        <v>252</v>
      </c>
      <c r="E88" s="6" t="s">
        <v>67</v>
      </c>
      <c r="F88" s="7">
        <v>45685</v>
      </c>
      <c r="G88" s="8">
        <v>86.5</v>
      </c>
      <c r="H88" s="8">
        <f t="shared" si="0"/>
        <v>121.1</v>
      </c>
      <c r="I88" s="9">
        <v>150</v>
      </c>
    </row>
    <row r="89" spans="2:9" ht="12.75">
      <c r="B89" s="10" t="s">
        <v>253</v>
      </c>
      <c r="C89" s="11" t="s">
        <v>132</v>
      </c>
      <c r="D89" s="11" t="s">
        <v>254</v>
      </c>
      <c r="E89" s="11" t="s">
        <v>255</v>
      </c>
      <c r="F89" s="12">
        <v>45958</v>
      </c>
      <c r="G89" s="13">
        <v>153.81</v>
      </c>
      <c r="H89" s="8">
        <f t="shared" si="0"/>
        <v>215.334</v>
      </c>
      <c r="I89" s="14">
        <v>215</v>
      </c>
    </row>
    <row r="90" spans="2:9" ht="12.75">
      <c r="B90" s="5" t="s">
        <v>256</v>
      </c>
      <c r="C90" s="6" t="s">
        <v>257</v>
      </c>
      <c r="D90" s="6" t="s">
        <v>258</v>
      </c>
      <c r="E90" s="6" t="s">
        <v>259</v>
      </c>
      <c r="F90" s="7">
        <v>46018</v>
      </c>
      <c r="G90" s="8">
        <v>173.93</v>
      </c>
      <c r="H90" s="8">
        <f t="shared" si="0"/>
        <v>243.50200000000001</v>
      </c>
      <c r="I90" s="9">
        <v>245</v>
      </c>
    </row>
    <row r="91" spans="2:9" ht="12.75">
      <c r="B91" s="10" t="s">
        <v>260</v>
      </c>
      <c r="C91" s="11" t="s">
        <v>17</v>
      </c>
      <c r="D91" s="11" t="s">
        <v>261</v>
      </c>
      <c r="E91" s="11" t="s">
        <v>226</v>
      </c>
      <c r="F91" s="12">
        <v>45896</v>
      </c>
      <c r="G91" s="13">
        <v>52.5</v>
      </c>
      <c r="H91" s="8">
        <f t="shared" si="0"/>
        <v>73.5</v>
      </c>
      <c r="I91" s="14">
        <v>75</v>
      </c>
    </row>
    <row r="92" spans="2:9" ht="24">
      <c r="B92" s="28" t="s">
        <v>262</v>
      </c>
      <c r="C92" s="29" t="s">
        <v>263</v>
      </c>
      <c r="D92" s="29" t="s">
        <v>264</v>
      </c>
      <c r="E92" s="29" t="s">
        <v>265</v>
      </c>
      <c r="F92" s="30">
        <v>45926</v>
      </c>
      <c r="G92" s="31">
        <v>27.9</v>
      </c>
      <c r="H92" s="8">
        <f t="shared" si="0"/>
        <v>39.06</v>
      </c>
      <c r="I92" s="32">
        <v>45</v>
      </c>
    </row>
    <row r="93" spans="2:9" ht="12.75">
      <c r="B93" s="15" t="s">
        <v>266</v>
      </c>
      <c r="C93" s="16" t="s">
        <v>17</v>
      </c>
      <c r="D93" s="16" t="s">
        <v>266</v>
      </c>
      <c r="E93" s="16" t="s">
        <v>165</v>
      </c>
      <c r="F93" s="17">
        <v>45987</v>
      </c>
      <c r="G93" s="18">
        <v>193.6</v>
      </c>
      <c r="H93" s="18">
        <f t="shared" si="0"/>
        <v>271.03999999999996</v>
      </c>
      <c r="I93" s="19">
        <v>275</v>
      </c>
    </row>
    <row r="94" spans="2:9" ht="12.75">
      <c r="B94" s="5" t="s">
        <v>267</v>
      </c>
      <c r="C94" s="6" t="s">
        <v>222</v>
      </c>
      <c r="D94" s="6" t="s">
        <v>268</v>
      </c>
      <c r="E94" s="6" t="s">
        <v>100</v>
      </c>
      <c r="F94" s="7">
        <v>45987</v>
      </c>
      <c r="G94" s="8">
        <v>78.400000000000006</v>
      </c>
      <c r="H94" s="8">
        <f t="shared" si="0"/>
        <v>109.76</v>
      </c>
      <c r="I94" s="9">
        <v>110</v>
      </c>
    </row>
    <row r="95" spans="2:9" ht="12.75">
      <c r="B95" s="10" t="s">
        <v>269</v>
      </c>
      <c r="C95" s="11" t="s">
        <v>17</v>
      </c>
      <c r="D95" s="11" t="s">
        <v>269</v>
      </c>
      <c r="E95" s="11" t="s">
        <v>104</v>
      </c>
      <c r="F95" s="12">
        <v>45987</v>
      </c>
      <c r="G95" s="13">
        <v>78.53</v>
      </c>
      <c r="H95" s="8">
        <f t="shared" si="0"/>
        <v>109.94200000000001</v>
      </c>
      <c r="I95" s="14">
        <v>150</v>
      </c>
    </row>
    <row r="96" spans="2:9" ht="24">
      <c r="B96" s="5" t="s">
        <v>270</v>
      </c>
      <c r="C96" s="6" t="s">
        <v>271</v>
      </c>
      <c r="D96" s="6" t="s">
        <v>272</v>
      </c>
      <c r="E96" s="6" t="s">
        <v>23</v>
      </c>
      <c r="F96" s="7">
        <v>45864</v>
      </c>
      <c r="G96" s="8">
        <v>67.64</v>
      </c>
      <c r="H96" s="8">
        <f t="shared" si="0"/>
        <v>94.695999999999998</v>
      </c>
      <c r="I96" s="9">
        <v>95</v>
      </c>
    </row>
    <row r="97" spans="2:9" ht="24">
      <c r="B97" s="10" t="s">
        <v>273</v>
      </c>
      <c r="C97" s="11" t="s">
        <v>274</v>
      </c>
      <c r="D97" s="11" t="s">
        <v>275</v>
      </c>
      <c r="E97" s="11" t="s">
        <v>15</v>
      </c>
      <c r="F97" s="12">
        <v>45988</v>
      </c>
      <c r="G97" s="13">
        <v>49.49</v>
      </c>
      <c r="H97" s="8">
        <f t="shared" si="0"/>
        <v>69.286000000000001</v>
      </c>
      <c r="I97" s="14">
        <v>70</v>
      </c>
    </row>
    <row r="98" spans="2:9" ht="12.75">
      <c r="B98" s="15" t="s">
        <v>276</v>
      </c>
      <c r="C98" s="16" t="s">
        <v>277</v>
      </c>
      <c r="D98" s="16" t="s">
        <v>278</v>
      </c>
      <c r="E98" s="16" t="s">
        <v>279</v>
      </c>
      <c r="F98" s="17">
        <v>45715</v>
      </c>
      <c r="G98" s="18">
        <v>172.88</v>
      </c>
      <c r="H98" s="18">
        <f t="shared" si="0"/>
        <v>242.03199999999998</v>
      </c>
      <c r="I98" s="19">
        <v>245</v>
      </c>
    </row>
    <row r="99" spans="2:9" ht="12.75">
      <c r="B99" s="10" t="s">
        <v>280</v>
      </c>
      <c r="C99" s="11" t="s">
        <v>281</v>
      </c>
      <c r="D99" s="11" t="s">
        <v>282</v>
      </c>
      <c r="E99" s="11" t="s">
        <v>186</v>
      </c>
      <c r="F99" s="12">
        <v>45684</v>
      </c>
      <c r="G99" s="13">
        <v>114.04</v>
      </c>
      <c r="H99" s="8">
        <f t="shared" si="0"/>
        <v>159.65600000000001</v>
      </c>
      <c r="I99" s="14">
        <v>160</v>
      </c>
    </row>
    <row r="100" spans="2:9" ht="24">
      <c r="B100" s="5" t="s">
        <v>283</v>
      </c>
      <c r="C100" s="6" t="s">
        <v>129</v>
      </c>
      <c r="D100" s="6" t="s">
        <v>284</v>
      </c>
      <c r="E100" s="6" t="s">
        <v>285</v>
      </c>
      <c r="F100" s="7">
        <v>45683</v>
      </c>
      <c r="G100" s="8">
        <v>78.650000000000006</v>
      </c>
      <c r="H100" s="8">
        <f t="shared" si="0"/>
        <v>110.11000000000001</v>
      </c>
      <c r="I100" s="9">
        <v>100</v>
      </c>
    </row>
    <row r="101" spans="2:9" ht="12.75">
      <c r="B101" s="10" t="s">
        <v>286</v>
      </c>
      <c r="C101" s="11" t="s">
        <v>287</v>
      </c>
      <c r="D101" s="11" t="s">
        <v>288</v>
      </c>
      <c r="E101" s="11" t="s">
        <v>279</v>
      </c>
      <c r="F101" s="12">
        <v>45987</v>
      </c>
      <c r="G101" s="13">
        <v>193.86</v>
      </c>
      <c r="H101" s="8">
        <f t="shared" si="0"/>
        <v>271.404</v>
      </c>
      <c r="I101" s="14">
        <v>270</v>
      </c>
    </row>
    <row r="102" spans="2:9" ht="12.75">
      <c r="B102" s="15" t="s">
        <v>289</v>
      </c>
      <c r="C102" s="16" t="s">
        <v>17</v>
      </c>
      <c r="D102" s="16" t="s">
        <v>289</v>
      </c>
      <c r="E102" s="16" t="s">
        <v>265</v>
      </c>
      <c r="F102" s="17">
        <v>45987</v>
      </c>
      <c r="G102" s="18">
        <v>62.5</v>
      </c>
      <c r="H102" s="18">
        <f t="shared" si="0"/>
        <v>87.5</v>
      </c>
      <c r="I102" s="19">
        <v>90</v>
      </c>
    </row>
    <row r="103" spans="2:9" ht="12.75">
      <c r="B103" s="10" t="s">
        <v>290</v>
      </c>
      <c r="C103" s="11" t="s">
        <v>291</v>
      </c>
      <c r="D103" s="11" t="s">
        <v>290</v>
      </c>
      <c r="E103" s="11" t="s">
        <v>226</v>
      </c>
      <c r="F103" s="12">
        <v>45834</v>
      </c>
      <c r="G103" s="13">
        <v>22</v>
      </c>
      <c r="H103" s="8">
        <f t="shared" si="0"/>
        <v>30.8</v>
      </c>
      <c r="I103" s="14">
        <v>65</v>
      </c>
    </row>
    <row r="104" spans="2:9" ht="36">
      <c r="B104" s="5" t="s">
        <v>292</v>
      </c>
      <c r="C104" s="6" t="s">
        <v>293</v>
      </c>
      <c r="D104" s="6" t="s">
        <v>294</v>
      </c>
      <c r="E104" s="6" t="s">
        <v>295</v>
      </c>
      <c r="F104" s="7">
        <v>45987</v>
      </c>
      <c r="G104" s="8">
        <v>45.4</v>
      </c>
      <c r="H104" s="8">
        <f t="shared" si="0"/>
        <v>63.56</v>
      </c>
      <c r="I104" s="9">
        <v>90</v>
      </c>
    </row>
    <row r="105" spans="2:9" ht="12.75">
      <c r="B105" s="10" t="s">
        <v>296</v>
      </c>
      <c r="C105" s="11" t="s">
        <v>297</v>
      </c>
      <c r="D105" s="11" t="s">
        <v>298</v>
      </c>
      <c r="E105" s="11" t="s">
        <v>11</v>
      </c>
      <c r="F105" s="12">
        <v>45803</v>
      </c>
      <c r="G105" s="13">
        <v>38.06</v>
      </c>
      <c r="H105" s="8">
        <f t="shared" si="0"/>
        <v>53.284000000000006</v>
      </c>
      <c r="I105" s="14">
        <v>60</v>
      </c>
    </row>
    <row r="106" spans="2:9" ht="12.75">
      <c r="B106" s="5" t="s">
        <v>299</v>
      </c>
      <c r="C106" s="6" t="s">
        <v>300</v>
      </c>
      <c r="D106" s="6" t="s">
        <v>301</v>
      </c>
      <c r="E106" s="6" t="s">
        <v>295</v>
      </c>
      <c r="F106" s="7">
        <v>45773</v>
      </c>
      <c r="G106" s="8">
        <v>120.28</v>
      </c>
      <c r="H106" s="8">
        <f t="shared" si="0"/>
        <v>168.392</v>
      </c>
      <c r="I106" s="9">
        <v>170</v>
      </c>
    </row>
    <row r="107" spans="2:9" ht="12.75">
      <c r="B107" s="10" t="s">
        <v>302</v>
      </c>
      <c r="C107" s="11" t="s">
        <v>303</v>
      </c>
      <c r="D107" s="11" t="s">
        <v>304</v>
      </c>
      <c r="E107" s="11" t="s">
        <v>226</v>
      </c>
      <c r="F107" s="12">
        <v>45928</v>
      </c>
      <c r="G107" s="13">
        <v>5.26</v>
      </c>
      <c r="H107" s="8">
        <f t="shared" si="0"/>
        <v>7.3639999999999999</v>
      </c>
      <c r="I107" s="14">
        <v>10</v>
      </c>
    </row>
    <row r="108" spans="2:9" ht="12.75">
      <c r="B108" s="5" t="s">
        <v>305</v>
      </c>
      <c r="C108" s="6" t="s">
        <v>306</v>
      </c>
      <c r="D108" s="6" t="s">
        <v>306</v>
      </c>
      <c r="E108" s="6" t="s">
        <v>307</v>
      </c>
      <c r="F108" s="7">
        <v>45835</v>
      </c>
      <c r="G108" s="8">
        <v>27.97</v>
      </c>
      <c r="H108" s="8">
        <f t="shared" si="0"/>
        <v>39.158000000000001</v>
      </c>
      <c r="I108" s="9">
        <v>40</v>
      </c>
    </row>
    <row r="109" spans="2:9" ht="24">
      <c r="B109" s="10" t="s">
        <v>308</v>
      </c>
      <c r="C109" s="11" t="s">
        <v>309</v>
      </c>
      <c r="D109" s="11" t="s">
        <v>310</v>
      </c>
      <c r="E109" s="11" t="s">
        <v>11</v>
      </c>
      <c r="F109" s="12">
        <v>46017</v>
      </c>
      <c r="G109" s="13">
        <v>53.46</v>
      </c>
      <c r="H109" s="8">
        <f t="shared" si="0"/>
        <v>74.843999999999994</v>
      </c>
      <c r="I109" s="14">
        <v>90</v>
      </c>
    </row>
    <row r="110" spans="2:9" ht="12.75">
      <c r="B110" s="5" t="s">
        <v>311</v>
      </c>
      <c r="C110" s="6" t="s">
        <v>17</v>
      </c>
      <c r="D110" s="6" t="s">
        <v>312</v>
      </c>
      <c r="E110" s="6" t="s">
        <v>37</v>
      </c>
      <c r="F110" s="7">
        <v>45895</v>
      </c>
      <c r="G110" s="8">
        <v>385</v>
      </c>
      <c r="H110" s="8">
        <f t="shared" si="0"/>
        <v>539</v>
      </c>
      <c r="I110" s="9">
        <v>550</v>
      </c>
    </row>
    <row r="111" spans="2:9" ht="12.75">
      <c r="B111" s="10" t="s">
        <v>313</v>
      </c>
      <c r="C111" s="11" t="s">
        <v>314</v>
      </c>
      <c r="D111" s="11" t="s">
        <v>315</v>
      </c>
      <c r="E111" s="11" t="s">
        <v>316</v>
      </c>
      <c r="F111" s="12">
        <v>45773</v>
      </c>
      <c r="G111" s="13">
        <v>8.25</v>
      </c>
      <c r="H111" s="8">
        <f t="shared" si="0"/>
        <v>11.55</v>
      </c>
      <c r="I111" s="14">
        <v>70</v>
      </c>
    </row>
    <row r="112" spans="2:9" ht="12.75">
      <c r="B112" s="5" t="s">
        <v>317</v>
      </c>
      <c r="C112" s="6" t="s">
        <v>318</v>
      </c>
      <c r="D112" s="6" t="s">
        <v>319</v>
      </c>
      <c r="E112" s="6" t="s">
        <v>87</v>
      </c>
      <c r="F112" s="7">
        <v>45834</v>
      </c>
      <c r="G112" s="8">
        <v>56</v>
      </c>
      <c r="H112" s="8">
        <f t="shared" si="0"/>
        <v>78.400000000000006</v>
      </c>
      <c r="I112" s="9">
        <v>80</v>
      </c>
    </row>
    <row r="113" spans="2:9" ht="12.75">
      <c r="B113" s="10" t="s">
        <v>317</v>
      </c>
      <c r="C113" s="11" t="s">
        <v>320</v>
      </c>
      <c r="D113" s="11" t="s">
        <v>321</v>
      </c>
      <c r="E113" s="11" t="s">
        <v>87</v>
      </c>
      <c r="F113" s="12">
        <v>45956</v>
      </c>
      <c r="G113" s="13">
        <v>56</v>
      </c>
      <c r="H113" s="8">
        <f t="shared" si="0"/>
        <v>78.400000000000006</v>
      </c>
      <c r="I113" s="14">
        <v>80</v>
      </c>
    </row>
    <row r="114" spans="2:9" ht="12.75">
      <c r="B114" s="5" t="s">
        <v>322</v>
      </c>
      <c r="C114" s="6" t="s">
        <v>323</v>
      </c>
      <c r="D114" s="6" t="s">
        <v>324</v>
      </c>
      <c r="E114" s="6" t="s">
        <v>79</v>
      </c>
      <c r="F114" s="7">
        <v>45743</v>
      </c>
      <c r="G114" s="8">
        <v>60</v>
      </c>
      <c r="H114" s="8">
        <f t="shared" si="0"/>
        <v>84</v>
      </c>
      <c r="I114" s="9">
        <v>85</v>
      </c>
    </row>
    <row r="115" spans="2:9" ht="12.75">
      <c r="B115" s="10" t="s">
        <v>325</v>
      </c>
      <c r="C115" s="11" t="s">
        <v>326</v>
      </c>
      <c r="D115" s="11" t="s">
        <v>324</v>
      </c>
      <c r="E115" s="11" t="s">
        <v>327</v>
      </c>
      <c r="F115" s="12">
        <v>45774</v>
      </c>
      <c r="G115" s="13">
        <v>180</v>
      </c>
      <c r="H115" s="8">
        <f t="shared" si="0"/>
        <v>252</v>
      </c>
      <c r="I115" s="14">
        <v>260</v>
      </c>
    </row>
    <row r="116" spans="2:9" ht="12.75">
      <c r="B116" s="33" t="s">
        <v>328</v>
      </c>
      <c r="C116" s="34" t="s">
        <v>329</v>
      </c>
      <c r="D116" s="34" t="s">
        <v>330</v>
      </c>
      <c r="E116" s="34" t="s">
        <v>87</v>
      </c>
      <c r="F116" s="35">
        <v>45986</v>
      </c>
      <c r="G116" s="36">
        <v>39</v>
      </c>
      <c r="H116" s="36">
        <f t="shared" si="0"/>
        <v>54.6</v>
      </c>
      <c r="I116" s="37">
        <v>55</v>
      </c>
    </row>
    <row r="117" spans="2:9" ht="12.75">
      <c r="B117" s="10" t="s">
        <v>328</v>
      </c>
      <c r="C117" s="11" t="s">
        <v>331</v>
      </c>
      <c r="D117" s="11" t="s">
        <v>332</v>
      </c>
      <c r="E117" s="11" t="s">
        <v>87</v>
      </c>
      <c r="F117" s="12">
        <v>45743</v>
      </c>
      <c r="G117" s="13">
        <v>75.400000000000006</v>
      </c>
      <c r="H117" s="8">
        <f t="shared" si="0"/>
        <v>105.56</v>
      </c>
      <c r="I117" s="14">
        <v>105</v>
      </c>
    </row>
    <row r="118" spans="2:9" ht="12.75">
      <c r="B118" s="5" t="s">
        <v>333</v>
      </c>
      <c r="C118" s="6" t="s">
        <v>334</v>
      </c>
      <c r="D118" s="6" t="s">
        <v>335</v>
      </c>
      <c r="E118" s="6" t="s">
        <v>100</v>
      </c>
      <c r="F118" s="7">
        <v>45803</v>
      </c>
      <c r="G118" s="8">
        <v>47.71</v>
      </c>
      <c r="H118" s="8">
        <f t="shared" si="0"/>
        <v>66.793999999999997</v>
      </c>
      <c r="I118" s="9">
        <v>70</v>
      </c>
    </row>
    <row r="119" spans="2:9" ht="12.75">
      <c r="B119" s="10" t="s">
        <v>336</v>
      </c>
      <c r="C119" s="11" t="s">
        <v>337</v>
      </c>
      <c r="D119" s="11" t="s">
        <v>338</v>
      </c>
      <c r="E119" s="11" t="s">
        <v>339</v>
      </c>
      <c r="F119" s="12">
        <v>45926</v>
      </c>
      <c r="G119" s="13">
        <v>3.25</v>
      </c>
      <c r="H119" s="8">
        <f t="shared" si="0"/>
        <v>4.55</v>
      </c>
      <c r="I119" s="14">
        <v>30</v>
      </c>
    </row>
    <row r="120" spans="2:9" ht="12.75">
      <c r="B120" s="5" t="s">
        <v>340</v>
      </c>
      <c r="C120" s="6" t="s">
        <v>341</v>
      </c>
      <c r="D120" s="6" t="s">
        <v>342</v>
      </c>
      <c r="E120" s="6" t="s">
        <v>295</v>
      </c>
      <c r="F120" s="39" t="s">
        <v>343</v>
      </c>
      <c r="G120" s="8">
        <v>95.84</v>
      </c>
      <c r="H120" s="8">
        <f t="shared" si="0"/>
        <v>134.17600000000002</v>
      </c>
      <c r="I120" s="9">
        <v>135</v>
      </c>
    </row>
    <row r="121" spans="2:9" ht="24">
      <c r="B121" s="10" t="s">
        <v>344</v>
      </c>
      <c r="C121" s="11" t="s">
        <v>318</v>
      </c>
      <c r="D121" s="11" t="s">
        <v>345</v>
      </c>
      <c r="E121" s="11" t="s">
        <v>100</v>
      </c>
      <c r="F121" s="12">
        <v>45773</v>
      </c>
      <c r="G121" s="13">
        <v>132</v>
      </c>
      <c r="H121" s="8">
        <f t="shared" si="0"/>
        <v>184.8</v>
      </c>
      <c r="I121" s="14">
        <v>220</v>
      </c>
    </row>
    <row r="122" spans="2:9" ht="12.75">
      <c r="B122" s="5" t="s">
        <v>346</v>
      </c>
      <c r="C122" s="6" t="s">
        <v>314</v>
      </c>
      <c r="D122" s="6" t="s">
        <v>347</v>
      </c>
      <c r="E122" s="6" t="s">
        <v>100</v>
      </c>
      <c r="F122" s="7">
        <v>45714</v>
      </c>
      <c r="G122" s="8">
        <v>214.03</v>
      </c>
      <c r="H122" s="8">
        <f t="shared" si="0"/>
        <v>299.642</v>
      </c>
      <c r="I122" s="9">
        <v>300</v>
      </c>
    </row>
    <row r="123" spans="2:9" ht="12.75">
      <c r="B123" s="10" t="s">
        <v>348</v>
      </c>
      <c r="C123" s="11" t="s">
        <v>349</v>
      </c>
      <c r="D123" s="11" t="s">
        <v>350</v>
      </c>
      <c r="E123" s="11" t="s">
        <v>87</v>
      </c>
      <c r="F123" s="12">
        <v>45895</v>
      </c>
      <c r="G123" s="13">
        <v>48.57</v>
      </c>
      <c r="H123" s="8">
        <f t="shared" si="0"/>
        <v>67.998000000000005</v>
      </c>
      <c r="I123" s="14">
        <v>70</v>
      </c>
    </row>
    <row r="124" spans="2:9" ht="12.75">
      <c r="B124" s="5" t="s">
        <v>351</v>
      </c>
      <c r="C124" s="6" t="s">
        <v>28</v>
      </c>
      <c r="D124" s="6" t="s">
        <v>352</v>
      </c>
      <c r="E124" s="6" t="s">
        <v>353</v>
      </c>
      <c r="F124" s="7">
        <v>45956</v>
      </c>
      <c r="G124" s="8">
        <v>125</v>
      </c>
      <c r="H124" s="8">
        <f t="shared" si="0"/>
        <v>175</v>
      </c>
      <c r="I124" s="9">
        <v>175</v>
      </c>
    </row>
    <row r="125" spans="2:9" ht="12.75">
      <c r="B125" s="40" t="s">
        <v>354</v>
      </c>
      <c r="C125" s="41" t="s">
        <v>17</v>
      </c>
      <c r="D125" s="41" t="s">
        <v>355</v>
      </c>
      <c r="E125" s="41" t="s">
        <v>339</v>
      </c>
      <c r="F125" s="42">
        <v>45834</v>
      </c>
      <c r="G125" s="43">
        <v>8.07</v>
      </c>
      <c r="H125" s="8">
        <f t="shared" si="0"/>
        <v>11.298</v>
      </c>
      <c r="I125" s="38">
        <v>100</v>
      </c>
    </row>
    <row r="126" spans="2:9" ht="12.75">
      <c r="B126" s="5" t="s">
        <v>356</v>
      </c>
      <c r="C126" s="6" t="s">
        <v>106</v>
      </c>
      <c r="D126" s="6" t="s">
        <v>357</v>
      </c>
      <c r="E126" s="6" t="s">
        <v>339</v>
      </c>
      <c r="F126" s="7">
        <v>45743</v>
      </c>
      <c r="G126" s="8">
        <v>75</v>
      </c>
      <c r="H126" s="8">
        <f t="shared" si="0"/>
        <v>105</v>
      </c>
      <c r="I126" s="9">
        <v>110</v>
      </c>
    </row>
    <row r="127" spans="2:9" ht="24">
      <c r="B127" s="15" t="s">
        <v>358</v>
      </c>
      <c r="C127" s="16" t="s">
        <v>359</v>
      </c>
      <c r="D127" s="16" t="s">
        <v>360</v>
      </c>
      <c r="E127" s="16" t="s">
        <v>186</v>
      </c>
      <c r="F127" s="17">
        <v>45956</v>
      </c>
      <c r="G127" s="18">
        <v>52.4</v>
      </c>
      <c r="H127" s="18">
        <f t="shared" si="0"/>
        <v>73.36</v>
      </c>
      <c r="I127" s="19">
        <v>75</v>
      </c>
    </row>
    <row r="128" spans="2:9" ht="33.75">
      <c r="B128" s="28" t="s">
        <v>361</v>
      </c>
      <c r="C128" s="29" t="s">
        <v>362</v>
      </c>
      <c r="D128" s="44" t="s">
        <v>363</v>
      </c>
      <c r="E128" s="29" t="s">
        <v>113</v>
      </c>
      <c r="F128" s="30">
        <v>45927</v>
      </c>
      <c r="G128" s="31">
        <v>28.63</v>
      </c>
      <c r="H128" s="8">
        <f t="shared" si="0"/>
        <v>40.082000000000001</v>
      </c>
      <c r="I128" s="32">
        <v>50</v>
      </c>
    </row>
    <row r="129" spans="2:9" ht="48">
      <c r="B129" s="10" t="s">
        <v>364</v>
      </c>
      <c r="C129" s="11" t="s">
        <v>365</v>
      </c>
      <c r="D129" s="11" t="s">
        <v>366</v>
      </c>
      <c r="E129" s="11" t="s">
        <v>11</v>
      </c>
      <c r="F129" s="12">
        <v>45865</v>
      </c>
      <c r="G129" s="13">
        <v>53.62</v>
      </c>
      <c r="H129" s="8">
        <f t="shared" si="0"/>
        <v>75.067999999999998</v>
      </c>
      <c r="I129" s="14">
        <v>80</v>
      </c>
    </row>
    <row r="130" spans="2:9" ht="12.75">
      <c r="B130" s="5" t="s">
        <v>367</v>
      </c>
      <c r="C130" s="6" t="s">
        <v>368</v>
      </c>
      <c r="D130" s="6" t="s">
        <v>369</v>
      </c>
      <c r="E130" s="6" t="s">
        <v>370</v>
      </c>
      <c r="F130" s="7">
        <v>45866</v>
      </c>
      <c r="G130" s="8">
        <v>10.5</v>
      </c>
      <c r="H130" s="8">
        <f t="shared" si="0"/>
        <v>14.7</v>
      </c>
      <c r="I130" s="9">
        <v>15</v>
      </c>
    </row>
    <row r="131" spans="2:9" ht="22.5">
      <c r="B131" s="10" t="s">
        <v>371</v>
      </c>
      <c r="C131" s="11" t="s">
        <v>372</v>
      </c>
      <c r="D131" s="45" t="s">
        <v>373</v>
      </c>
      <c r="E131" s="11" t="s">
        <v>44</v>
      </c>
      <c r="F131" s="12">
        <v>45869</v>
      </c>
      <c r="G131" s="13">
        <v>48</v>
      </c>
      <c r="H131" s="8">
        <f t="shared" si="0"/>
        <v>67.2</v>
      </c>
      <c r="I131" s="14">
        <v>75</v>
      </c>
    </row>
    <row r="132" spans="2:9" ht="12.75">
      <c r="B132" s="5" t="s">
        <v>374</v>
      </c>
      <c r="C132" s="6" t="s">
        <v>375</v>
      </c>
      <c r="D132" s="6" t="s">
        <v>376</v>
      </c>
      <c r="E132" s="6" t="s">
        <v>226</v>
      </c>
      <c r="F132" s="7">
        <v>45896</v>
      </c>
      <c r="G132" s="8">
        <v>92.54</v>
      </c>
      <c r="H132" s="8">
        <f t="shared" si="0"/>
        <v>129.55600000000001</v>
      </c>
      <c r="I132" s="9">
        <v>180</v>
      </c>
    </row>
    <row r="133" spans="2:9" ht="24">
      <c r="B133" s="10" t="s">
        <v>377</v>
      </c>
      <c r="C133" s="11" t="s">
        <v>378</v>
      </c>
      <c r="D133" s="11" t="s">
        <v>379</v>
      </c>
      <c r="E133" s="11" t="s">
        <v>285</v>
      </c>
      <c r="F133" s="12">
        <v>45683</v>
      </c>
      <c r="G133" s="13">
        <v>117</v>
      </c>
      <c r="H133" s="8">
        <f t="shared" si="0"/>
        <v>163.80000000000001</v>
      </c>
      <c r="I133" s="14">
        <v>165</v>
      </c>
    </row>
    <row r="134" spans="2:9" ht="24">
      <c r="B134" s="5" t="s">
        <v>377</v>
      </c>
      <c r="C134" s="6" t="s">
        <v>380</v>
      </c>
      <c r="D134" s="6" t="s">
        <v>379</v>
      </c>
      <c r="E134" s="6" t="s">
        <v>285</v>
      </c>
      <c r="F134" s="7">
        <v>45683</v>
      </c>
      <c r="G134" s="8">
        <v>68.8</v>
      </c>
      <c r="H134" s="8">
        <f t="shared" si="0"/>
        <v>96.32</v>
      </c>
      <c r="I134" s="9">
        <v>100</v>
      </c>
    </row>
    <row r="135" spans="2:9" ht="24">
      <c r="B135" s="15" t="s">
        <v>381</v>
      </c>
      <c r="C135" s="16" t="s">
        <v>120</v>
      </c>
      <c r="D135" s="16" t="s">
        <v>382</v>
      </c>
      <c r="E135" s="16" t="s">
        <v>383</v>
      </c>
      <c r="F135" s="17">
        <v>45684</v>
      </c>
      <c r="G135" s="18">
        <v>3</v>
      </c>
      <c r="H135" s="18">
        <f t="shared" si="0"/>
        <v>4.2</v>
      </c>
      <c r="I135" s="19">
        <v>15</v>
      </c>
    </row>
    <row r="136" spans="2:9" ht="24">
      <c r="B136" s="5" t="s">
        <v>384</v>
      </c>
      <c r="C136" s="6" t="s">
        <v>120</v>
      </c>
      <c r="D136" s="6" t="s">
        <v>385</v>
      </c>
      <c r="E136" s="6" t="s">
        <v>386</v>
      </c>
      <c r="F136" s="7">
        <v>45715</v>
      </c>
      <c r="G136" s="8">
        <v>160</v>
      </c>
      <c r="H136" s="8">
        <f t="shared" si="0"/>
        <v>224</v>
      </c>
      <c r="I136" s="9">
        <v>225</v>
      </c>
    </row>
    <row r="137" spans="2:9" ht="12.75">
      <c r="B137" s="10" t="s">
        <v>387</v>
      </c>
      <c r="C137" s="11" t="s">
        <v>388</v>
      </c>
      <c r="D137" s="11" t="s">
        <v>389</v>
      </c>
      <c r="E137" s="11" t="s">
        <v>226</v>
      </c>
      <c r="F137" s="12">
        <v>45927</v>
      </c>
      <c r="G137" s="13">
        <v>155.80000000000001</v>
      </c>
      <c r="H137" s="8">
        <f t="shared" si="0"/>
        <v>218.12</v>
      </c>
      <c r="I137" s="14">
        <v>220</v>
      </c>
    </row>
    <row r="138" spans="2:9" ht="12.75">
      <c r="B138" s="5" t="s">
        <v>390</v>
      </c>
      <c r="C138" s="6" t="s">
        <v>391</v>
      </c>
      <c r="D138" s="6" t="s">
        <v>392</v>
      </c>
      <c r="E138" s="6" t="s">
        <v>393</v>
      </c>
      <c r="F138" s="7">
        <v>45927</v>
      </c>
      <c r="G138" s="8">
        <v>47.17</v>
      </c>
      <c r="H138" s="8">
        <f t="shared" si="0"/>
        <v>66.038000000000011</v>
      </c>
      <c r="I138" s="9">
        <v>70</v>
      </c>
    </row>
    <row r="139" spans="2:9" ht="24">
      <c r="B139" s="10" t="s">
        <v>394</v>
      </c>
      <c r="C139" s="11" t="s">
        <v>337</v>
      </c>
      <c r="D139" s="11" t="s">
        <v>395</v>
      </c>
      <c r="E139" s="11" t="s">
        <v>79</v>
      </c>
      <c r="F139" s="12">
        <v>45987</v>
      </c>
      <c r="G139" s="13">
        <v>20</v>
      </c>
      <c r="H139" s="8">
        <f t="shared" si="0"/>
        <v>28</v>
      </c>
      <c r="I139" s="14">
        <v>35</v>
      </c>
    </row>
    <row r="140" spans="2:9" ht="12.75">
      <c r="B140" s="5" t="s">
        <v>396</v>
      </c>
      <c r="C140" s="6" t="s">
        <v>397</v>
      </c>
      <c r="D140" s="6" t="s">
        <v>398</v>
      </c>
      <c r="E140" s="6" t="s">
        <v>119</v>
      </c>
      <c r="F140" s="7">
        <v>46018</v>
      </c>
      <c r="G140" s="8">
        <v>115</v>
      </c>
      <c r="H140" s="8">
        <f t="shared" si="0"/>
        <v>161</v>
      </c>
      <c r="I140" s="9">
        <v>165</v>
      </c>
    </row>
    <row r="141" spans="2:9" ht="12.75">
      <c r="B141" s="10" t="s">
        <v>399</v>
      </c>
      <c r="C141" s="11" t="s">
        <v>400</v>
      </c>
      <c r="D141" s="11" t="s">
        <v>401</v>
      </c>
      <c r="E141" s="11" t="s">
        <v>229</v>
      </c>
      <c r="F141" s="12">
        <v>45864</v>
      </c>
      <c r="G141" s="13">
        <v>60</v>
      </c>
      <c r="H141" s="8">
        <f t="shared" si="0"/>
        <v>84</v>
      </c>
      <c r="I141" s="14">
        <v>85</v>
      </c>
    </row>
    <row r="142" spans="2:9" ht="12.75">
      <c r="B142" s="21" t="s">
        <v>402</v>
      </c>
      <c r="C142" s="22" t="s">
        <v>403</v>
      </c>
      <c r="D142" s="22" t="s">
        <v>404</v>
      </c>
      <c r="E142" s="22" t="s">
        <v>15</v>
      </c>
      <c r="F142" s="24">
        <v>45714</v>
      </c>
      <c r="G142" s="25">
        <v>190.8</v>
      </c>
      <c r="H142" s="25">
        <f t="shared" si="0"/>
        <v>267.12</v>
      </c>
      <c r="I142" s="26">
        <v>270</v>
      </c>
    </row>
    <row r="143" spans="2:9" ht="12.75">
      <c r="B143" s="10" t="s">
        <v>405</v>
      </c>
      <c r="C143" s="11" t="s">
        <v>406</v>
      </c>
      <c r="D143" s="11" t="s">
        <v>407</v>
      </c>
      <c r="E143" s="11" t="s">
        <v>79</v>
      </c>
      <c r="F143" s="12">
        <v>45836</v>
      </c>
      <c r="G143" s="13">
        <v>65</v>
      </c>
      <c r="H143" s="8">
        <f t="shared" si="0"/>
        <v>91</v>
      </c>
      <c r="I143" s="14">
        <v>90</v>
      </c>
    </row>
    <row r="144" spans="2:9" ht="12.75">
      <c r="B144" s="5" t="s">
        <v>408</v>
      </c>
      <c r="C144" s="6" t="s">
        <v>409</v>
      </c>
      <c r="D144" s="6" t="s">
        <v>410</v>
      </c>
      <c r="E144" s="6" t="s">
        <v>411</v>
      </c>
      <c r="F144" s="39" t="s">
        <v>412</v>
      </c>
      <c r="G144" s="8">
        <v>71.569999999999993</v>
      </c>
      <c r="H144" s="8">
        <f t="shared" si="0"/>
        <v>100.19799999999999</v>
      </c>
      <c r="I144" s="9">
        <v>115</v>
      </c>
    </row>
    <row r="145" spans="2:9" ht="12.75">
      <c r="B145" s="10" t="s">
        <v>413</v>
      </c>
      <c r="C145" s="11" t="s">
        <v>414</v>
      </c>
      <c r="D145" s="11" t="s">
        <v>415</v>
      </c>
      <c r="E145" s="11" t="s">
        <v>87</v>
      </c>
      <c r="F145" s="12">
        <v>45742</v>
      </c>
      <c r="G145" s="13">
        <v>100</v>
      </c>
      <c r="H145" s="8">
        <f t="shared" si="0"/>
        <v>140</v>
      </c>
      <c r="I145" s="14">
        <v>180</v>
      </c>
    </row>
    <row r="146" spans="2:9" ht="12.75">
      <c r="B146" s="5" t="s">
        <v>416</v>
      </c>
      <c r="C146" s="6" t="s">
        <v>417</v>
      </c>
      <c r="D146" s="6" t="s">
        <v>418</v>
      </c>
      <c r="E146" s="6" t="s">
        <v>87</v>
      </c>
      <c r="F146" s="7">
        <v>45956</v>
      </c>
      <c r="G146" s="8">
        <v>126</v>
      </c>
      <c r="H146" s="8">
        <f t="shared" si="0"/>
        <v>176.4</v>
      </c>
      <c r="I146" s="9">
        <v>200</v>
      </c>
    </row>
    <row r="147" spans="2:9" ht="12.75">
      <c r="B147" s="10" t="s">
        <v>419</v>
      </c>
      <c r="C147" s="11" t="s">
        <v>420</v>
      </c>
      <c r="D147" s="11" t="s">
        <v>421</v>
      </c>
      <c r="E147" s="11" t="s">
        <v>44</v>
      </c>
      <c r="F147" s="12">
        <v>45896</v>
      </c>
      <c r="G147" s="13">
        <v>32</v>
      </c>
      <c r="H147" s="8">
        <f t="shared" si="0"/>
        <v>44.8</v>
      </c>
      <c r="I147" s="14">
        <v>50</v>
      </c>
    </row>
    <row r="148" spans="2:9" ht="12.75">
      <c r="B148" s="5" t="s">
        <v>422</v>
      </c>
      <c r="C148" s="6" t="s">
        <v>423</v>
      </c>
      <c r="D148" s="6" t="s">
        <v>422</v>
      </c>
      <c r="E148" s="6" t="s">
        <v>61</v>
      </c>
      <c r="F148" s="7">
        <v>45956</v>
      </c>
      <c r="G148" s="8">
        <v>690</v>
      </c>
      <c r="H148" s="8">
        <f t="shared" si="0"/>
        <v>966</v>
      </c>
      <c r="I148" s="9">
        <v>970</v>
      </c>
    </row>
    <row r="149" spans="2:9" ht="12.75">
      <c r="B149" s="10" t="s">
        <v>424</v>
      </c>
      <c r="C149" s="11" t="s">
        <v>425</v>
      </c>
      <c r="D149" s="11" t="s">
        <v>426</v>
      </c>
      <c r="E149" s="11" t="s">
        <v>186</v>
      </c>
      <c r="F149" s="12">
        <v>45926</v>
      </c>
      <c r="G149" s="13">
        <v>124.6</v>
      </c>
      <c r="H149" s="8">
        <f t="shared" si="0"/>
        <v>174.44</v>
      </c>
      <c r="I149" s="14">
        <v>175</v>
      </c>
    </row>
    <row r="150" spans="2:9" ht="24">
      <c r="B150" s="5" t="s">
        <v>427</v>
      </c>
      <c r="C150" s="6" t="s">
        <v>428</v>
      </c>
      <c r="D150" s="6" t="s">
        <v>429</v>
      </c>
      <c r="E150" s="6" t="s">
        <v>430</v>
      </c>
      <c r="F150" s="7">
        <v>45804</v>
      </c>
      <c r="G150" s="8">
        <v>12.97</v>
      </c>
      <c r="H150" s="8">
        <f t="shared" si="0"/>
        <v>18.158000000000001</v>
      </c>
      <c r="I150" s="9">
        <v>20</v>
      </c>
    </row>
    <row r="151" spans="2:9" ht="12.75">
      <c r="B151" s="10" t="s">
        <v>431</v>
      </c>
      <c r="C151" s="11" t="s">
        <v>337</v>
      </c>
      <c r="D151" s="11" t="s">
        <v>432</v>
      </c>
      <c r="E151" s="11" t="s">
        <v>104</v>
      </c>
      <c r="F151" s="12">
        <v>45834</v>
      </c>
      <c r="G151" s="13">
        <v>175</v>
      </c>
      <c r="H151" s="8">
        <f t="shared" si="0"/>
        <v>245</v>
      </c>
      <c r="I151" s="14">
        <v>250</v>
      </c>
    </row>
    <row r="152" spans="2:9" ht="24">
      <c r="B152" s="5" t="s">
        <v>433</v>
      </c>
      <c r="C152" s="6" t="s">
        <v>25</v>
      </c>
      <c r="D152" s="6" t="s">
        <v>434</v>
      </c>
      <c r="E152" s="6" t="s">
        <v>435</v>
      </c>
      <c r="F152" s="7">
        <v>45987</v>
      </c>
      <c r="G152" s="8">
        <v>51.6</v>
      </c>
      <c r="H152" s="8">
        <f t="shared" si="0"/>
        <v>72.240000000000009</v>
      </c>
      <c r="I152" s="9">
        <v>90</v>
      </c>
    </row>
    <row r="153" spans="2:9" ht="12.75">
      <c r="B153" s="10" t="s">
        <v>436</v>
      </c>
      <c r="C153" s="11" t="s">
        <v>437</v>
      </c>
      <c r="D153" s="11" t="s">
        <v>438</v>
      </c>
      <c r="E153" s="11" t="s">
        <v>439</v>
      </c>
      <c r="F153" s="12">
        <v>45715</v>
      </c>
      <c r="G153" s="13">
        <v>90</v>
      </c>
      <c r="H153" s="8">
        <f t="shared" si="0"/>
        <v>126</v>
      </c>
      <c r="I153" s="14">
        <v>140</v>
      </c>
    </row>
    <row r="154" spans="2:9" ht="12.75">
      <c r="B154" s="5" t="s">
        <v>440</v>
      </c>
      <c r="C154" s="6" t="s">
        <v>441</v>
      </c>
      <c r="D154" s="6" t="s">
        <v>442</v>
      </c>
      <c r="E154" s="6" t="s">
        <v>61</v>
      </c>
      <c r="F154" s="7">
        <v>45684</v>
      </c>
      <c r="G154" s="8">
        <v>73.150000000000006</v>
      </c>
      <c r="H154" s="8">
        <f t="shared" si="0"/>
        <v>102.41000000000001</v>
      </c>
      <c r="I154" s="9">
        <v>105</v>
      </c>
    </row>
    <row r="155" spans="2:9" ht="36">
      <c r="B155" s="10" t="s">
        <v>443</v>
      </c>
      <c r="C155" s="11" t="s">
        <v>444</v>
      </c>
      <c r="D155" s="11" t="s">
        <v>445</v>
      </c>
      <c r="E155" s="11" t="s">
        <v>133</v>
      </c>
      <c r="F155" s="12">
        <v>45774</v>
      </c>
      <c r="G155" s="13">
        <v>26</v>
      </c>
      <c r="H155" s="8">
        <f t="shared" si="0"/>
        <v>36.4</v>
      </c>
      <c r="I155" s="14">
        <v>40</v>
      </c>
    </row>
    <row r="156" spans="2:9" ht="12.75">
      <c r="B156" s="15" t="s">
        <v>446</v>
      </c>
      <c r="C156" s="16" t="s">
        <v>120</v>
      </c>
      <c r="D156" s="16" t="s">
        <v>447</v>
      </c>
      <c r="E156" s="16" t="s">
        <v>448</v>
      </c>
      <c r="F156" s="17">
        <v>45714</v>
      </c>
      <c r="G156" s="18">
        <v>48</v>
      </c>
      <c r="H156" s="18">
        <f t="shared" si="0"/>
        <v>67.2</v>
      </c>
      <c r="I156" s="19">
        <v>70</v>
      </c>
    </row>
    <row r="157" spans="2:9" ht="24">
      <c r="B157" s="33" t="s">
        <v>449</v>
      </c>
      <c r="C157" s="34" t="s">
        <v>450</v>
      </c>
      <c r="D157" s="34" t="s">
        <v>451</v>
      </c>
      <c r="E157" s="34" t="s">
        <v>452</v>
      </c>
      <c r="F157" s="35">
        <v>45894</v>
      </c>
      <c r="G157" s="36">
        <v>127.81</v>
      </c>
      <c r="H157" s="36">
        <f t="shared" si="0"/>
        <v>178.934</v>
      </c>
      <c r="I157" s="37">
        <v>180</v>
      </c>
    </row>
    <row r="158" spans="2:9" ht="24">
      <c r="B158" s="5" t="s">
        <v>453</v>
      </c>
      <c r="C158" s="6" t="s">
        <v>454</v>
      </c>
      <c r="D158" s="6" t="s">
        <v>455</v>
      </c>
      <c r="E158" s="6" t="s">
        <v>15</v>
      </c>
      <c r="F158" s="7">
        <v>45926</v>
      </c>
      <c r="G158" s="8">
        <v>87.28</v>
      </c>
      <c r="H158" s="8">
        <f t="shared" si="0"/>
        <v>122.19200000000001</v>
      </c>
      <c r="I158" s="9">
        <v>125</v>
      </c>
    </row>
    <row r="159" spans="2:9" ht="12.75">
      <c r="B159" s="28" t="s">
        <v>456</v>
      </c>
      <c r="C159" s="11" t="s">
        <v>457</v>
      </c>
      <c r="D159" s="11" t="s">
        <v>458</v>
      </c>
      <c r="E159" s="11" t="s">
        <v>459</v>
      </c>
      <c r="F159" s="12">
        <v>45803</v>
      </c>
      <c r="G159" s="13">
        <v>6.9</v>
      </c>
      <c r="H159" s="8">
        <f t="shared" si="0"/>
        <v>9.66</v>
      </c>
      <c r="I159" s="14">
        <v>10</v>
      </c>
    </row>
    <row r="160" spans="2:9" ht="12.75">
      <c r="B160" s="5" t="s">
        <v>456</v>
      </c>
      <c r="C160" s="6" t="s">
        <v>460</v>
      </c>
      <c r="D160" s="6" t="s">
        <v>458</v>
      </c>
      <c r="E160" s="6" t="s">
        <v>459</v>
      </c>
      <c r="F160" s="7">
        <v>45803</v>
      </c>
      <c r="G160" s="8">
        <v>10</v>
      </c>
      <c r="H160" s="8">
        <f t="shared" si="0"/>
        <v>14</v>
      </c>
      <c r="I160" s="9">
        <v>35</v>
      </c>
    </row>
    <row r="161" spans="2:9" ht="12.75">
      <c r="B161" s="28" t="s">
        <v>461</v>
      </c>
      <c r="C161" s="29" t="s">
        <v>462</v>
      </c>
      <c r="D161" s="29" t="s">
        <v>461</v>
      </c>
      <c r="E161" s="29" t="s">
        <v>44</v>
      </c>
      <c r="F161" s="30">
        <v>45715</v>
      </c>
      <c r="G161" s="31">
        <v>28.5</v>
      </c>
      <c r="H161" s="8">
        <f t="shared" si="0"/>
        <v>39.9</v>
      </c>
      <c r="I161" s="32">
        <v>100</v>
      </c>
    </row>
    <row r="162" spans="2:9" ht="12.75">
      <c r="B162" s="33" t="s">
        <v>463</v>
      </c>
      <c r="C162" s="34" t="s">
        <v>150</v>
      </c>
      <c r="D162" s="34" t="s">
        <v>463</v>
      </c>
      <c r="E162" s="34" t="s">
        <v>370</v>
      </c>
      <c r="F162" s="35">
        <v>45955</v>
      </c>
      <c r="G162" s="36">
        <v>10</v>
      </c>
      <c r="H162" s="36">
        <f t="shared" si="0"/>
        <v>14</v>
      </c>
      <c r="I162" s="37">
        <v>15</v>
      </c>
    </row>
    <row r="163" spans="2:9" ht="12.75">
      <c r="B163" s="10" t="s">
        <v>464</v>
      </c>
      <c r="C163" s="11" t="s">
        <v>465</v>
      </c>
      <c r="D163" s="11" t="s">
        <v>466</v>
      </c>
      <c r="E163" s="11" t="s">
        <v>162</v>
      </c>
      <c r="F163" s="12">
        <v>45684</v>
      </c>
      <c r="G163" s="13">
        <v>51</v>
      </c>
      <c r="H163" s="8">
        <f t="shared" si="0"/>
        <v>71.400000000000006</v>
      </c>
      <c r="I163" s="14">
        <v>130</v>
      </c>
    </row>
    <row r="164" spans="2:9" ht="12.75">
      <c r="B164" s="5" t="s">
        <v>467</v>
      </c>
      <c r="C164" s="6" t="s">
        <v>231</v>
      </c>
      <c r="D164" s="6" t="s">
        <v>468</v>
      </c>
      <c r="E164" s="6" t="s">
        <v>11</v>
      </c>
      <c r="F164" s="7">
        <v>45775</v>
      </c>
      <c r="G164" s="8">
        <v>18.350000000000001</v>
      </c>
      <c r="H164" s="8">
        <f t="shared" si="0"/>
        <v>25.69</v>
      </c>
      <c r="I164" s="9">
        <v>30</v>
      </c>
    </row>
    <row r="165" spans="2:9" ht="24">
      <c r="B165" s="10" t="s">
        <v>469</v>
      </c>
      <c r="C165" s="11" t="s">
        <v>441</v>
      </c>
      <c r="D165" s="11" t="s">
        <v>470</v>
      </c>
      <c r="E165" s="11" t="s">
        <v>11</v>
      </c>
      <c r="F165" s="12">
        <v>45805</v>
      </c>
      <c r="G165" s="13">
        <v>54.7</v>
      </c>
      <c r="H165" s="8">
        <f t="shared" si="0"/>
        <v>76.580000000000013</v>
      </c>
      <c r="I165" s="14">
        <v>80</v>
      </c>
    </row>
    <row r="166" spans="2:9" ht="12.75">
      <c r="B166" s="5" t="s">
        <v>471</v>
      </c>
      <c r="C166" s="6" t="s">
        <v>17</v>
      </c>
      <c r="D166" s="6" t="s">
        <v>471</v>
      </c>
      <c r="E166" s="6" t="s">
        <v>430</v>
      </c>
      <c r="F166" s="7">
        <v>46017</v>
      </c>
      <c r="G166" s="8">
        <v>3.34</v>
      </c>
      <c r="H166" s="8">
        <f t="shared" si="0"/>
        <v>4.6760000000000002</v>
      </c>
      <c r="I166" s="9">
        <v>30</v>
      </c>
    </row>
    <row r="167" spans="2:9" ht="12.75">
      <c r="B167" s="10" t="s">
        <v>472</v>
      </c>
      <c r="C167" s="11" t="s">
        <v>17</v>
      </c>
      <c r="D167" s="11" t="s">
        <v>472</v>
      </c>
      <c r="E167" s="11" t="s">
        <v>473</v>
      </c>
      <c r="F167" s="12">
        <v>45835</v>
      </c>
      <c r="G167" s="13">
        <v>58</v>
      </c>
      <c r="H167" s="8">
        <f t="shared" si="0"/>
        <v>81.2</v>
      </c>
      <c r="I167" s="14">
        <v>85</v>
      </c>
    </row>
    <row r="168" spans="2:9" ht="24">
      <c r="B168" s="5" t="s">
        <v>474</v>
      </c>
      <c r="C168" s="6" t="s">
        <v>157</v>
      </c>
      <c r="D168" s="6" t="s">
        <v>475</v>
      </c>
      <c r="E168" s="6" t="s">
        <v>476</v>
      </c>
      <c r="F168" s="7">
        <v>45864</v>
      </c>
      <c r="G168" s="8">
        <v>184.2</v>
      </c>
      <c r="H168" s="8">
        <f t="shared" si="0"/>
        <v>257.88</v>
      </c>
      <c r="I168" s="9">
        <v>260</v>
      </c>
    </row>
    <row r="169" spans="2:9" ht="12.75">
      <c r="B169" s="10" t="s">
        <v>477</v>
      </c>
      <c r="C169" s="11" t="s">
        <v>17</v>
      </c>
      <c r="D169" s="11" t="s">
        <v>478</v>
      </c>
      <c r="E169" s="11" t="s">
        <v>473</v>
      </c>
      <c r="F169" s="12">
        <v>45986</v>
      </c>
      <c r="G169" s="13">
        <v>52.5</v>
      </c>
      <c r="H169" s="8">
        <f t="shared" si="0"/>
        <v>73.5</v>
      </c>
      <c r="I169" s="14">
        <v>75</v>
      </c>
    </row>
    <row r="170" spans="2:9" ht="12.75">
      <c r="B170" s="5" t="s">
        <v>479</v>
      </c>
      <c r="C170" s="6" t="s">
        <v>129</v>
      </c>
      <c r="D170" s="6" t="s">
        <v>480</v>
      </c>
      <c r="E170" s="6" t="s">
        <v>481</v>
      </c>
      <c r="F170" s="7">
        <v>45835</v>
      </c>
      <c r="G170" s="8">
        <v>122.3</v>
      </c>
      <c r="H170" s="8">
        <f t="shared" si="0"/>
        <v>171.22</v>
      </c>
      <c r="I170" s="9">
        <v>175</v>
      </c>
    </row>
    <row r="171" spans="2:9" ht="12.75">
      <c r="B171" s="28" t="s">
        <v>482</v>
      </c>
      <c r="C171" s="29" t="s">
        <v>28</v>
      </c>
      <c r="D171" s="29" t="s">
        <v>483</v>
      </c>
      <c r="E171" s="29" t="s">
        <v>484</v>
      </c>
      <c r="F171" s="30">
        <v>46018</v>
      </c>
      <c r="G171" s="31">
        <v>80</v>
      </c>
      <c r="H171" s="8">
        <f t="shared" si="0"/>
        <v>112</v>
      </c>
      <c r="I171" s="32">
        <v>115</v>
      </c>
    </row>
    <row r="172" spans="2:9" ht="12.75">
      <c r="B172" s="5" t="s">
        <v>485</v>
      </c>
      <c r="C172" s="6" t="s">
        <v>17</v>
      </c>
      <c r="D172" s="6" t="s">
        <v>485</v>
      </c>
      <c r="E172" s="6" t="s">
        <v>486</v>
      </c>
      <c r="F172" s="7">
        <v>45686</v>
      </c>
      <c r="G172" s="8">
        <v>6.9</v>
      </c>
      <c r="H172" s="8">
        <f t="shared" si="0"/>
        <v>9.66</v>
      </c>
      <c r="I172" s="9">
        <v>30</v>
      </c>
    </row>
    <row r="173" spans="2:9" ht="24">
      <c r="B173" s="10" t="s">
        <v>487</v>
      </c>
      <c r="C173" s="11" t="s">
        <v>488</v>
      </c>
      <c r="D173" s="11" t="s">
        <v>489</v>
      </c>
      <c r="E173" s="11" t="s">
        <v>79</v>
      </c>
      <c r="F173" s="12">
        <v>46017</v>
      </c>
      <c r="G173" s="13">
        <v>20</v>
      </c>
      <c r="H173" s="8">
        <f t="shared" si="0"/>
        <v>28</v>
      </c>
      <c r="I173" s="14">
        <v>30</v>
      </c>
    </row>
    <row r="174" spans="2:9" ht="12.75">
      <c r="B174" s="5" t="s">
        <v>490</v>
      </c>
      <c r="C174" s="6" t="s">
        <v>13</v>
      </c>
      <c r="D174" s="6" t="s">
        <v>491</v>
      </c>
      <c r="E174" s="6" t="s">
        <v>229</v>
      </c>
      <c r="F174" s="7">
        <v>45715</v>
      </c>
      <c r="G174" s="8">
        <v>65</v>
      </c>
      <c r="H174" s="8">
        <f t="shared" si="0"/>
        <v>91</v>
      </c>
      <c r="I174" s="9">
        <v>100</v>
      </c>
    </row>
    <row r="175" spans="2:9" ht="24">
      <c r="B175" s="10" t="s">
        <v>492</v>
      </c>
      <c r="C175" s="11" t="s">
        <v>13</v>
      </c>
      <c r="D175" s="11" t="s">
        <v>493</v>
      </c>
      <c r="E175" s="11" t="s">
        <v>285</v>
      </c>
      <c r="F175" s="12">
        <v>45683</v>
      </c>
      <c r="G175" s="13">
        <v>84.03</v>
      </c>
      <c r="H175" s="8">
        <f t="shared" si="0"/>
        <v>117.642</v>
      </c>
      <c r="I175" s="14">
        <v>125</v>
      </c>
    </row>
    <row r="176" spans="2:9" ht="12.75">
      <c r="B176" s="5" t="s">
        <v>494</v>
      </c>
      <c r="C176" s="6" t="s">
        <v>129</v>
      </c>
      <c r="D176" s="6" t="s">
        <v>495</v>
      </c>
      <c r="E176" s="6" t="s">
        <v>229</v>
      </c>
      <c r="F176" s="7">
        <v>46018</v>
      </c>
      <c r="G176" s="8">
        <v>110</v>
      </c>
      <c r="H176" s="8">
        <f t="shared" si="0"/>
        <v>154</v>
      </c>
      <c r="I176" s="9">
        <v>155</v>
      </c>
    </row>
    <row r="177" spans="2:9" ht="12.75">
      <c r="B177" s="10" t="s">
        <v>494</v>
      </c>
      <c r="C177" s="11" t="s">
        <v>368</v>
      </c>
      <c r="D177" s="11" t="s">
        <v>496</v>
      </c>
      <c r="E177" s="11" t="s">
        <v>229</v>
      </c>
      <c r="F177" s="12">
        <v>45774</v>
      </c>
      <c r="G177" s="13">
        <v>110</v>
      </c>
      <c r="H177" s="8">
        <f t="shared" si="0"/>
        <v>154</v>
      </c>
      <c r="I177" s="14">
        <v>155</v>
      </c>
    </row>
    <row r="178" spans="2:9" ht="12.75">
      <c r="B178" s="5" t="s">
        <v>497</v>
      </c>
      <c r="C178" s="6" t="s">
        <v>17</v>
      </c>
      <c r="D178" s="6" t="s">
        <v>498</v>
      </c>
      <c r="E178" s="6"/>
      <c r="F178" s="7">
        <v>45684</v>
      </c>
      <c r="G178" s="8">
        <v>68</v>
      </c>
      <c r="H178" s="8">
        <f t="shared" si="0"/>
        <v>95.2</v>
      </c>
      <c r="I178" s="9">
        <v>95</v>
      </c>
    </row>
    <row r="179" spans="2:9" ht="36">
      <c r="B179" s="10" t="s">
        <v>499</v>
      </c>
      <c r="C179" s="11" t="s">
        <v>59</v>
      </c>
      <c r="D179" s="11" t="s">
        <v>500</v>
      </c>
      <c r="E179" s="11" t="s">
        <v>61</v>
      </c>
      <c r="F179" s="12">
        <v>45987</v>
      </c>
      <c r="G179" s="13">
        <v>1348</v>
      </c>
      <c r="H179" s="8">
        <f t="shared" si="0"/>
        <v>1887.2</v>
      </c>
      <c r="I179" s="14">
        <v>1900</v>
      </c>
    </row>
    <row r="180" spans="2:9" ht="25.5">
      <c r="B180" s="21" t="s">
        <v>501</v>
      </c>
      <c r="C180" s="22" t="s">
        <v>502</v>
      </c>
      <c r="D180" s="46" t="s">
        <v>503</v>
      </c>
      <c r="E180" s="22" t="s">
        <v>119</v>
      </c>
      <c r="F180" s="24">
        <v>45714</v>
      </c>
      <c r="G180" s="25">
        <v>51.75</v>
      </c>
      <c r="H180" s="25">
        <f t="shared" si="0"/>
        <v>72.45</v>
      </c>
      <c r="I180" s="26">
        <v>75</v>
      </c>
    </row>
    <row r="181" spans="2:9" ht="12.75">
      <c r="B181" s="10" t="s">
        <v>504</v>
      </c>
      <c r="C181" s="11" t="s">
        <v>505</v>
      </c>
      <c r="D181" s="11" t="s">
        <v>506</v>
      </c>
      <c r="E181" s="11" t="s">
        <v>507</v>
      </c>
      <c r="F181" s="12">
        <v>45835</v>
      </c>
      <c r="G181" s="13">
        <v>110.25</v>
      </c>
      <c r="H181" s="8">
        <f t="shared" si="0"/>
        <v>154.35</v>
      </c>
      <c r="I181" s="14">
        <v>160</v>
      </c>
    </row>
    <row r="182" spans="2:9" ht="12.75">
      <c r="B182" s="5" t="s">
        <v>508</v>
      </c>
      <c r="C182" s="6" t="s">
        <v>277</v>
      </c>
      <c r="D182" s="6" t="s">
        <v>277</v>
      </c>
      <c r="E182" s="6" t="s">
        <v>509</v>
      </c>
      <c r="F182" s="7">
        <v>45773</v>
      </c>
      <c r="G182" s="8">
        <v>130.44999999999999</v>
      </c>
      <c r="H182" s="8">
        <f t="shared" si="0"/>
        <v>182.63</v>
      </c>
      <c r="I182" s="9">
        <v>198</v>
      </c>
    </row>
    <row r="183" spans="2:9" ht="12.75">
      <c r="B183" s="10" t="s">
        <v>508</v>
      </c>
      <c r="C183" s="11" t="s">
        <v>510</v>
      </c>
      <c r="D183" s="11" t="s">
        <v>510</v>
      </c>
      <c r="E183" s="11" t="s">
        <v>509</v>
      </c>
      <c r="F183" s="12">
        <v>45834</v>
      </c>
      <c r="G183" s="13">
        <v>123.45</v>
      </c>
      <c r="H183" s="8">
        <f t="shared" si="0"/>
        <v>172.83</v>
      </c>
      <c r="I183" s="14">
        <v>175</v>
      </c>
    </row>
    <row r="184" spans="2:9" ht="12.75">
      <c r="B184" s="5" t="s">
        <v>511</v>
      </c>
      <c r="C184" s="6" t="s">
        <v>512</v>
      </c>
      <c r="D184" s="6" t="s">
        <v>513</v>
      </c>
      <c r="E184" s="6" t="s">
        <v>41</v>
      </c>
      <c r="F184" s="7">
        <v>45956</v>
      </c>
      <c r="G184" s="8">
        <v>10</v>
      </c>
      <c r="H184" s="8">
        <f t="shared" si="0"/>
        <v>14</v>
      </c>
      <c r="I184" s="9">
        <v>15</v>
      </c>
    </row>
    <row r="185" spans="2:9" ht="12.75">
      <c r="B185" s="10" t="s">
        <v>514</v>
      </c>
      <c r="C185" s="11" t="s">
        <v>274</v>
      </c>
      <c r="D185" s="11" t="s">
        <v>515</v>
      </c>
      <c r="E185" s="11" t="s">
        <v>160</v>
      </c>
      <c r="F185" s="12">
        <v>45835</v>
      </c>
      <c r="G185" s="13">
        <v>10.3</v>
      </c>
      <c r="H185" s="8">
        <f t="shared" si="0"/>
        <v>14.420000000000002</v>
      </c>
      <c r="I185" s="14">
        <v>20</v>
      </c>
    </row>
    <row r="186" spans="2:9" ht="12.75">
      <c r="B186" s="5" t="s">
        <v>516</v>
      </c>
      <c r="C186" s="6" t="s">
        <v>465</v>
      </c>
      <c r="D186" s="6" t="s">
        <v>516</v>
      </c>
      <c r="E186" s="6" t="s">
        <v>44</v>
      </c>
      <c r="F186" s="7">
        <v>45927</v>
      </c>
      <c r="G186" s="8">
        <v>8.6999999999999993</v>
      </c>
      <c r="H186" s="8">
        <f t="shared" si="0"/>
        <v>12.18</v>
      </c>
      <c r="I186" s="9">
        <v>40</v>
      </c>
    </row>
    <row r="187" spans="2:9" ht="12.75">
      <c r="B187" s="10" t="s">
        <v>517</v>
      </c>
      <c r="C187" s="11" t="s">
        <v>17</v>
      </c>
      <c r="D187" s="11" t="s">
        <v>518</v>
      </c>
      <c r="E187" s="11" t="s">
        <v>519</v>
      </c>
      <c r="F187" s="12">
        <v>45865</v>
      </c>
      <c r="G187" s="13">
        <v>35</v>
      </c>
      <c r="H187" s="8">
        <f t="shared" si="0"/>
        <v>49</v>
      </c>
      <c r="I187" s="14">
        <v>85</v>
      </c>
    </row>
    <row r="188" spans="2:9" ht="24">
      <c r="B188" s="5" t="s">
        <v>520</v>
      </c>
      <c r="C188" s="6" t="s">
        <v>521</v>
      </c>
      <c r="D188" s="6" t="s">
        <v>522</v>
      </c>
      <c r="E188" s="6" t="s">
        <v>226</v>
      </c>
      <c r="F188" s="7">
        <v>45864</v>
      </c>
      <c r="G188" s="8">
        <v>96.04</v>
      </c>
      <c r="H188" s="8">
        <f t="shared" si="0"/>
        <v>134.45600000000002</v>
      </c>
      <c r="I188" s="9">
        <v>130</v>
      </c>
    </row>
    <row r="189" spans="2:9" ht="12.75">
      <c r="B189" s="10" t="s">
        <v>523</v>
      </c>
      <c r="C189" s="11" t="s">
        <v>524</v>
      </c>
      <c r="D189" s="11" t="s">
        <v>525</v>
      </c>
      <c r="E189" s="11" t="s">
        <v>526</v>
      </c>
      <c r="F189" s="12">
        <v>45864</v>
      </c>
      <c r="G189" s="13">
        <v>57.5</v>
      </c>
      <c r="H189" s="8">
        <f t="shared" si="0"/>
        <v>80.5</v>
      </c>
      <c r="I189" s="14">
        <v>80</v>
      </c>
    </row>
    <row r="190" spans="2:9" ht="12.75">
      <c r="B190" s="5" t="s">
        <v>527</v>
      </c>
      <c r="C190" s="6" t="s">
        <v>528</v>
      </c>
      <c r="D190" s="6" t="s">
        <v>529</v>
      </c>
      <c r="E190" s="6" t="s">
        <v>383</v>
      </c>
      <c r="F190" s="7">
        <v>45926</v>
      </c>
      <c r="G190" s="8">
        <v>20</v>
      </c>
      <c r="H190" s="8">
        <f t="shared" si="0"/>
        <v>28</v>
      </c>
      <c r="I190" s="9">
        <v>30</v>
      </c>
    </row>
    <row r="191" spans="2:9" ht="12.75">
      <c r="B191" s="10" t="s">
        <v>530</v>
      </c>
      <c r="C191" s="11" t="s">
        <v>531</v>
      </c>
      <c r="D191" s="11" t="s">
        <v>532</v>
      </c>
      <c r="E191" s="11" t="s">
        <v>533</v>
      </c>
      <c r="F191" s="12">
        <v>45714</v>
      </c>
      <c r="G191" s="13">
        <v>3</v>
      </c>
      <c r="H191" s="8">
        <f t="shared" si="0"/>
        <v>4.2</v>
      </c>
      <c r="I191" s="14">
        <v>5</v>
      </c>
    </row>
    <row r="192" spans="2:9" ht="12.75">
      <c r="B192" s="47" t="s">
        <v>534</v>
      </c>
      <c r="C192" s="48" t="s">
        <v>535</v>
      </c>
      <c r="D192" s="6" t="s">
        <v>536</v>
      </c>
      <c r="E192" s="6" t="s">
        <v>533</v>
      </c>
      <c r="F192" s="7">
        <v>45956</v>
      </c>
      <c r="G192" s="8">
        <v>6.5</v>
      </c>
      <c r="H192" s="8">
        <f t="shared" si="0"/>
        <v>9.1</v>
      </c>
      <c r="I192" s="9">
        <v>10</v>
      </c>
    </row>
    <row r="193" spans="2:9" ht="36">
      <c r="B193" s="10" t="s">
        <v>537</v>
      </c>
      <c r="C193" s="11" t="s">
        <v>102</v>
      </c>
      <c r="D193" s="11" t="s">
        <v>538</v>
      </c>
      <c r="E193" s="11" t="s">
        <v>79</v>
      </c>
      <c r="F193" s="12">
        <v>45926</v>
      </c>
      <c r="G193" s="13">
        <v>79.09</v>
      </c>
      <c r="H193" s="8">
        <f t="shared" si="0"/>
        <v>110.726</v>
      </c>
      <c r="I193" s="14">
        <v>110</v>
      </c>
    </row>
    <row r="194" spans="2:9" ht="12.75">
      <c r="B194" s="5" t="s">
        <v>539</v>
      </c>
      <c r="C194" s="6" t="s">
        <v>465</v>
      </c>
      <c r="D194" s="6" t="s">
        <v>539</v>
      </c>
      <c r="E194" s="6" t="s">
        <v>540</v>
      </c>
      <c r="F194" s="7">
        <v>45683</v>
      </c>
      <c r="G194" s="8">
        <v>60</v>
      </c>
      <c r="H194" s="8">
        <f t="shared" si="0"/>
        <v>84</v>
      </c>
      <c r="I194" s="9">
        <v>90</v>
      </c>
    </row>
    <row r="195" spans="2:9" ht="12.75">
      <c r="B195" s="10" t="s">
        <v>541</v>
      </c>
      <c r="C195" s="11" t="s">
        <v>542</v>
      </c>
      <c r="D195" s="11" t="s">
        <v>543</v>
      </c>
      <c r="E195" s="11" t="s">
        <v>67</v>
      </c>
      <c r="F195" s="12">
        <v>45834</v>
      </c>
      <c r="G195" s="13">
        <v>45</v>
      </c>
      <c r="H195" s="8">
        <f t="shared" si="0"/>
        <v>63</v>
      </c>
      <c r="I195" s="14">
        <v>65</v>
      </c>
    </row>
    <row r="196" spans="2:9" ht="12.75">
      <c r="B196" s="5" t="s">
        <v>541</v>
      </c>
      <c r="C196" s="6" t="s">
        <v>544</v>
      </c>
      <c r="D196" s="6" t="s">
        <v>545</v>
      </c>
      <c r="E196" s="6" t="s">
        <v>67</v>
      </c>
      <c r="F196" s="7">
        <v>45926</v>
      </c>
      <c r="G196" s="8">
        <v>100</v>
      </c>
      <c r="H196" s="8">
        <f t="shared" si="0"/>
        <v>140</v>
      </c>
      <c r="I196" s="9">
        <v>145</v>
      </c>
    </row>
    <row r="197" spans="2:9" ht="12.75">
      <c r="B197" s="10" t="s">
        <v>546</v>
      </c>
      <c r="C197" s="11" t="s">
        <v>59</v>
      </c>
      <c r="D197" s="11" t="s">
        <v>547</v>
      </c>
      <c r="E197" s="11" t="s">
        <v>285</v>
      </c>
      <c r="F197" s="12">
        <v>45956</v>
      </c>
      <c r="G197" s="13">
        <v>121.18</v>
      </c>
      <c r="H197" s="8">
        <f t="shared" si="0"/>
        <v>169.65200000000002</v>
      </c>
      <c r="I197" s="14">
        <v>170</v>
      </c>
    </row>
    <row r="198" spans="2:9" ht="12.75">
      <c r="B198" s="5" t="s">
        <v>548</v>
      </c>
      <c r="C198" s="6" t="s">
        <v>150</v>
      </c>
      <c r="D198" s="6" t="s">
        <v>529</v>
      </c>
      <c r="E198" s="6" t="s">
        <v>285</v>
      </c>
      <c r="F198" s="7">
        <v>45715</v>
      </c>
      <c r="G198" s="8">
        <v>28</v>
      </c>
      <c r="H198" s="8">
        <f t="shared" si="0"/>
        <v>39.200000000000003</v>
      </c>
      <c r="I198" s="9">
        <v>45</v>
      </c>
    </row>
    <row r="199" spans="2:9" ht="24">
      <c r="B199" s="10" t="s">
        <v>549</v>
      </c>
      <c r="C199" s="11" t="s">
        <v>409</v>
      </c>
      <c r="D199" s="11" t="s">
        <v>550</v>
      </c>
      <c r="E199" s="11" t="s">
        <v>285</v>
      </c>
      <c r="F199" s="12">
        <v>45864</v>
      </c>
      <c r="G199" s="13">
        <v>110</v>
      </c>
      <c r="H199" s="8">
        <f t="shared" si="0"/>
        <v>154</v>
      </c>
      <c r="I199" s="14">
        <v>155</v>
      </c>
    </row>
    <row r="200" spans="2:9" ht="12.75">
      <c r="B200" s="5" t="s">
        <v>551</v>
      </c>
      <c r="C200" s="6" t="s">
        <v>552</v>
      </c>
      <c r="D200" s="6" t="s">
        <v>442</v>
      </c>
      <c r="E200" s="6" t="s">
        <v>553</v>
      </c>
      <c r="F200" s="7">
        <v>45773</v>
      </c>
      <c r="G200" s="8">
        <v>180</v>
      </c>
      <c r="H200" s="8">
        <f t="shared" si="0"/>
        <v>252</v>
      </c>
      <c r="I200" s="9">
        <v>255</v>
      </c>
    </row>
    <row r="201" spans="2:9" ht="36">
      <c r="B201" s="5" t="s">
        <v>554</v>
      </c>
      <c r="C201" s="6" t="s">
        <v>28</v>
      </c>
      <c r="D201" s="6" t="s">
        <v>555</v>
      </c>
      <c r="E201" s="6" t="s">
        <v>41</v>
      </c>
      <c r="F201" s="7">
        <v>45956</v>
      </c>
      <c r="G201" s="8">
        <v>189.54</v>
      </c>
      <c r="H201" s="8">
        <f t="shared" si="0"/>
        <v>265.35599999999999</v>
      </c>
      <c r="I201" s="14">
        <v>270</v>
      </c>
    </row>
    <row r="202" spans="2:9" ht="12.75">
      <c r="B202" s="5" t="s">
        <v>556</v>
      </c>
      <c r="C202" s="6" t="s">
        <v>465</v>
      </c>
      <c r="D202" s="6" t="s">
        <v>556</v>
      </c>
      <c r="E202" s="6" t="s">
        <v>557</v>
      </c>
      <c r="F202" s="7">
        <v>45683</v>
      </c>
      <c r="G202" s="8">
        <v>46.55</v>
      </c>
      <c r="H202" s="8">
        <f t="shared" si="0"/>
        <v>65.17</v>
      </c>
      <c r="I202" s="9">
        <v>70</v>
      </c>
    </row>
    <row r="203" spans="2:9" ht="12.75">
      <c r="B203" s="10" t="s">
        <v>558</v>
      </c>
      <c r="C203" s="11" t="s">
        <v>559</v>
      </c>
      <c r="D203" s="11" t="s">
        <v>347</v>
      </c>
      <c r="E203" s="11" t="s">
        <v>285</v>
      </c>
      <c r="F203" s="12">
        <v>45956</v>
      </c>
      <c r="G203" s="13">
        <v>100</v>
      </c>
      <c r="H203" s="8">
        <f t="shared" si="0"/>
        <v>140</v>
      </c>
      <c r="I203" s="14">
        <v>200</v>
      </c>
    </row>
    <row r="204" spans="2:9" ht="12.75">
      <c r="B204" s="5" t="s">
        <v>560</v>
      </c>
      <c r="C204" s="6" t="s">
        <v>129</v>
      </c>
      <c r="D204" s="6" t="s">
        <v>561</v>
      </c>
      <c r="E204" s="6" t="s">
        <v>100</v>
      </c>
      <c r="F204" s="7">
        <v>45957</v>
      </c>
      <c r="G204" s="8">
        <v>69.28</v>
      </c>
      <c r="H204" s="8">
        <f t="shared" si="0"/>
        <v>96.992000000000004</v>
      </c>
      <c r="I204" s="9">
        <v>100</v>
      </c>
    </row>
    <row r="205" spans="2:9" ht="24">
      <c r="B205" s="10" t="s">
        <v>562</v>
      </c>
      <c r="C205" s="11" t="s">
        <v>563</v>
      </c>
      <c r="D205" s="11" t="s">
        <v>564</v>
      </c>
      <c r="E205" s="11" t="s">
        <v>79</v>
      </c>
      <c r="F205" s="12">
        <v>46017</v>
      </c>
      <c r="G205" s="13">
        <v>65</v>
      </c>
      <c r="H205" s="8">
        <f t="shared" si="0"/>
        <v>91</v>
      </c>
      <c r="I205" s="14">
        <v>100</v>
      </c>
    </row>
    <row r="206" spans="2:9" ht="12.75">
      <c r="B206" s="21" t="s">
        <v>565</v>
      </c>
      <c r="C206" s="22" t="s">
        <v>566</v>
      </c>
      <c r="D206" s="22" t="s">
        <v>567</v>
      </c>
      <c r="E206" s="22" t="s">
        <v>226</v>
      </c>
      <c r="F206" s="24">
        <v>45895</v>
      </c>
      <c r="G206" s="25">
        <v>171</v>
      </c>
      <c r="H206" s="25">
        <f t="shared" si="0"/>
        <v>239.4</v>
      </c>
      <c r="I206" s="26">
        <v>240</v>
      </c>
    </row>
    <row r="207" spans="2:9" ht="15">
      <c r="B207" s="49" t="s">
        <v>568</v>
      </c>
      <c r="C207" s="50" t="s">
        <v>569</v>
      </c>
      <c r="D207" s="51" t="s">
        <v>570</v>
      </c>
      <c r="E207" s="11" t="s">
        <v>295</v>
      </c>
      <c r="F207" s="52" t="s">
        <v>343</v>
      </c>
      <c r="G207" s="13">
        <v>30</v>
      </c>
      <c r="H207" s="8">
        <f t="shared" si="0"/>
        <v>42</v>
      </c>
      <c r="I207" s="14">
        <v>50</v>
      </c>
    </row>
    <row r="208" spans="2:9" ht="12.75">
      <c r="B208" s="5" t="s">
        <v>571</v>
      </c>
      <c r="C208" s="6" t="s">
        <v>368</v>
      </c>
      <c r="D208" s="6" t="s">
        <v>572</v>
      </c>
      <c r="E208" s="6" t="s">
        <v>100</v>
      </c>
      <c r="F208" s="7">
        <v>45864</v>
      </c>
      <c r="G208" s="8">
        <v>144.9</v>
      </c>
      <c r="H208" s="8">
        <f t="shared" si="0"/>
        <v>202.86</v>
      </c>
      <c r="I208" s="9">
        <v>205</v>
      </c>
    </row>
    <row r="209" spans="2:9" ht="12.75">
      <c r="B209" s="10" t="s">
        <v>573</v>
      </c>
      <c r="C209" s="11" t="s">
        <v>28</v>
      </c>
      <c r="D209" s="11" t="s">
        <v>574</v>
      </c>
      <c r="E209" s="11" t="s">
        <v>11</v>
      </c>
      <c r="F209" s="12">
        <v>45956</v>
      </c>
      <c r="G209" s="13">
        <v>94.5</v>
      </c>
      <c r="H209" s="8">
        <f t="shared" si="0"/>
        <v>132.30000000000001</v>
      </c>
      <c r="I209" s="14">
        <v>150</v>
      </c>
    </row>
    <row r="210" spans="2:9" ht="12.75">
      <c r="B210" s="28" t="s">
        <v>575</v>
      </c>
      <c r="C210" s="29" t="s">
        <v>17</v>
      </c>
      <c r="D210" s="29" t="s">
        <v>575</v>
      </c>
      <c r="E210" s="29" t="s">
        <v>44</v>
      </c>
      <c r="F210" s="30">
        <v>45926</v>
      </c>
      <c r="G210" s="31">
        <v>2.25</v>
      </c>
      <c r="H210" s="8">
        <f t="shared" si="0"/>
        <v>3.15</v>
      </c>
      <c r="I210" s="32">
        <v>30</v>
      </c>
    </row>
    <row r="211" spans="2:9" ht="24">
      <c r="B211" s="10" t="s">
        <v>576</v>
      </c>
      <c r="C211" s="11" t="s">
        <v>577</v>
      </c>
      <c r="D211" s="11" t="s">
        <v>578</v>
      </c>
      <c r="E211" s="11" t="s">
        <v>15</v>
      </c>
      <c r="F211" s="12">
        <v>45715</v>
      </c>
      <c r="G211" s="13">
        <v>111.22</v>
      </c>
      <c r="H211" s="8">
        <f t="shared" si="0"/>
        <v>155.708</v>
      </c>
      <c r="I211" s="14">
        <v>155</v>
      </c>
    </row>
    <row r="212" spans="2:9" ht="12.75">
      <c r="B212" s="28" t="s">
        <v>579</v>
      </c>
      <c r="C212" s="6" t="s">
        <v>580</v>
      </c>
      <c r="D212" s="6" t="s">
        <v>581</v>
      </c>
      <c r="E212" s="6" t="s">
        <v>582</v>
      </c>
      <c r="F212" s="7">
        <v>45897</v>
      </c>
      <c r="G212" s="8">
        <v>18</v>
      </c>
      <c r="H212" s="8">
        <f t="shared" si="0"/>
        <v>25.2</v>
      </c>
      <c r="I212" s="9">
        <v>25</v>
      </c>
    </row>
    <row r="213" spans="2:9" ht="24">
      <c r="B213" s="10" t="s">
        <v>583</v>
      </c>
      <c r="C213" s="11" t="s">
        <v>584</v>
      </c>
      <c r="D213" s="11" t="s">
        <v>585</v>
      </c>
      <c r="E213" s="11" t="s">
        <v>553</v>
      </c>
      <c r="F213" s="12">
        <v>45683</v>
      </c>
      <c r="G213" s="13">
        <v>180</v>
      </c>
      <c r="H213" s="8">
        <f t="shared" si="0"/>
        <v>252</v>
      </c>
      <c r="I213" s="14">
        <v>255</v>
      </c>
    </row>
    <row r="214" spans="2:9" ht="12.75">
      <c r="B214" s="5" t="s">
        <v>586</v>
      </c>
      <c r="C214" s="6" t="s">
        <v>17</v>
      </c>
      <c r="D214" s="6" t="s">
        <v>587</v>
      </c>
      <c r="E214" s="6" t="s">
        <v>588</v>
      </c>
      <c r="F214" s="7">
        <v>45895</v>
      </c>
      <c r="G214" s="8">
        <v>14.02</v>
      </c>
      <c r="H214" s="8">
        <f t="shared" si="0"/>
        <v>19.628</v>
      </c>
      <c r="I214" s="9">
        <v>30</v>
      </c>
    </row>
    <row r="215" spans="2:9" ht="12.75">
      <c r="B215" s="15" t="s">
        <v>589</v>
      </c>
      <c r="C215" s="16" t="s">
        <v>590</v>
      </c>
      <c r="D215" s="16" t="s">
        <v>591</v>
      </c>
      <c r="E215" s="16" t="s">
        <v>435</v>
      </c>
      <c r="F215" s="17">
        <v>45835</v>
      </c>
      <c r="G215" s="18">
        <v>175</v>
      </c>
      <c r="H215" s="18">
        <f t="shared" si="0"/>
        <v>245</v>
      </c>
      <c r="I215" s="19">
        <v>245</v>
      </c>
    </row>
    <row r="216" spans="2:9" ht="12.75">
      <c r="B216" s="33" t="s">
        <v>592</v>
      </c>
      <c r="C216" s="34" t="s">
        <v>129</v>
      </c>
      <c r="D216" s="34" t="s">
        <v>480</v>
      </c>
      <c r="E216" s="34" t="s">
        <v>87</v>
      </c>
      <c r="F216" s="35">
        <v>45986</v>
      </c>
      <c r="G216" s="36">
        <v>88</v>
      </c>
      <c r="H216" s="36">
        <f t="shared" si="0"/>
        <v>123.2</v>
      </c>
      <c r="I216" s="37">
        <v>125</v>
      </c>
    </row>
    <row r="217" spans="2:9" ht="12.75">
      <c r="B217" s="33" t="s">
        <v>592</v>
      </c>
      <c r="C217" s="34" t="s">
        <v>593</v>
      </c>
      <c r="D217" s="34" t="s">
        <v>594</v>
      </c>
      <c r="E217" s="34" t="s">
        <v>87</v>
      </c>
      <c r="F217" s="35">
        <v>45986</v>
      </c>
      <c r="G217" s="36">
        <v>85.14</v>
      </c>
      <c r="H217" s="36">
        <f t="shared" si="0"/>
        <v>119.196</v>
      </c>
      <c r="I217" s="37">
        <v>125</v>
      </c>
    </row>
    <row r="218" spans="2:9" ht="12.75">
      <c r="B218" s="5" t="s">
        <v>595</v>
      </c>
      <c r="C218" s="6" t="s">
        <v>217</v>
      </c>
      <c r="D218" s="6" t="s">
        <v>596</v>
      </c>
      <c r="E218" s="6" t="s">
        <v>11</v>
      </c>
      <c r="F218" s="7">
        <v>45716</v>
      </c>
      <c r="G218" s="8">
        <v>86.12</v>
      </c>
      <c r="H218" s="8">
        <f t="shared" si="0"/>
        <v>120.56800000000001</v>
      </c>
      <c r="I218" s="9">
        <v>120</v>
      </c>
    </row>
    <row r="219" spans="2:9" ht="12.75">
      <c r="B219" s="10" t="s">
        <v>597</v>
      </c>
      <c r="C219" s="11" t="s">
        <v>598</v>
      </c>
      <c r="D219" s="11" t="s">
        <v>599</v>
      </c>
      <c r="E219" s="11" t="s">
        <v>255</v>
      </c>
      <c r="F219" s="12">
        <v>45683</v>
      </c>
      <c r="G219" s="13">
        <v>50.6</v>
      </c>
      <c r="H219" s="8">
        <f t="shared" si="0"/>
        <v>70.84</v>
      </c>
      <c r="I219" s="14">
        <v>70</v>
      </c>
    </row>
    <row r="220" spans="2:9" ht="12.75">
      <c r="B220" s="5" t="s">
        <v>600</v>
      </c>
      <c r="C220" s="6" t="s">
        <v>524</v>
      </c>
      <c r="D220" s="6" t="s">
        <v>601</v>
      </c>
      <c r="E220" s="6" t="s">
        <v>602</v>
      </c>
      <c r="F220" s="7">
        <v>45773</v>
      </c>
      <c r="G220" s="8">
        <v>40</v>
      </c>
      <c r="H220" s="8">
        <f t="shared" si="0"/>
        <v>56</v>
      </c>
      <c r="I220" s="9">
        <v>60</v>
      </c>
    </row>
    <row r="221" spans="2:9" ht="12.75">
      <c r="B221" s="10" t="s">
        <v>603</v>
      </c>
      <c r="C221" s="11" t="s">
        <v>337</v>
      </c>
      <c r="D221" s="11" t="s">
        <v>603</v>
      </c>
      <c r="E221" s="11" t="s">
        <v>604</v>
      </c>
      <c r="F221" s="12">
        <v>45988</v>
      </c>
      <c r="G221" s="13">
        <v>17.899999999999999</v>
      </c>
      <c r="H221" s="8">
        <f t="shared" si="0"/>
        <v>25.06</v>
      </c>
      <c r="I221" s="14">
        <v>30</v>
      </c>
    </row>
    <row r="222" spans="2:9" ht="12.75">
      <c r="B222" s="5" t="s">
        <v>605</v>
      </c>
      <c r="C222" s="6" t="s">
        <v>606</v>
      </c>
      <c r="D222" s="6" t="s">
        <v>334</v>
      </c>
      <c r="E222" s="6" t="s">
        <v>100</v>
      </c>
      <c r="F222" s="7">
        <v>45956</v>
      </c>
      <c r="G222" s="8">
        <v>61.28</v>
      </c>
      <c r="H222" s="8">
        <f t="shared" si="0"/>
        <v>85.792000000000002</v>
      </c>
      <c r="I222" s="9">
        <v>90</v>
      </c>
    </row>
    <row r="223" spans="2:9" ht="12.75">
      <c r="B223" s="10" t="s">
        <v>607</v>
      </c>
      <c r="C223" s="11" t="s">
        <v>608</v>
      </c>
      <c r="D223" s="11" t="s">
        <v>609</v>
      </c>
      <c r="E223" s="11" t="s">
        <v>104</v>
      </c>
      <c r="F223" s="12">
        <v>45804</v>
      </c>
      <c r="G223" s="13">
        <v>56.87</v>
      </c>
      <c r="H223" s="8">
        <f t="shared" si="0"/>
        <v>79.617999999999995</v>
      </c>
      <c r="I223" s="14">
        <v>80</v>
      </c>
    </row>
    <row r="224" spans="2:9" ht="24">
      <c r="B224" s="5" t="s">
        <v>610</v>
      </c>
      <c r="C224" s="6" t="s">
        <v>132</v>
      </c>
      <c r="D224" s="6" t="s">
        <v>611</v>
      </c>
      <c r="E224" s="6" t="s">
        <v>104</v>
      </c>
      <c r="F224" s="7">
        <v>45926</v>
      </c>
      <c r="G224" s="8">
        <v>49.88</v>
      </c>
      <c r="H224" s="8">
        <f t="shared" si="0"/>
        <v>69.832000000000008</v>
      </c>
      <c r="I224" s="9">
        <v>70</v>
      </c>
    </row>
    <row r="225" spans="2:9" ht="24">
      <c r="B225" s="10" t="s">
        <v>612</v>
      </c>
      <c r="C225" s="11" t="s">
        <v>150</v>
      </c>
      <c r="D225" s="11" t="s">
        <v>613</v>
      </c>
      <c r="E225" s="11" t="s">
        <v>614</v>
      </c>
      <c r="F225" s="12">
        <v>45956</v>
      </c>
      <c r="G225" s="13">
        <v>27.5</v>
      </c>
      <c r="H225" s="8">
        <f t="shared" si="0"/>
        <v>38.5</v>
      </c>
      <c r="I225" s="14">
        <v>40</v>
      </c>
    </row>
    <row r="226" spans="2:9" ht="12.75">
      <c r="B226" s="5" t="s">
        <v>615</v>
      </c>
      <c r="C226" s="6" t="s">
        <v>17</v>
      </c>
      <c r="D226" s="6" t="s">
        <v>389</v>
      </c>
      <c r="E226" s="6" t="s">
        <v>57</v>
      </c>
      <c r="F226" s="7">
        <v>45926</v>
      </c>
      <c r="G226" s="8">
        <v>37.979999999999997</v>
      </c>
      <c r="H226" s="8">
        <f t="shared" si="0"/>
        <v>53.171999999999997</v>
      </c>
      <c r="I226" s="9">
        <v>55</v>
      </c>
    </row>
    <row r="227" spans="2:9" ht="24">
      <c r="B227" s="10" t="s">
        <v>616</v>
      </c>
      <c r="C227" s="11" t="s">
        <v>28</v>
      </c>
      <c r="D227" s="11" t="s">
        <v>617</v>
      </c>
      <c r="E227" s="11" t="s">
        <v>30</v>
      </c>
      <c r="F227" s="12">
        <v>45742</v>
      </c>
      <c r="G227" s="13">
        <v>138.51</v>
      </c>
      <c r="H227" s="8">
        <f t="shared" si="0"/>
        <v>193.91399999999999</v>
      </c>
      <c r="I227" s="14">
        <v>195</v>
      </c>
    </row>
    <row r="228" spans="2:9" ht="12.75">
      <c r="B228" s="15" t="s">
        <v>618</v>
      </c>
      <c r="C228" s="16" t="s">
        <v>619</v>
      </c>
      <c r="D228" s="16" t="s">
        <v>620</v>
      </c>
      <c r="E228" s="16" t="s">
        <v>383</v>
      </c>
      <c r="F228" s="17">
        <v>45773</v>
      </c>
      <c r="G228" s="18">
        <v>13</v>
      </c>
      <c r="H228" s="18">
        <f t="shared" si="0"/>
        <v>18.2</v>
      </c>
      <c r="I228" s="19">
        <v>20</v>
      </c>
    </row>
    <row r="229" spans="2:9" ht="12.75">
      <c r="B229" s="33" t="s">
        <v>621</v>
      </c>
      <c r="C229" s="34" t="s">
        <v>619</v>
      </c>
      <c r="D229" s="34" t="s">
        <v>622</v>
      </c>
      <c r="E229" s="34" t="s">
        <v>383</v>
      </c>
      <c r="F229" s="35">
        <v>45955</v>
      </c>
      <c r="G229" s="36">
        <v>12</v>
      </c>
      <c r="H229" s="36">
        <f t="shared" si="0"/>
        <v>16.8</v>
      </c>
      <c r="I229" s="37">
        <v>20</v>
      </c>
    </row>
    <row r="230" spans="2:9" ht="12.75">
      <c r="B230" s="5" t="s">
        <v>623</v>
      </c>
      <c r="C230" s="6" t="s">
        <v>619</v>
      </c>
      <c r="D230" s="6" t="s">
        <v>624</v>
      </c>
      <c r="E230" s="6" t="s">
        <v>383</v>
      </c>
      <c r="F230" s="7">
        <v>45715</v>
      </c>
      <c r="G230" s="8">
        <v>12</v>
      </c>
      <c r="H230" s="8">
        <f t="shared" si="0"/>
        <v>16.8</v>
      </c>
      <c r="I230" s="9">
        <v>20</v>
      </c>
    </row>
    <row r="231" spans="2:9" ht="24">
      <c r="B231" s="10" t="s">
        <v>625</v>
      </c>
      <c r="C231" s="11" t="s">
        <v>619</v>
      </c>
      <c r="D231" s="11" t="s">
        <v>626</v>
      </c>
      <c r="E231" s="11" t="s">
        <v>383</v>
      </c>
      <c r="F231" s="12">
        <v>45742</v>
      </c>
      <c r="G231" s="13">
        <v>12</v>
      </c>
      <c r="H231" s="8">
        <f t="shared" si="0"/>
        <v>16.8</v>
      </c>
      <c r="I231" s="14">
        <v>20</v>
      </c>
    </row>
    <row r="232" spans="2:9" ht="24">
      <c r="B232" s="5" t="s">
        <v>627</v>
      </c>
      <c r="C232" s="6" t="s">
        <v>628</v>
      </c>
      <c r="D232" s="6" t="s">
        <v>629</v>
      </c>
      <c r="E232" s="6" t="s">
        <v>383</v>
      </c>
      <c r="F232" s="7">
        <v>45926</v>
      </c>
      <c r="G232" s="8">
        <v>12.88</v>
      </c>
      <c r="H232" s="8">
        <f t="shared" si="0"/>
        <v>18.032000000000004</v>
      </c>
      <c r="I232" s="9">
        <v>18</v>
      </c>
    </row>
    <row r="233" spans="2:9" ht="12.75">
      <c r="B233" s="10" t="s">
        <v>630</v>
      </c>
      <c r="C233" s="11" t="s">
        <v>528</v>
      </c>
      <c r="D233" s="11" t="s">
        <v>631</v>
      </c>
      <c r="E233" s="11" t="s">
        <v>383</v>
      </c>
      <c r="F233" s="12">
        <v>45773</v>
      </c>
      <c r="G233" s="13">
        <v>6.5</v>
      </c>
      <c r="H233" s="8">
        <f t="shared" si="0"/>
        <v>9.1</v>
      </c>
      <c r="I233" s="14">
        <v>15</v>
      </c>
    </row>
    <row r="234" spans="2:9" ht="12.75">
      <c r="B234" s="5" t="s">
        <v>630</v>
      </c>
      <c r="C234" s="6" t="s">
        <v>619</v>
      </c>
      <c r="D234" s="6" t="s">
        <v>631</v>
      </c>
      <c r="E234" s="6" t="s">
        <v>383</v>
      </c>
      <c r="F234" s="7">
        <v>45895</v>
      </c>
      <c r="G234" s="8">
        <v>12</v>
      </c>
      <c r="H234" s="8">
        <f t="shared" si="0"/>
        <v>16.8</v>
      </c>
      <c r="I234" s="9">
        <v>20</v>
      </c>
    </row>
    <row r="235" spans="2:9" ht="12.75">
      <c r="B235" s="10" t="s">
        <v>630</v>
      </c>
      <c r="C235" s="11" t="s">
        <v>632</v>
      </c>
      <c r="D235" s="11" t="s">
        <v>631</v>
      </c>
      <c r="E235" s="11" t="s">
        <v>383</v>
      </c>
      <c r="F235" s="12">
        <v>45865</v>
      </c>
      <c r="G235" s="13">
        <v>67.5</v>
      </c>
      <c r="H235" s="8">
        <f t="shared" si="0"/>
        <v>94.5</v>
      </c>
      <c r="I235" s="14">
        <v>95</v>
      </c>
    </row>
    <row r="236" spans="2:9" ht="12.75">
      <c r="B236" s="5" t="s">
        <v>633</v>
      </c>
      <c r="C236" s="6" t="s">
        <v>337</v>
      </c>
      <c r="D236" s="6" t="s">
        <v>633</v>
      </c>
      <c r="E236" s="6" t="s">
        <v>165</v>
      </c>
      <c r="F236" s="7">
        <v>45956</v>
      </c>
      <c r="G236" s="8">
        <v>4.8</v>
      </c>
      <c r="H236" s="8">
        <f t="shared" si="0"/>
        <v>6.72</v>
      </c>
      <c r="I236" s="9">
        <v>15</v>
      </c>
    </row>
    <row r="237" spans="2:9" ht="12.75">
      <c r="B237" s="10" t="s">
        <v>634</v>
      </c>
      <c r="C237" s="11" t="s">
        <v>635</v>
      </c>
      <c r="D237" s="11" t="s">
        <v>636</v>
      </c>
      <c r="E237" s="11" t="s">
        <v>19</v>
      </c>
      <c r="F237" s="12">
        <v>45865</v>
      </c>
      <c r="G237" s="13">
        <v>31.75</v>
      </c>
      <c r="H237" s="8">
        <f t="shared" si="0"/>
        <v>44.45</v>
      </c>
      <c r="I237" s="14">
        <v>55</v>
      </c>
    </row>
    <row r="238" spans="2:9" ht="24">
      <c r="B238" s="5" t="s">
        <v>637</v>
      </c>
      <c r="C238" s="6" t="s">
        <v>638</v>
      </c>
      <c r="D238" s="6" t="s">
        <v>639</v>
      </c>
      <c r="E238" s="6" t="s">
        <v>67</v>
      </c>
      <c r="F238" s="7">
        <v>45773</v>
      </c>
      <c r="G238" s="8">
        <v>40.5</v>
      </c>
      <c r="H238" s="8">
        <f t="shared" si="0"/>
        <v>56.7</v>
      </c>
      <c r="I238" s="9">
        <v>60</v>
      </c>
    </row>
    <row r="239" spans="2:9" ht="12.75">
      <c r="B239" s="10" t="s">
        <v>640</v>
      </c>
      <c r="C239" s="11" t="s">
        <v>28</v>
      </c>
      <c r="D239" s="11" t="s">
        <v>641</v>
      </c>
      <c r="E239" s="11" t="s">
        <v>79</v>
      </c>
      <c r="F239" s="12">
        <v>45987</v>
      </c>
      <c r="G239" s="13">
        <v>105</v>
      </c>
      <c r="H239" s="8">
        <f t="shared" si="0"/>
        <v>147</v>
      </c>
      <c r="I239" s="14">
        <v>150</v>
      </c>
    </row>
    <row r="240" spans="2:9" ht="12.75">
      <c r="B240" s="5" t="s">
        <v>642</v>
      </c>
      <c r="C240" s="6" t="s">
        <v>120</v>
      </c>
      <c r="D240" s="6" t="s">
        <v>643</v>
      </c>
      <c r="E240" s="6" t="s">
        <v>165</v>
      </c>
      <c r="F240" s="7">
        <v>45716</v>
      </c>
      <c r="G240" s="8">
        <v>8.75</v>
      </c>
      <c r="H240" s="8">
        <f t="shared" si="0"/>
        <v>12.25</v>
      </c>
      <c r="I240" s="9">
        <v>30</v>
      </c>
    </row>
    <row r="241" spans="2:9" ht="24">
      <c r="B241" s="10" t="s">
        <v>644</v>
      </c>
      <c r="C241" s="11" t="s">
        <v>277</v>
      </c>
      <c r="D241" s="11" t="s">
        <v>645</v>
      </c>
      <c r="E241" s="11" t="s">
        <v>646</v>
      </c>
      <c r="F241" s="12">
        <v>45987</v>
      </c>
      <c r="G241" s="13">
        <v>66.42</v>
      </c>
      <c r="H241" s="8">
        <f t="shared" si="0"/>
        <v>92.988</v>
      </c>
      <c r="I241" s="14">
        <v>95</v>
      </c>
    </row>
    <row r="242" spans="2:9" ht="12.75">
      <c r="B242" s="5" t="s">
        <v>647</v>
      </c>
      <c r="C242" s="6" t="s">
        <v>563</v>
      </c>
      <c r="D242" s="6" t="s">
        <v>648</v>
      </c>
      <c r="E242" s="6" t="s">
        <v>279</v>
      </c>
      <c r="F242" s="7">
        <v>45895</v>
      </c>
      <c r="G242" s="8">
        <v>175.52</v>
      </c>
      <c r="H242" s="8">
        <f t="shared" si="0"/>
        <v>245.72800000000001</v>
      </c>
      <c r="I242" s="9">
        <v>245</v>
      </c>
    </row>
    <row r="243" spans="2:9" ht="12.75">
      <c r="B243" s="10" t="s">
        <v>649</v>
      </c>
      <c r="C243" s="11" t="s">
        <v>531</v>
      </c>
      <c r="D243" s="11" t="s">
        <v>650</v>
      </c>
      <c r="E243" s="11" t="s">
        <v>533</v>
      </c>
      <c r="F243" s="12">
        <v>45714</v>
      </c>
      <c r="G243" s="13">
        <v>5.25</v>
      </c>
      <c r="H243" s="8">
        <f t="shared" si="0"/>
        <v>7.35</v>
      </c>
      <c r="I243" s="14">
        <v>10</v>
      </c>
    </row>
    <row r="244" spans="2:9" ht="24">
      <c r="B244" s="5" t="s">
        <v>651</v>
      </c>
      <c r="C244" s="6" t="s">
        <v>652</v>
      </c>
      <c r="D244" s="6" t="s">
        <v>653</v>
      </c>
      <c r="E244" s="6" t="s">
        <v>255</v>
      </c>
      <c r="F244" s="7">
        <v>45864</v>
      </c>
      <c r="G244" s="8">
        <v>92.66</v>
      </c>
      <c r="H244" s="8">
        <f t="shared" si="0"/>
        <v>129.72399999999999</v>
      </c>
      <c r="I244" s="9">
        <v>145</v>
      </c>
    </row>
    <row r="245" spans="2:9" ht="12.75">
      <c r="B245" s="10" t="s">
        <v>654</v>
      </c>
      <c r="C245" s="11" t="s">
        <v>337</v>
      </c>
      <c r="D245" s="11" t="s">
        <v>654</v>
      </c>
      <c r="E245" s="11" t="s">
        <v>44</v>
      </c>
      <c r="F245" s="12">
        <v>45835</v>
      </c>
      <c r="G245" s="13">
        <v>2.2799999999999998</v>
      </c>
      <c r="H245" s="8">
        <f t="shared" si="0"/>
        <v>3.1919999999999997</v>
      </c>
      <c r="I245" s="14">
        <v>30</v>
      </c>
    </row>
    <row r="246" spans="2:9" ht="12.75">
      <c r="B246" s="28" t="s">
        <v>655</v>
      </c>
      <c r="C246" s="29" t="s">
        <v>231</v>
      </c>
      <c r="D246" s="29" t="s">
        <v>656</v>
      </c>
      <c r="E246" s="29" t="s">
        <v>97</v>
      </c>
      <c r="F246" s="30">
        <v>45865</v>
      </c>
      <c r="G246" s="31">
        <v>125</v>
      </c>
      <c r="H246" s="8">
        <f t="shared" si="0"/>
        <v>175</v>
      </c>
      <c r="I246" s="32">
        <v>175</v>
      </c>
    </row>
    <row r="247" spans="2:9" ht="24">
      <c r="B247" s="10" t="s">
        <v>657</v>
      </c>
      <c r="C247" s="11" t="s">
        <v>277</v>
      </c>
      <c r="D247" s="11" t="s">
        <v>658</v>
      </c>
      <c r="E247" s="11" t="s">
        <v>100</v>
      </c>
      <c r="F247" s="12">
        <v>45774</v>
      </c>
      <c r="G247" s="13">
        <v>125.49</v>
      </c>
      <c r="H247" s="8">
        <f t="shared" si="0"/>
        <v>175.68599999999998</v>
      </c>
      <c r="I247" s="14">
        <v>175</v>
      </c>
    </row>
    <row r="248" spans="2:9" ht="24">
      <c r="B248" s="21" t="s">
        <v>659</v>
      </c>
      <c r="C248" s="22" t="s">
        <v>652</v>
      </c>
      <c r="D248" s="22" t="s">
        <v>660</v>
      </c>
      <c r="E248" s="22" t="s">
        <v>452</v>
      </c>
      <c r="F248" s="24">
        <v>45803</v>
      </c>
      <c r="G248" s="25">
        <v>159.49</v>
      </c>
      <c r="H248" s="25">
        <f t="shared" si="0"/>
        <v>223.286</v>
      </c>
      <c r="I248" s="26">
        <v>225</v>
      </c>
    </row>
    <row r="249" spans="2:9" ht="24">
      <c r="B249" s="10" t="s">
        <v>661</v>
      </c>
      <c r="C249" s="11" t="s">
        <v>662</v>
      </c>
      <c r="D249" s="11" t="s">
        <v>663</v>
      </c>
      <c r="E249" s="11" t="s">
        <v>67</v>
      </c>
      <c r="F249" s="12">
        <v>45926</v>
      </c>
      <c r="G249" s="13">
        <v>250</v>
      </c>
      <c r="H249" s="8">
        <f t="shared" si="0"/>
        <v>350</v>
      </c>
      <c r="I249" s="14">
        <v>350</v>
      </c>
    </row>
    <row r="250" spans="2:9" ht="36">
      <c r="B250" s="5" t="s">
        <v>664</v>
      </c>
      <c r="C250" s="6" t="s">
        <v>593</v>
      </c>
      <c r="D250" s="6" t="s">
        <v>665</v>
      </c>
      <c r="E250" s="6" t="s">
        <v>666</v>
      </c>
      <c r="F250" s="7">
        <v>45742</v>
      </c>
      <c r="G250" s="8">
        <v>77.25</v>
      </c>
      <c r="H250" s="8">
        <f t="shared" si="0"/>
        <v>108.15</v>
      </c>
      <c r="I250" s="9">
        <v>110</v>
      </c>
    </row>
    <row r="251" spans="2:9" ht="12.75">
      <c r="B251" s="10" t="s">
        <v>667</v>
      </c>
      <c r="C251" s="11" t="s">
        <v>28</v>
      </c>
      <c r="D251" s="11" t="s">
        <v>668</v>
      </c>
      <c r="E251" s="11" t="s">
        <v>61</v>
      </c>
      <c r="F251" s="12">
        <v>45714</v>
      </c>
      <c r="G251" s="13">
        <v>105</v>
      </c>
      <c r="H251" s="8">
        <f t="shared" si="0"/>
        <v>147</v>
      </c>
      <c r="I251" s="14">
        <v>150</v>
      </c>
    </row>
    <row r="252" spans="2:9" ht="12.75">
      <c r="B252" s="5" t="s">
        <v>669</v>
      </c>
      <c r="C252" s="6" t="s">
        <v>277</v>
      </c>
      <c r="D252" s="6" t="s">
        <v>670</v>
      </c>
      <c r="E252" s="6" t="s">
        <v>205</v>
      </c>
      <c r="F252" s="7">
        <v>45864</v>
      </c>
      <c r="G252" s="8">
        <v>235.98</v>
      </c>
      <c r="H252" s="8">
        <f t="shared" si="0"/>
        <v>330.37199999999996</v>
      </c>
      <c r="I252" s="9">
        <v>335</v>
      </c>
    </row>
    <row r="253" spans="2:9" ht="36">
      <c r="B253" s="10" t="s">
        <v>671</v>
      </c>
      <c r="C253" s="11" t="s">
        <v>277</v>
      </c>
      <c r="D253" s="11" t="s">
        <v>672</v>
      </c>
      <c r="E253" s="11" t="s">
        <v>100</v>
      </c>
      <c r="F253" s="12">
        <v>45685</v>
      </c>
      <c r="G253" s="13">
        <v>266.39999999999998</v>
      </c>
      <c r="H253" s="8">
        <f t="shared" si="0"/>
        <v>372.96</v>
      </c>
      <c r="I253" s="14">
        <v>400</v>
      </c>
    </row>
    <row r="254" spans="2:9" ht="24">
      <c r="B254" s="5" t="s">
        <v>673</v>
      </c>
      <c r="C254" s="6" t="s">
        <v>28</v>
      </c>
      <c r="D254" s="6" t="s">
        <v>674</v>
      </c>
      <c r="E254" s="6" t="s">
        <v>509</v>
      </c>
      <c r="F254" s="7">
        <v>45956</v>
      </c>
      <c r="G254" s="8">
        <v>159.6</v>
      </c>
      <c r="H254" s="8">
        <f t="shared" si="0"/>
        <v>223.44</v>
      </c>
      <c r="I254" s="9">
        <v>265</v>
      </c>
    </row>
    <row r="255" spans="2:9" ht="33.75">
      <c r="B255" s="10" t="s">
        <v>675</v>
      </c>
      <c r="C255" s="11" t="s">
        <v>129</v>
      </c>
      <c r="D255" s="53" t="s">
        <v>676</v>
      </c>
      <c r="E255" s="11" t="s">
        <v>677</v>
      </c>
      <c r="F255" s="12">
        <v>45685</v>
      </c>
      <c r="G255" s="13">
        <v>238.89</v>
      </c>
      <c r="H255" s="8">
        <f t="shared" si="0"/>
        <v>334.44599999999997</v>
      </c>
      <c r="I255" s="14">
        <v>350</v>
      </c>
    </row>
    <row r="256" spans="2:9" ht="12.75">
      <c r="B256" s="5" t="s">
        <v>678</v>
      </c>
      <c r="C256" s="6" t="s">
        <v>462</v>
      </c>
      <c r="D256" s="6" t="s">
        <v>678</v>
      </c>
      <c r="E256" s="6" t="s">
        <v>44</v>
      </c>
      <c r="F256" s="7">
        <v>45774</v>
      </c>
      <c r="G256" s="8">
        <v>15</v>
      </c>
      <c r="H256" s="8">
        <f t="shared" si="0"/>
        <v>21</v>
      </c>
      <c r="I256" s="9">
        <v>30</v>
      </c>
    </row>
    <row r="257" spans="1:9" ht="12.75">
      <c r="B257" s="10" t="s">
        <v>679</v>
      </c>
      <c r="C257" s="11" t="s">
        <v>441</v>
      </c>
      <c r="D257" s="11" t="s">
        <v>680</v>
      </c>
      <c r="E257" s="11" t="s">
        <v>681</v>
      </c>
      <c r="F257" s="12">
        <v>45895</v>
      </c>
      <c r="G257" s="13">
        <v>180.57</v>
      </c>
      <c r="H257" s="8">
        <f t="shared" si="0"/>
        <v>252.798</v>
      </c>
      <c r="I257" s="14">
        <v>255</v>
      </c>
    </row>
    <row r="258" spans="1:9" ht="12.75">
      <c r="B258" s="5" t="s">
        <v>682</v>
      </c>
      <c r="C258" s="6" t="s">
        <v>638</v>
      </c>
      <c r="D258" s="6" t="s">
        <v>683</v>
      </c>
      <c r="E258" s="6" t="s">
        <v>11</v>
      </c>
      <c r="F258" s="7">
        <v>45987</v>
      </c>
      <c r="G258" s="8">
        <v>20</v>
      </c>
      <c r="H258" s="8">
        <f t="shared" si="0"/>
        <v>28</v>
      </c>
      <c r="I258" s="9">
        <v>30</v>
      </c>
    </row>
    <row r="259" spans="1:9" ht="24">
      <c r="B259" s="10" t="s">
        <v>684</v>
      </c>
      <c r="C259" s="11" t="s">
        <v>13</v>
      </c>
      <c r="D259" s="11" t="s">
        <v>685</v>
      </c>
      <c r="E259" s="11" t="s">
        <v>686</v>
      </c>
      <c r="F259" s="12">
        <v>45896</v>
      </c>
      <c r="G259" s="13">
        <v>62.31</v>
      </c>
      <c r="H259" s="8">
        <f t="shared" ref="H259:H266" si="1">G259+(G259*40%)</f>
        <v>87.234000000000009</v>
      </c>
      <c r="I259" s="14">
        <v>90</v>
      </c>
    </row>
    <row r="260" spans="1:9" ht="12.75">
      <c r="B260" s="5" t="s">
        <v>687</v>
      </c>
      <c r="C260" s="6" t="s">
        <v>688</v>
      </c>
      <c r="D260" s="6" t="s">
        <v>689</v>
      </c>
      <c r="E260" s="6" t="s">
        <v>690</v>
      </c>
      <c r="F260" s="7">
        <v>45956</v>
      </c>
      <c r="G260" s="8">
        <v>39.56</v>
      </c>
      <c r="H260" s="8">
        <f t="shared" si="1"/>
        <v>55.384</v>
      </c>
      <c r="I260" s="9">
        <v>60</v>
      </c>
    </row>
    <row r="261" spans="1:9" ht="12.75">
      <c r="B261" s="10" t="s">
        <v>691</v>
      </c>
      <c r="C261" s="11" t="s">
        <v>13</v>
      </c>
      <c r="D261" s="11" t="s">
        <v>692</v>
      </c>
      <c r="E261" s="11" t="s">
        <v>690</v>
      </c>
      <c r="F261" s="12">
        <v>45834</v>
      </c>
      <c r="G261" s="13">
        <v>74.53</v>
      </c>
      <c r="H261" s="8">
        <f t="shared" si="1"/>
        <v>104.342</v>
      </c>
      <c r="I261" s="14">
        <v>105</v>
      </c>
    </row>
    <row r="262" spans="1:9" ht="12.75">
      <c r="B262" s="5" t="s">
        <v>693</v>
      </c>
      <c r="C262" s="6" t="s">
        <v>694</v>
      </c>
      <c r="D262" s="6" t="s">
        <v>695</v>
      </c>
      <c r="E262" s="6" t="s">
        <v>439</v>
      </c>
      <c r="F262" s="7">
        <v>45834</v>
      </c>
      <c r="G262" s="8">
        <v>38</v>
      </c>
      <c r="H262" s="8">
        <f t="shared" si="1"/>
        <v>53.2</v>
      </c>
      <c r="I262" s="9">
        <v>55</v>
      </c>
    </row>
    <row r="263" spans="1:9" ht="12.75">
      <c r="B263" s="10" t="s">
        <v>696</v>
      </c>
      <c r="C263" s="11" t="s">
        <v>694</v>
      </c>
      <c r="D263" s="11" t="s">
        <v>442</v>
      </c>
      <c r="E263" s="11" t="s">
        <v>87</v>
      </c>
      <c r="F263" s="12">
        <v>45743</v>
      </c>
      <c r="G263" s="13">
        <v>63.96</v>
      </c>
      <c r="H263" s="8">
        <f t="shared" si="1"/>
        <v>89.544000000000011</v>
      </c>
      <c r="I263" s="14">
        <v>90</v>
      </c>
    </row>
    <row r="264" spans="1:9" ht="12.75">
      <c r="B264" s="5" t="s">
        <v>697</v>
      </c>
      <c r="C264" s="6" t="s">
        <v>21</v>
      </c>
      <c r="D264" s="6" t="s">
        <v>698</v>
      </c>
      <c r="E264" s="6" t="s">
        <v>87</v>
      </c>
      <c r="F264" s="7">
        <v>45926</v>
      </c>
      <c r="G264" s="8">
        <v>6</v>
      </c>
      <c r="H264" s="8">
        <f t="shared" si="1"/>
        <v>8.4</v>
      </c>
      <c r="I264" s="9">
        <v>10</v>
      </c>
    </row>
    <row r="265" spans="1:9" ht="12.75">
      <c r="B265" s="10" t="s">
        <v>699</v>
      </c>
      <c r="C265" s="11" t="s">
        <v>13</v>
      </c>
      <c r="D265" s="11" t="s">
        <v>700</v>
      </c>
      <c r="E265" s="11" t="s">
        <v>87</v>
      </c>
      <c r="F265" s="12">
        <v>45684</v>
      </c>
      <c r="G265" s="13">
        <v>55.68</v>
      </c>
      <c r="H265" s="8">
        <f t="shared" si="1"/>
        <v>77.951999999999998</v>
      </c>
      <c r="I265" s="14">
        <v>80</v>
      </c>
    </row>
    <row r="266" spans="1:9" ht="24">
      <c r="B266" s="5" t="s">
        <v>701</v>
      </c>
      <c r="C266" s="6" t="s">
        <v>13</v>
      </c>
      <c r="D266" s="6" t="s">
        <v>702</v>
      </c>
      <c r="E266" s="6" t="s">
        <v>87</v>
      </c>
      <c r="F266" s="7">
        <v>45957</v>
      </c>
      <c r="G266" s="8">
        <v>120</v>
      </c>
      <c r="H266" s="8">
        <f t="shared" si="1"/>
        <v>168</v>
      </c>
      <c r="I266" s="9">
        <v>170</v>
      </c>
    </row>
    <row r="267" spans="1:9" ht="30">
      <c r="B267" s="54" t="s">
        <v>703</v>
      </c>
      <c r="C267" s="54" t="s">
        <v>703</v>
      </c>
      <c r="D267" s="54" t="s">
        <v>703</v>
      </c>
      <c r="E267" s="54" t="s">
        <v>703</v>
      </c>
      <c r="F267" s="54" t="s">
        <v>703</v>
      </c>
      <c r="G267" s="54" t="s">
        <v>703</v>
      </c>
      <c r="H267" s="54" t="s">
        <v>703</v>
      </c>
      <c r="I267" s="55" t="s">
        <v>703</v>
      </c>
    </row>
    <row r="268" spans="1:9" ht="15">
      <c r="B268" s="10" t="s">
        <v>704</v>
      </c>
      <c r="C268" s="10" t="s">
        <v>705</v>
      </c>
      <c r="D268" s="10"/>
      <c r="E268" s="10" t="s">
        <v>265</v>
      </c>
      <c r="F268" s="56">
        <v>45715</v>
      </c>
      <c r="G268" s="13">
        <v>22</v>
      </c>
      <c r="H268" s="13">
        <f t="shared" ref="H268:H367" si="2">G268+(G268*40%)</f>
        <v>30.8</v>
      </c>
      <c r="I268" s="57">
        <v>35</v>
      </c>
    </row>
    <row r="269" spans="1:9" ht="15">
      <c r="B269" s="10" t="s">
        <v>706</v>
      </c>
      <c r="C269" s="10" t="s">
        <v>707</v>
      </c>
      <c r="D269" s="10"/>
      <c r="E269" s="10" t="s">
        <v>265</v>
      </c>
      <c r="F269" s="58">
        <v>45776</v>
      </c>
      <c r="G269" s="13">
        <v>28</v>
      </c>
      <c r="H269" s="13">
        <f t="shared" si="2"/>
        <v>39.200000000000003</v>
      </c>
      <c r="I269" s="57">
        <v>45</v>
      </c>
    </row>
    <row r="270" spans="1:9" ht="15">
      <c r="A270" s="59"/>
      <c r="B270" s="10" t="s">
        <v>708</v>
      </c>
      <c r="C270" s="10" t="s">
        <v>707</v>
      </c>
      <c r="D270" s="10"/>
      <c r="E270" s="10" t="s">
        <v>265</v>
      </c>
      <c r="F270" s="56">
        <v>45776</v>
      </c>
      <c r="G270" s="13">
        <v>27.5</v>
      </c>
      <c r="H270" s="13">
        <f t="shared" si="2"/>
        <v>38.5</v>
      </c>
      <c r="I270" s="57">
        <v>45</v>
      </c>
    </row>
    <row r="271" spans="1:9" ht="15">
      <c r="A271" s="59"/>
      <c r="B271" s="10" t="s">
        <v>709</v>
      </c>
      <c r="C271" s="10" t="s">
        <v>707</v>
      </c>
      <c r="D271" s="10"/>
      <c r="E271" s="10" t="s">
        <v>265</v>
      </c>
      <c r="F271" s="58">
        <v>45774</v>
      </c>
      <c r="G271" s="13">
        <v>28</v>
      </c>
      <c r="H271" s="13">
        <f t="shared" si="2"/>
        <v>39.200000000000003</v>
      </c>
      <c r="I271" s="57">
        <v>45</v>
      </c>
    </row>
    <row r="272" spans="1:9" ht="15">
      <c r="A272" s="59"/>
      <c r="B272" s="10" t="s">
        <v>710</v>
      </c>
      <c r="C272" s="10" t="s">
        <v>707</v>
      </c>
      <c r="D272" s="10"/>
      <c r="E272" s="10" t="s">
        <v>265</v>
      </c>
      <c r="F272" s="56">
        <v>45774</v>
      </c>
      <c r="G272" s="13">
        <v>53</v>
      </c>
      <c r="H272" s="13">
        <f t="shared" si="2"/>
        <v>74.2</v>
      </c>
      <c r="I272" s="57">
        <v>80</v>
      </c>
    </row>
    <row r="273" spans="1:9" ht="15">
      <c r="A273" s="59"/>
      <c r="B273" s="10" t="s">
        <v>711</v>
      </c>
      <c r="C273" s="10" t="s">
        <v>707</v>
      </c>
      <c r="D273" s="10"/>
      <c r="E273" s="10" t="s">
        <v>712</v>
      </c>
      <c r="F273" s="58">
        <v>45927</v>
      </c>
      <c r="G273" s="13">
        <v>32</v>
      </c>
      <c r="H273" s="13">
        <f t="shared" si="2"/>
        <v>44.8</v>
      </c>
      <c r="I273" s="57">
        <v>45</v>
      </c>
    </row>
    <row r="274" spans="1:9" ht="15">
      <c r="A274" s="59"/>
      <c r="B274" s="10" t="s">
        <v>713</v>
      </c>
      <c r="C274" s="10" t="s">
        <v>714</v>
      </c>
      <c r="D274" s="10"/>
      <c r="E274" s="10" t="s">
        <v>265</v>
      </c>
      <c r="F274" s="56">
        <v>45896</v>
      </c>
      <c r="G274" s="13">
        <v>72</v>
      </c>
      <c r="H274" s="13">
        <f t="shared" si="2"/>
        <v>100.8</v>
      </c>
      <c r="I274" s="57">
        <v>105</v>
      </c>
    </row>
    <row r="275" spans="1:9" ht="15">
      <c r="A275" s="59"/>
      <c r="B275" s="10" t="s">
        <v>715</v>
      </c>
      <c r="C275" s="10" t="s">
        <v>716</v>
      </c>
      <c r="D275" s="10"/>
      <c r="E275" s="10" t="s">
        <v>265</v>
      </c>
      <c r="F275" s="58">
        <v>45990</v>
      </c>
      <c r="G275" s="13">
        <v>41</v>
      </c>
      <c r="H275" s="13">
        <f t="shared" si="2"/>
        <v>57.400000000000006</v>
      </c>
      <c r="I275" s="57">
        <v>60</v>
      </c>
    </row>
    <row r="276" spans="1:9" ht="15">
      <c r="A276" s="59"/>
      <c r="B276" s="10" t="s">
        <v>717</v>
      </c>
      <c r="C276" s="10" t="s">
        <v>531</v>
      </c>
      <c r="D276" s="10"/>
      <c r="E276" s="10" t="s">
        <v>265</v>
      </c>
      <c r="F276" s="56">
        <v>45866</v>
      </c>
      <c r="G276" s="13">
        <v>6</v>
      </c>
      <c r="H276" s="13">
        <f t="shared" si="2"/>
        <v>8.4</v>
      </c>
      <c r="I276" s="57">
        <v>10</v>
      </c>
    </row>
    <row r="277" spans="1:9" ht="15">
      <c r="A277" s="59"/>
      <c r="B277" s="10" t="s">
        <v>718</v>
      </c>
      <c r="C277" s="10" t="s">
        <v>531</v>
      </c>
      <c r="D277" s="10"/>
      <c r="E277" s="10" t="s">
        <v>265</v>
      </c>
      <c r="F277" s="58">
        <v>45866</v>
      </c>
      <c r="G277" s="13">
        <v>5</v>
      </c>
      <c r="H277" s="13">
        <f t="shared" si="2"/>
        <v>7</v>
      </c>
      <c r="I277" s="57">
        <v>10</v>
      </c>
    </row>
    <row r="278" spans="1:9" ht="15">
      <c r="A278" s="59"/>
      <c r="B278" s="10" t="s">
        <v>719</v>
      </c>
      <c r="C278" s="10" t="s">
        <v>531</v>
      </c>
      <c r="D278" s="10"/>
      <c r="E278" s="10" t="s">
        <v>265</v>
      </c>
      <c r="F278" s="56">
        <v>45836</v>
      </c>
      <c r="G278" s="13">
        <v>5</v>
      </c>
      <c r="H278" s="13">
        <f t="shared" si="2"/>
        <v>7</v>
      </c>
      <c r="I278" s="57">
        <v>10</v>
      </c>
    </row>
    <row r="279" spans="1:9" ht="15">
      <c r="A279" s="59"/>
      <c r="B279" s="10" t="s">
        <v>720</v>
      </c>
      <c r="C279" s="10" t="s">
        <v>531</v>
      </c>
      <c r="D279" s="10"/>
      <c r="E279" s="10" t="s">
        <v>265</v>
      </c>
      <c r="F279" s="58">
        <v>45806</v>
      </c>
      <c r="G279" s="13">
        <v>5</v>
      </c>
      <c r="H279" s="13">
        <f t="shared" si="2"/>
        <v>7</v>
      </c>
      <c r="I279" s="57">
        <v>10</v>
      </c>
    </row>
    <row r="280" spans="1:9" ht="15">
      <c r="A280" s="59"/>
      <c r="B280" s="10" t="s">
        <v>721</v>
      </c>
      <c r="C280" s="10" t="s">
        <v>531</v>
      </c>
      <c r="D280" s="10"/>
      <c r="E280" s="10" t="s">
        <v>265</v>
      </c>
      <c r="F280" s="56">
        <v>45837</v>
      </c>
      <c r="G280" s="13">
        <v>5</v>
      </c>
      <c r="H280" s="13">
        <f t="shared" si="2"/>
        <v>7</v>
      </c>
      <c r="I280" s="57">
        <v>10</v>
      </c>
    </row>
    <row r="281" spans="1:9" ht="15">
      <c r="A281" s="59"/>
      <c r="B281" s="10" t="s">
        <v>722</v>
      </c>
      <c r="C281" s="10" t="s">
        <v>723</v>
      </c>
      <c r="D281" s="10"/>
      <c r="E281" s="10" t="s">
        <v>265</v>
      </c>
      <c r="F281" s="58">
        <v>45928</v>
      </c>
      <c r="G281" s="13">
        <v>21.6</v>
      </c>
      <c r="H281" s="13">
        <f t="shared" si="2"/>
        <v>30.240000000000002</v>
      </c>
      <c r="I281" s="57">
        <v>35</v>
      </c>
    </row>
    <row r="282" spans="1:9" ht="15">
      <c r="A282" s="59"/>
      <c r="B282" s="10" t="s">
        <v>724</v>
      </c>
      <c r="C282" s="10" t="s">
        <v>707</v>
      </c>
      <c r="D282" s="10"/>
      <c r="E282" s="10" t="s">
        <v>265</v>
      </c>
      <c r="F282" s="56">
        <v>45958</v>
      </c>
      <c r="G282" s="13">
        <v>15</v>
      </c>
      <c r="H282" s="13">
        <f t="shared" si="2"/>
        <v>21</v>
      </c>
      <c r="I282" s="57">
        <v>25</v>
      </c>
    </row>
    <row r="283" spans="1:9" ht="15">
      <c r="A283" s="59"/>
      <c r="B283" s="10" t="s">
        <v>725</v>
      </c>
      <c r="C283" s="10" t="s">
        <v>531</v>
      </c>
      <c r="D283" s="10"/>
      <c r="E283" s="10" t="s">
        <v>265</v>
      </c>
      <c r="F283" s="58">
        <v>46017</v>
      </c>
      <c r="G283" s="13">
        <v>1</v>
      </c>
      <c r="H283" s="13">
        <f t="shared" si="2"/>
        <v>1.4</v>
      </c>
      <c r="I283" s="57">
        <v>5</v>
      </c>
    </row>
    <row r="284" spans="1:9" ht="15">
      <c r="A284" s="59"/>
      <c r="B284" s="10" t="s">
        <v>726</v>
      </c>
      <c r="C284" s="10" t="s">
        <v>531</v>
      </c>
      <c r="D284" s="10"/>
      <c r="E284" s="10" t="s">
        <v>265</v>
      </c>
      <c r="F284" s="56">
        <v>45958</v>
      </c>
      <c r="G284" s="13">
        <v>29</v>
      </c>
      <c r="H284" s="13">
        <f t="shared" si="2"/>
        <v>40.6</v>
      </c>
      <c r="I284" s="57">
        <v>40</v>
      </c>
    </row>
    <row r="285" spans="1:9" ht="15">
      <c r="A285" s="59"/>
      <c r="B285" s="10" t="s">
        <v>727</v>
      </c>
      <c r="C285" s="10" t="s">
        <v>531</v>
      </c>
      <c r="D285" s="10"/>
      <c r="E285" s="10" t="s">
        <v>265</v>
      </c>
      <c r="F285" s="58">
        <v>45989</v>
      </c>
      <c r="G285" s="13">
        <v>36.5</v>
      </c>
      <c r="H285" s="13">
        <f t="shared" si="2"/>
        <v>51.1</v>
      </c>
      <c r="I285" s="57">
        <v>60</v>
      </c>
    </row>
    <row r="286" spans="1:9" ht="15">
      <c r="A286" s="59"/>
      <c r="B286" s="10" t="s">
        <v>728</v>
      </c>
      <c r="C286" s="10" t="s">
        <v>531</v>
      </c>
      <c r="D286" s="10"/>
      <c r="E286" s="10" t="s">
        <v>265</v>
      </c>
      <c r="F286" s="56">
        <v>46019</v>
      </c>
      <c r="G286" s="13">
        <v>36.5</v>
      </c>
      <c r="H286" s="13">
        <f t="shared" si="2"/>
        <v>51.1</v>
      </c>
      <c r="I286" s="57">
        <v>60</v>
      </c>
    </row>
    <row r="287" spans="1:9" ht="15">
      <c r="A287" s="59"/>
      <c r="B287" s="10" t="s">
        <v>729</v>
      </c>
      <c r="C287" s="10" t="s">
        <v>531</v>
      </c>
      <c r="D287" s="10"/>
      <c r="E287" s="10" t="s">
        <v>265</v>
      </c>
      <c r="F287" s="58">
        <v>45686</v>
      </c>
      <c r="G287" s="13">
        <v>36.5</v>
      </c>
      <c r="H287" s="13">
        <f t="shared" si="2"/>
        <v>51.1</v>
      </c>
      <c r="I287" s="57">
        <v>60</v>
      </c>
    </row>
    <row r="288" spans="1:9" ht="15">
      <c r="A288" s="59"/>
      <c r="B288" s="10" t="s">
        <v>730</v>
      </c>
      <c r="C288" s="10" t="s">
        <v>531</v>
      </c>
      <c r="D288" s="10"/>
      <c r="E288" s="10" t="s">
        <v>265</v>
      </c>
      <c r="F288" s="60" t="s">
        <v>412</v>
      </c>
      <c r="G288" s="13">
        <v>12</v>
      </c>
      <c r="H288" s="13">
        <f t="shared" si="2"/>
        <v>16.8</v>
      </c>
      <c r="I288" s="57">
        <v>20</v>
      </c>
    </row>
    <row r="289" spans="1:9" ht="15">
      <c r="A289" s="59"/>
      <c r="B289" s="10" t="s">
        <v>731</v>
      </c>
      <c r="C289" s="10" t="s">
        <v>531</v>
      </c>
      <c r="D289" s="10"/>
      <c r="E289" s="10" t="s">
        <v>265</v>
      </c>
      <c r="F289" s="58">
        <v>45745</v>
      </c>
      <c r="G289" s="13">
        <v>12</v>
      </c>
      <c r="H289" s="13">
        <f t="shared" si="2"/>
        <v>16.8</v>
      </c>
      <c r="I289" s="57">
        <v>20</v>
      </c>
    </row>
    <row r="290" spans="1:9" ht="15">
      <c r="A290" s="59"/>
      <c r="B290" s="10" t="s">
        <v>732</v>
      </c>
      <c r="C290" s="10" t="s">
        <v>705</v>
      </c>
      <c r="D290" s="10"/>
      <c r="E290" s="10" t="s">
        <v>733</v>
      </c>
      <c r="F290" s="56">
        <v>45776</v>
      </c>
      <c r="G290" s="13">
        <v>350</v>
      </c>
      <c r="H290" s="13">
        <f t="shared" si="2"/>
        <v>490</v>
      </c>
      <c r="I290" s="57">
        <v>500</v>
      </c>
    </row>
    <row r="291" spans="1:9" ht="24">
      <c r="A291" s="59"/>
      <c r="B291" s="10" t="s">
        <v>734</v>
      </c>
      <c r="C291" s="10" t="s">
        <v>531</v>
      </c>
      <c r="D291" s="10"/>
      <c r="E291" s="10" t="s">
        <v>735</v>
      </c>
      <c r="F291" s="58">
        <v>45806</v>
      </c>
      <c r="G291" s="13">
        <v>85</v>
      </c>
      <c r="H291" s="13">
        <f t="shared" si="2"/>
        <v>119</v>
      </c>
      <c r="I291" s="57">
        <v>120</v>
      </c>
    </row>
    <row r="292" spans="1:9" ht="24">
      <c r="A292" s="59"/>
      <c r="B292" s="10" t="s">
        <v>736</v>
      </c>
      <c r="C292" s="10" t="s">
        <v>705</v>
      </c>
      <c r="D292" s="10"/>
      <c r="E292" s="10" t="s">
        <v>735</v>
      </c>
      <c r="F292" s="56">
        <v>45837</v>
      </c>
      <c r="G292" s="13">
        <v>425</v>
      </c>
      <c r="H292" s="13">
        <f t="shared" si="2"/>
        <v>595</v>
      </c>
      <c r="I292" s="57">
        <v>600</v>
      </c>
    </row>
    <row r="293" spans="1:9" ht="15">
      <c r="A293" s="59"/>
      <c r="B293" s="10" t="s">
        <v>737</v>
      </c>
      <c r="C293" s="10" t="s">
        <v>531</v>
      </c>
      <c r="D293" s="10"/>
      <c r="E293" s="10" t="s">
        <v>265</v>
      </c>
      <c r="F293" s="58">
        <v>45864</v>
      </c>
      <c r="G293" s="13">
        <v>52</v>
      </c>
      <c r="H293" s="13">
        <f t="shared" si="2"/>
        <v>72.8</v>
      </c>
      <c r="I293" s="57">
        <v>75</v>
      </c>
    </row>
    <row r="294" spans="1:9" ht="15">
      <c r="A294" s="59"/>
      <c r="B294" s="10" t="s">
        <v>738</v>
      </c>
      <c r="C294" s="10" t="s">
        <v>531</v>
      </c>
      <c r="D294" s="10"/>
      <c r="E294" s="10" t="s">
        <v>265</v>
      </c>
      <c r="F294" s="56">
        <v>45989</v>
      </c>
      <c r="G294" s="13">
        <v>27.9</v>
      </c>
      <c r="H294" s="13">
        <f t="shared" si="2"/>
        <v>39.06</v>
      </c>
      <c r="I294" s="57">
        <v>45</v>
      </c>
    </row>
    <row r="295" spans="1:9" ht="15">
      <c r="A295" s="59"/>
      <c r="B295" s="10" t="s">
        <v>739</v>
      </c>
      <c r="C295" s="10" t="s">
        <v>531</v>
      </c>
      <c r="D295" s="10"/>
      <c r="E295" s="10" t="s">
        <v>265</v>
      </c>
      <c r="F295" s="58">
        <v>45926</v>
      </c>
      <c r="G295" s="13">
        <v>6</v>
      </c>
      <c r="H295" s="13">
        <f t="shared" si="2"/>
        <v>8.4</v>
      </c>
      <c r="I295" s="57">
        <v>10</v>
      </c>
    </row>
    <row r="296" spans="1:9" ht="15">
      <c r="A296" s="59"/>
      <c r="B296" s="10" t="s">
        <v>740</v>
      </c>
      <c r="C296" s="10" t="s">
        <v>531</v>
      </c>
      <c r="D296" s="10"/>
      <c r="E296" s="10" t="s">
        <v>383</v>
      </c>
      <c r="F296" s="56">
        <v>45867</v>
      </c>
      <c r="G296" s="13">
        <v>52</v>
      </c>
      <c r="H296" s="13">
        <f t="shared" si="2"/>
        <v>72.8</v>
      </c>
      <c r="I296" s="57">
        <v>75</v>
      </c>
    </row>
    <row r="297" spans="1:9" ht="15">
      <c r="A297" s="59"/>
      <c r="B297" s="10" t="s">
        <v>741</v>
      </c>
      <c r="C297" s="10" t="s">
        <v>742</v>
      </c>
      <c r="D297" s="10"/>
      <c r="E297" s="10"/>
      <c r="F297" s="58">
        <v>45834</v>
      </c>
      <c r="G297" s="13">
        <v>66.5</v>
      </c>
      <c r="H297" s="13">
        <f t="shared" si="2"/>
        <v>93.1</v>
      </c>
      <c r="I297" s="57">
        <v>95</v>
      </c>
    </row>
    <row r="298" spans="1:9" ht="15">
      <c r="A298" s="59"/>
      <c r="B298" s="10" t="s">
        <v>743</v>
      </c>
      <c r="C298" s="10" t="s">
        <v>531</v>
      </c>
      <c r="D298" s="10"/>
      <c r="E298" s="10" t="s">
        <v>744</v>
      </c>
      <c r="F298" s="61"/>
      <c r="G298" s="13">
        <v>6.3</v>
      </c>
      <c r="H298" s="13">
        <f t="shared" si="2"/>
        <v>8.82</v>
      </c>
      <c r="I298" s="57">
        <v>10</v>
      </c>
    </row>
    <row r="299" spans="1:9" ht="15">
      <c r="A299" s="59"/>
      <c r="B299" s="10" t="s">
        <v>745</v>
      </c>
      <c r="C299" s="10" t="s">
        <v>531</v>
      </c>
      <c r="D299" s="10"/>
      <c r="E299" s="10" t="s">
        <v>744</v>
      </c>
      <c r="F299" s="58">
        <v>45776</v>
      </c>
      <c r="G299" s="13">
        <v>6.3</v>
      </c>
      <c r="H299" s="13">
        <f t="shared" si="2"/>
        <v>8.82</v>
      </c>
      <c r="I299" s="57">
        <v>10</v>
      </c>
    </row>
    <row r="300" spans="1:9" ht="15">
      <c r="A300" s="59"/>
      <c r="B300" s="10" t="s">
        <v>746</v>
      </c>
      <c r="C300" s="10" t="s">
        <v>531</v>
      </c>
      <c r="D300" s="10"/>
      <c r="E300" s="10" t="s">
        <v>744</v>
      </c>
      <c r="F300" s="56">
        <v>45686</v>
      </c>
      <c r="G300" s="13">
        <v>6.3</v>
      </c>
      <c r="H300" s="13">
        <f t="shared" si="2"/>
        <v>8.82</v>
      </c>
      <c r="I300" s="57">
        <v>10</v>
      </c>
    </row>
    <row r="301" spans="1:9" ht="24">
      <c r="A301" s="59"/>
      <c r="B301" s="10" t="s">
        <v>747</v>
      </c>
      <c r="C301" s="10" t="s">
        <v>748</v>
      </c>
      <c r="D301" s="10"/>
      <c r="E301" s="10" t="s">
        <v>735</v>
      </c>
      <c r="F301" s="58">
        <v>45897</v>
      </c>
      <c r="G301" s="13">
        <v>180</v>
      </c>
      <c r="H301" s="13">
        <f t="shared" si="2"/>
        <v>252</v>
      </c>
      <c r="I301" s="57">
        <v>255</v>
      </c>
    </row>
    <row r="302" spans="1:9" ht="15">
      <c r="A302" s="59"/>
      <c r="B302" s="10" t="s">
        <v>749</v>
      </c>
      <c r="C302" s="10" t="s">
        <v>714</v>
      </c>
      <c r="D302" s="10"/>
      <c r="E302" s="10"/>
      <c r="F302" s="56">
        <v>45686</v>
      </c>
      <c r="G302" s="13">
        <v>120</v>
      </c>
      <c r="H302" s="13">
        <f t="shared" si="2"/>
        <v>168</v>
      </c>
      <c r="I302" s="57">
        <v>170</v>
      </c>
    </row>
    <row r="303" spans="1:9" ht="15">
      <c r="A303" s="59"/>
      <c r="B303" s="10" t="s">
        <v>750</v>
      </c>
      <c r="C303" s="10" t="s">
        <v>714</v>
      </c>
      <c r="D303" s="10"/>
      <c r="E303" s="10"/>
      <c r="F303" s="62"/>
      <c r="G303" s="13">
        <v>262</v>
      </c>
      <c r="H303" s="13">
        <f t="shared" si="2"/>
        <v>366.8</v>
      </c>
      <c r="I303" s="57">
        <v>340</v>
      </c>
    </row>
    <row r="304" spans="1:9" ht="15">
      <c r="A304" s="59"/>
      <c r="B304" s="10" t="s">
        <v>751</v>
      </c>
      <c r="C304" s="10" t="s">
        <v>714</v>
      </c>
      <c r="D304" s="10"/>
      <c r="E304" s="10" t="s">
        <v>265</v>
      </c>
      <c r="F304" s="61"/>
      <c r="G304" s="13">
        <v>165</v>
      </c>
      <c r="H304" s="13">
        <f t="shared" si="2"/>
        <v>231</v>
      </c>
      <c r="I304" s="57">
        <v>235</v>
      </c>
    </row>
    <row r="305" spans="1:9" ht="15">
      <c r="A305" s="59"/>
      <c r="B305" s="10" t="s">
        <v>752</v>
      </c>
      <c r="C305" s="10" t="s">
        <v>753</v>
      </c>
      <c r="D305" s="10"/>
      <c r="E305" s="10" t="s">
        <v>265</v>
      </c>
      <c r="F305" s="62"/>
      <c r="G305" s="13">
        <v>195</v>
      </c>
      <c r="H305" s="13">
        <f t="shared" si="2"/>
        <v>273</v>
      </c>
      <c r="I305" s="57">
        <v>275</v>
      </c>
    </row>
    <row r="306" spans="1:9" ht="15">
      <c r="A306" s="59"/>
      <c r="B306" s="10" t="s">
        <v>754</v>
      </c>
      <c r="C306" s="10" t="s">
        <v>755</v>
      </c>
      <c r="D306" s="10"/>
      <c r="E306" s="10" t="s">
        <v>756</v>
      </c>
      <c r="F306" s="56">
        <v>45867</v>
      </c>
      <c r="G306" s="13">
        <v>178</v>
      </c>
      <c r="H306" s="13">
        <f t="shared" si="2"/>
        <v>249.2</v>
      </c>
      <c r="I306" s="57">
        <v>250</v>
      </c>
    </row>
    <row r="307" spans="1:9" ht="15">
      <c r="A307" s="59"/>
      <c r="B307" s="10" t="s">
        <v>757</v>
      </c>
      <c r="C307" s="10" t="s">
        <v>758</v>
      </c>
      <c r="D307" s="10"/>
      <c r="E307" s="10" t="s">
        <v>265</v>
      </c>
      <c r="F307" s="62"/>
      <c r="G307" s="13">
        <v>34</v>
      </c>
      <c r="H307" s="13">
        <f t="shared" si="2"/>
        <v>47.6</v>
      </c>
      <c r="I307" s="57">
        <v>50</v>
      </c>
    </row>
    <row r="308" spans="1:9" ht="15">
      <c r="A308" s="59"/>
      <c r="B308" s="10" t="s">
        <v>759</v>
      </c>
      <c r="C308" s="10" t="s">
        <v>758</v>
      </c>
      <c r="D308" s="10"/>
      <c r="E308" s="10" t="s">
        <v>119</v>
      </c>
      <c r="F308" s="56">
        <v>45867</v>
      </c>
      <c r="G308" s="13">
        <v>190</v>
      </c>
      <c r="H308" s="13">
        <f t="shared" si="2"/>
        <v>266</v>
      </c>
      <c r="I308" s="57">
        <v>270</v>
      </c>
    </row>
    <row r="309" spans="1:9" ht="15">
      <c r="A309" s="59"/>
      <c r="B309" s="10" t="s">
        <v>760</v>
      </c>
      <c r="C309" s="10" t="s">
        <v>758</v>
      </c>
      <c r="D309" s="10"/>
      <c r="E309" s="10" t="s">
        <v>265</v>
      </c>
      <c r="F309" s="62"/>
      <c r="G309" s="13">
        <v>190</v>
      </c>
      <c r="H309" s="13">
        <f t="shared" si="2"/>
        <v>266</v>
      </c>
      <c r="I309" s="57">
        <v>270</v>
      </c>
    </row>
    <row r="310" spans="1:9" ht="15">
      <c r="A310" s="59"/>
      <c r="B310" s="10" t="s">
        <v>761</v>
      </c>
      <c r="C310" s="10" t="s">
        <v>758</v>
      </c>
      <c r="D310" s="10"/>
      <c r="E310" s="10" t="s">
        <v>265</v>
      </c>
      <c r="F310" s="56">
        <v>45776</v>
      </c>
      <c r="G310" s="13">
        <v>200</v>
      </c>
      <c r="H310" s="13">
        <f t="shared" si="2"/>
        <v>280</v>
      </c>
      <c r="I310" s="57">
        <v>300</v>
      </c>
    </row>
    <row r="311" spans="1:9" ht="15">
      <c r="A311" s="59"/>
      <c r="B311" s="10" t="s">
        <v>762</v>
      </c>
      <c r="C311" s="10" t="s">
        <v>755</v>
      </c>
      <c r="D311" s="10"/>
      <c r="E311" s="10" t="s">
        <v>763</v>
      </c>
      <c r="F311" s="58">
        <v>45776</v>
      </c>
      <c r="G311" s="13">
        <v>12.25</v>
      </c>
      <c r="H311" s="13">
        <f t="shared" si="2"/>
        <v>17.149999999999999</v>
      </c>
      <c r="I311" s="57">
        <v>20</v>
      </c>
    </row>
    <row r="312" spans="1:9" ht="15">
      <c r="A312" s="59"/>
      <c r="B312" s="10" t="s">
        <v>764</v>
      </c>
      <c r="C312" s="10" t="s">
        <v>755</v>
      </c>
      <c r="D312" s="10"/>
      <c r="E312" s="10" t="s">
        <v>265</v>
      </c>
      <c r="F312" s="56">
        <v>45744</v>
      </c>
      <c r="G312" s="13">
        <v>12.25</v>
      </c>
      <c r="H312" s="13">
        <f t="shared" si="2"/>
        <v>17.149999999999999</v>
      </c>
      <c r="I312" s="57">
        <v>20</v>
      </c>
    </row>
    <row r="313" spans="1:9" ht="15">
      <c r="A313" s="59"/>
      <c r="B313" s="10" t="s">
        <v>765</v>
      </c>
      <c r="C313" s="10" t="s">
        <v>755</v>
      </c>
      <c r="D313" s="10"/>
      <c r="E313" s="10" t="s">
        <v>766</v>
      </c>
      <c r="F313" s="58">
        <v>45686</v>
      </c>
      <c r="G313" s="13">
        <v>12.85</v>
      </c>
      <c r="H313" s="13">
        <f t="shared" si="2"/>
        <v>17.990000000000002</v>
      </c>
      <c r="I313" s="57">
        <v>20</v>
      </c>
    </row>
    <row r="314" spans="1:9" ht="15">
      <c r="A314" s="59"/>
      <c r="B314" s="10" t="s">
        <v>767</v>
      </c>
      <c r="C314" s="10" t="s">
        <v>755</v>
      </c>
      <c r="D314" s="10"/>
      <c r="E314" s="10" t="s">
        <v>265</v>
      </c>
      <c r="F314" s="56">
        <v>45745</v>
      </c>
      <c r="G314" s="13">
        <v>12.45</v>
      </c>
      <c r="H314" s="13">
        <f t="shared" si="2"/>
        <v>17.43</v>
      </c>
      <c r="I314" s="57">
        <v>20</v>
      </c>
    </row>
    <row r="315" spans="1:9" ht="15">
      <c r="A315" s="59"/>
      <c r="B315" s="10" t="s">
        <v>768</v>
      </c>
      <c r="C315" s="10" t="s">
        <v>755</v>
      </c>
      <c r="D315" s="10"/>
      <c r="E315" s="10" t="s">
        <v>265</v>
      </c>
      <c r="F315" s="58">
        <v>45867</v>
      </c>
      <c r="G315" s="13">
        <v>12.5</v>
      </c>
      <c r="H315" s="13">
        <f t="shared" si="2"/>
        <v>17.5</v>
      </c>
      <c r="I315" s="57">
        <v>20</v>
      </c>
    </row>
    <row r="316" spans="1:9" ht="15">
      <c r="A316" s="59"/>
      <c r="B316" s="10" t="s">
        <v>769</v>
      </c>
      <c r="C316" s="10" t="s">
        <v>755</v>
      </c>
      <c r="D316" s="10"/>
      <c r="E316" s="10" t="s">
        <v>265</v>
      </c>
      <c r="F316" s="61"/>
      <c r="G316" s="13">
        <v>13.95</v>
      </c>
      <c r="H316" s="13">
        <f t="shared" si="2"/>
        <v>19.53</v>
      </c>
      <c r="I316" s="57">
        <v>20</v>
      </c>
    </row>
    <row r="317" spans="1:9" ht="15">
      <c r="A317" s="59"/>
      <c r="B317" s="10" t="s">
        <v>770</v>
      </c>
      <c r="C317" s="10" t="s">
        <v>755</v>
      </c>
      <c r="D317" s="10"/>
      <c r="E317" s="10" t="s">
        <v>265</v>
      </c>
      <c r="F317" s="63" t="s">
        <v>412</v>
      </c>
      <c r="G317" s="13">
        <v>5.8</v>
      </c>
      <c r="H317" s="13">
        <f t="shared" si="2"/>
        <v>8.1199999999999992</v>
      </c>
      <c r="I317" s="57">
        <v>10</v>
      </c>
    </row>
    <row r="318" spans="1:9" ht="15">
      <c r="A318" s="59"/>
      <c r="B318" s="10" t="s">
        <v>771</v>
      </c>
      <c r="C318" s="10" t="s">
        <v>755</v>
      </c>
      <c r="D318" s="10"/>
      <c r="E318" s="10" t="s">
        <v>265</v>
      </c>
      <c r="F318" s="61"/>
      <c r="G318" s="13">
        <v>8</v>
      </c>
      <c r="H318" s="13">
        <f t="shared" si="2"/>
        <v>11.2</v>
      </c>
      <c r="I318" s="57">
        <v>15</v>
      </c>
    </row>
    <row r="319" spans="1:9" ht="15">
      <c r="A319" s="59"/>
      <c r="B319" s="10" t="s">
        <v>772</v>
      </c>
      <c r="C319" s="10" t="s">
        <v>755</v>
      </c>
      <c r="D319" s="10"/>
      <c r="E319" s="10" t="s">
        <v>265</v>
      </c>
      <c r="F319" s="62"/>
      <c r="G319" s="13">
        <v>47.81</v>
      </c>
      <c r="H319" s="13">
        <f t="shared" si="2"/>
        <v>66.933999999999997</v>
      </c>
      <c r="I319" s="57">
        <v>70</v>
      </c>
    </row>
    <row r="320" spans="1:9" ht="15">
      <c r="A320" s="59"/>
      <c r="B320" s="10" t="s">
        <v>773</v>
      </c>
      <c r="C320" s="10" t="s">
        <v>755</v>
      </c>
      <c r="D320" s="10"/>
      <c r="E320" s="10" t="s">
        <v>265</v>
      </c>
      <c r="F320" s="61"/>
      <c r="G320" s="13">
        <v>99.5</v>
      </c>
      <c r="H320" s="13">
        <f t="shared" si="2"/>
        <v>139.30000000000001</v>
      </c>
      <c r="I320" s="57">
        <v>140</v>
      </c>
    </row>
    <row r="321" spans="1:9" ht="15">
      <c r="A321" s="59"/>
      <c r="B321" s="10" t="s">
        <v>774</v>
      </c>
      <c r="C321" s="10" t="s">
        <v>755</v>
      </c>
      <c r="D321" s="10"/>
      <c r="E321" s="10" t="s">
        <v>265</v>
      </c>
      <c r="F321" s="62"/>
      <c r="G321" s="13">
        <v>72.75</v>
      </c>
      <c r="H321" s="13">
        <f t="shared" si="2"/>
        <v>101.85</v>
      </c>
      <c r="I321" s="57">
        <v>105</v>
      </c>
    </row>
    <row r="322" spans="1:9" ht="15">
      <c r="A322" s="59"/>
      <c r="B322" s="10" t="s">
        <v>775</v>
      </c>
      <c r="C322" s="10" t="s">
        <v>755</v>
      </c>
      <c r="D322" s="10"/>
      <c r="E322" s="10" t="s">
        <v>265</v>
      </c>
      <c r="F322" s="61"/>
      <c r="G322" s="13">
        <v>9</v>
      </c>
      <c r="H322" s="13">
        <f t="shared" si="2"/>
        <v>12.6</v>
      </c>
      <c r="I322" s="57">
        <v>20</v>
      </c>
    </row>
    <row r="323" spans="1:9" ht="15">
      <c r="A323" s="59"/>
      <c r="B323" s="10" t="s">
        <v>776</v>
      </c>
      <c r="C323" s="10" t="s">
        <v>755</v>
      </c>
      <c r="D323" s="10"/>
      <c r="E323" s="10" t="s">
        <v>777</v>
      </c>
      <c r="F323" s="62"/>
      <c r="G323" s="13">
        <v>25</v>
      </c>
      <c r="H323" s="13">
        <f t="shared" si="2"/>
        <v>35</v>
      </c>
      <c r="I323" s="57">
        <v>40</v>
      </c>
    </row>
    <row r="324" spans="1:9" ht="15">
      <c r="A324" s="59"/>
      <c r="B324" s="10" t="s">
        <v>778</v>
      </c>
      <c r="C324" s="10" t="s">
        <v>779</v>
      </c>
      <c r="D324" s="10"/>
      <c r="E324" s="10" t="s">
        <v>265</v>
      </c>
      <c r="F324" s="61"/>
      <c r="G324" s="13">
        <v>6.5</v>
      </c>
      <c r="H324" s="13">
        <f t="shared" si="2"/>
        <v>9.1</v>
      </c>
      <c r="I324" s="57">
        <v>15</v>
      </c>
    </row>
    <row r="325" spans="1:9" ht="15">
      <c r="A325" s="59"/>
      <c r="B325" s="10" t="s">
        <v>780</v>
      </c>
      <c r="C325" s="10" t="s">
        <v>781</v>
      </c>
      <c r="D325" s="10"/>
      <c r="E325" s="10" t="s">
        <v>265</v>
      </c>
      <c r="F325" s="62"/>
      <c r="G325" s="13">
        <v>0.83</v>
      </c>
      <c r="H325" s="13">
        <f t="shared" si="2"/>
        <v>1.1619999999999999</v>
      </c>
      <c r="I325" s="57">
        <v>5</v>
      </c>
    </row>
    <row r="326" spans="1:9" ht="15">
      <c r="A326" s="59"/>
      <c r="B326" s="10" t="s">
        <v>782</v>
      </c>
      <c r="C326" s="10" t="s">
        <v>781</v>
      </c>
      <c r="D326" s="10"/>
      <c r="E326" s="10" t="s">
        <v>265</v>
      </c>
      <c r="F326" s="56">
        <v>45744</v>
      </c>
      <c r="G326" s="13">
        <v>0.61</v>
      </c>
      <c r="H326" s="13">
        <f t="shared" si="2"/>
        <v>0.85399999999999998</v>
      </c>
      <c r="I326" s="57">
        <v>5</v>
      </c>
    </row>
    <row r="327" spans="1:9" ht="15">
      <c r="A327" s="59"/>
      <c r="B327" s="10" t="s">
        <v>783</v>
      </c>
      <c r="C327" s="10" t="s">
        <v>781</v>
      </c>
      <c r="D327" s="10"/>
      <c r="E327" s="10" t="s">
        <v>265</v>
      </c>
      <c r="F327" s="58">
        <v>45775</v>
      </c>
      <c r="G327" s="13">
        <v>0.64</v>
      </c>
      <c r="H327" s="13">
        <f t="shared" si="2"/>
        <v>0.89600000000000002</v>
      </c>
      <c r="I327" s="57">
        <v>5</v>
      </c>
    </row>
    <row r="328" spans="1:9" ht="15">
      <c r="A328" s="59"/>
      <c r="B328" s="10" t="s">
        <v>784</v>
      </c>
      <c r="C328" s="10" t="s">
        <v>781</v>
      </c>
      <c r="D328" s="10"/>
      <c r="E328" s="10" t="s">
        <v>265</v>
      </c>
      <c r="F328" s="56">
        <v>45896</v>
      </c>
      <c r="G328" s="13">
        <v>0.97</v>
      </c>
      <c r="H328" s="13">
        <f t="shared" si="2"/>
        <v>1.3580000000000001</v>
      </c>
      <c r="I328" s="57">
        <v>5</v>
      </c>
    </row>
    <row r="329" spans="1:9" ht="15">
      <c r="A329" s="59"/>
      <c r="B329" s="10" t="s">
        <v>785</v>
      </c>
      <c r="C329" s="10" t="s">
        <v>786</v>
      </c>
      <c r="D329" s="10"/>
      <c r="E329" s="10" t="s">
        <v>265</v>
      </c>
      <c r="F329" s="58">
        <v>45898</v>
      </c>
      <c r="G329" s="13">
        <v>0.85</v>
      </c>
      <c r="H329" s="13">
        <f t="shared" si="2"/>
        <v>1.19</v>
      </c>
      <c r="I329" s="57">
        <v>5</v>
      </c>
    </row>
    <row r="330" spans="1:9" ht="15">
      <c r="A330" s="59"/>
      <c r="B330" s="10" t="s">
        <v>787</v>
      </c>
      <c r="C330" s="10" t="s">
        <v>755</v>
      </c>
      <c r="D330" s="10"/>
      <c r="E330" s="10" t="s">
        <v>265</v>
      </c>
      <c r="F330" s="56">
        <v>45837</v>
      </c>
      <c r="G330" s="13">
        <v>15</v>
      </c>
      <c r="H330" s="13">
        <f t="shared" si="2"/>
        <v>21</v>
      </c>
      <c r="I330" s="57">
        <v>30</v>
      </c>
    </row>
    <row r="331" spans="1:9" ht="15">
      <c r="A331" s="59"/>
      <c r="B331" s="10" t="s">
        <v>788</v>
      </c>
      <c r="C331" s="10" t="s">
        <v>755</v>
      </c>
      <c r="D331" s="10"/>
      <c r="E331" s="10" t="s">
        <v>265</v>
      </c>
      <c r="F331" s="58">
        <v>45865</v>
      </c>
      <c r="G331" s="13">
        <v>20</v>
      </c>
      <c r="H331" s="13">
        <f t="shared" si="2"/>
        <v>28</v>
      </c>
      <c r="I331" s="57">
        <v>30</v>
      </c>
    </row>
    <row r="332" spans="1:9" ht="15">
      <c r="A332" s="59"/>
      <c r="B332" s="10" t="s">
        <v>789</v>
      </c>
      <c r="C332" s="10" t="s">
        <v>755</v>
      </c>
      <c r="D332" s="10"/>
      <c r="E332" s="10" t="s">
        <v>265</v>
      </c>
      <c r="F332" s="61"/>
      <c r="G332" s="13">
        <v>12.5</v>
      </c>
      <c r="H332" s="13">
        <f t="shared" si="2"/>
        <v>17.5</v>
      </c>
      <c r="I332" s="57">
        <v>25</v>
      </c>
    </row>
    <row r="333" spans="1:9" ht="15">
      <c r="A333" s="59"/>
      <c r="B333" s="10" t="s">
        <v>790</v>
      </c>
      <c r="C333" s="10" t="s">
        <v>791</v>
      </c>
      <c r="D333" s="10"/>
      <c r="E333" s="10" t="s">
        <v>265</v>
      </c>
      <c r="F333" s="58">
        <v>45834</v>
      </c>
      <c r="G333" s="13">
        <v>14.25</v>
      </c>
      <c r="H333" s="13">
        <f t="shared" si="2"/>
        <v>19.95</v>
      </c>
      <c r="I333" s="57">
        <v>25</v>
      </c>
    </row>
    <row r="334" spans="1:9" ht="15">
      <c r="A334" s="59"/>
      <c r="B334" s="10" t="s">
        <v>792</v>
      </c>
      <c r="C334" s="10" t="s">
        <v>755</v>
      </c>
      <c r="D334" s="10"/>
      <c r="E334" s="10" t="s">
        <v>265</v>
      </c>
      <c r="F334" s="56">
        <v>45837</v>
      </c>
      <c r="G334" s="13">
        <v>17.399999999999999</v>
      </c>
      <c r="H334" s="13">
        <f t="shared" si="2"/>
        <v>24.36</v>
      </c>
      <c r="I334" s="57">
        <v>30</v>
      </c>
    </row>
    <row r="335" spans="1:9" ht="15">
      <c r="A335" s="59"/>
      <c r="B335" s="10" t="s">
        <v>793</v>
      </c>
      <c r="C335" s="10" t="s">
        <v>755</v>
      </c>
      <c r="D335" s="10"/>
      <c r="E335" s="10" t="s">
        <v>265</v>
      </c>
      <c r="F335" s="58">
        <v>45867</v>
      </c>
      <c r="G335" s="13">
        <v>7.92</v>
      </c>
      <c r="H335" s="13">
        <f t="shared" si="2"/>
        <v>11.088000000000001</v>
      </c>
      <c r="I335" s="57">
        <v>10</v>
      </c>
    </row>
    <row r="336" spans="1:9" ht="24">
      <c r="A336" s="59"/>
      <c r="B336" s="10" t="s">
        <v>794</v>
      </c>
      <c r="C336" s="10" t="s">
        <v>795</v>
      </c>
      <c r="D336" s="10"/>
      <c r="E336" s="10" t="s">
        <v>735</v>
      </c>
      <c r="F336" s="56">
        <v>45867</v>
      </c>
      <c r="G336" s="13">
        <v>1500</v>
      </c>
      <c r="H336" s="13">
        <f t="shared" si="2"/>
        <v>2100</v>
      </c>
      <c r="I336" s="57">
        <v>2200</v>
      </c>
    </row>
    <row r="337" spans="1:9" ht="15">
      <c r="A337" s="59"/>
      <c r="B337" s="10" t="s">
        <v>534</v>
      </c>
      <c r="C337" s="10" t="s">
        <v>535</v>
      </c>
      <c r="D337" s="10"/>
      <c r="E337" s="10" t="s">
        <v>533</v>
      </c>
      <c r="F337" s="62"/>
      <c r="G337" s="13">
        <v>4.8600000000000003</v>
      </c>
      <c r="H337" s="13">
        <f t="shared" si="2"/>
        <v>6.8040000000000003</v>
      </c>
      <c r="I337" s="57">
        <v>10</v>
      </c>
    </row>
    <row r="338" spans="1:9" ht="15">
      <c r="A338" s="59"/>
      <c r="B338" s="10" t="s">
        <v>796</v>
      </c>
      <c r="C338" s="10" t="s">
        <v>531</v>
      </c>
      <c r="D338" s="10"/>
      <c r="E338" s="10" t="s">
        <v>536</v>
      </c>
      <c r="F338" s="56">
        <v>45866</v>
      </c>
      <c r="G338" s="13">
        <v>2.08</v>
      </c>
      <c r="H338" s="13">
        <f t="shared" si="2"/>
        <v>2.9119999999999999</v>
      </c>
      <c r="I338" s="57">
        <v>5</v>
      </c>
    </row>
    <row r="339" spans="1:9" ht="15">
      <c r="A339" s="59"/>
      <c r="B339" s="10" t="s">
        <v>797</v>
      </c>
      <c r="C339" s="10" t="s">
        <v>755</v>
      </c>
      <c r="D339" s="10"/>
      <c r="E339" s="10" t="s">
        <v>265</v>
      </c>
      <c r="F339" s="62"/>
      <c r="G339" s="13">
        <v>3.5</v>
      </c>
      <c r="H339" s="13">
        <f t="shared" si="2"/>
        <v>4.9000000000000004</v>
      </c>
      <c r="I339" s="57">
        <v>20</v>
      </c>
    </row>
    <row r="340" spans="1:9" ht="15">
      <c r="A340" s="59"/>
      <c r="B340" s="10" t="s">
        <v>798</v>
      </c>
      <c r="C340" s="10" t="s">
        <v>755</v>
      </c>
      <c r="D340" s="10"/>
      <c r="E340" s="10" t="s">
        <v>265</v>
      </c>
      <c r="F340" s="56">
        <v>45987</v>
      </c>
      <c r="G340" s="13">
        <v>3.5</v>
      </c>
      <c r="H340" s="13">
        <f t="shared" si="2"/>
        <v>4.9000000000000004</v>
      </c>
      <c r="I340" s="57">
        <v>20</v>
      </c>
    </row>
    <row r="341" spans="1:9" ht="15">
      <c r="A341" s="59"/>
      <c r="B341" s="10" t="s">
        <v>799</v>
      </c>
      <c r="C341" s="10" t="s">
        <v>755</v>
      </c>
      <c r="D341" s="10"/>
      <c r="E341" s="10" t="s">
        <v>265</v>
      </c>
      <c r="F341" s="58">
        <v>45834</v>
      </c>
      <c r="G341" s="13">
        <v>7</v>
      </c>
      <c r="H341" s="13">
        <f t="shared" si="2"/>
        <v>9.8000000000000007</v>
      </c>
      <c r="I341" s="57">
        <v>20</v>
      </c>
    </row>
    <row r="342" spans="1:9" ht="15">
      <c r="A342" s="59"/>
      <c r="B342" s="10" t="s">
        <v>800</v>
      </c>
      <c r="C342" s="10" t="s">
        <v>755</v>
      </c>
      <c r="D342" s="10"/>
      <c r="E342" s="10" t="s">
        <v>265</v>
      </c>
      <c r="F342" s="56">
        <v>45927</v>
      </c>
      <c r="G342" s="13">
        <v>3.5</v>
      </c>
      <c r="H342" s="13">
        <f t="shared" si="2"/>
        <v>4.9000000000000004</v>
      </c>
      <c r="I342" s="57">
        <v>20</v>
      </c>
    </row>
    <row r="343" spans="1:9" ht="15">
      <c r="A343" s="59"/>
      <c r="B343" s="10" t="s">
        <v>801</v>
      </c>
      <c r="C343" s="10" t="s">
        <v>755</v>
      </c>
      <c r="D343" s="10"/>
      <c r="E343" s="10" t="s">
        <v>265</v>
      </c>
      <c r="F343" s="58">
        <v>45864</v>
      </c>
      <c r="G343" s="13">
        <v>3.5</v>
      </c>
      <c r="H343" s="13">
        <f t="shared" si="2"/>
        <v>4.9000000000000004</v>
      </c>
      <c r="I343" s="57">
        <v>20</v>
      </c>
    </row>
    <row r="344" spans="1:9" ht="15">
      <c r="A344" s="59"/>
      <c r="B344" s="10" t="s">
        <v>802</v>
      </c>
      <c r="C344" s="10" t="s">
        <v>755</v>
      </c>
      <c r="D344" s="10"/>
      <c r="E344" s="10" t="s">
        <v>265</v>
      </c>
      <c r="F344" s="56">
        <v>45864</v>
      </c>
      <c r="G344" s="13">
        <v>2.5</v>
      </c>
      <c r="H344" s="13">
        <f t="shared" si="2"/>
        <v>3.5</v>
      </c>
      <c r="I344" s="57">
        <v>20</v>
      </c>
    </row>
    <row r="345" spans="1:9" ht="15">
      <c r="A345" s="59"/>
      <c r="B345" s="10" t="s">
        <v>803</v>
      </c>
      <c r="C345" s="10" t="s">
        <v>755</v>
      </c>
      <c r="D345" s="10"/>
      <c r="E345" s="10" t="s">
        <v>265</v>
      </c>
      <c r="F345" s="58">
        <v>45803</v>
      </c>
      <c r="G345" s="13">
        <v>8</v>
      </c>
      <c r="H345" s="13">
        <f t="shared" si="2"/>
        <v>11.2</v>
      </c>
      <c r="I345" s="57">
        <v>20</v>
      </c>
    </row>
    <row r="346" spans="1:9" ht="15">
      <c r="A346" s="59"/>
      <c r="B346" s="10" t="s">
        <v>804</v>
      </c>
      <c r="C346" s="10" t="s">
        <v>755</v>
      </c>
      <c r="D346" s="10"/>
      <c r="E346" s="10" t="s">
        <v>265</v>
      </c>
      <c r="F346" s="56">
        <v>46018</v>
      </c>
      <c r="G346" s="13">
        <v>8</v>
      </c>
      <c r="H346" s="13">
        <f t="shared" si="2"/>
        <v>11.2</v>
      </c>
      <c r="I346" s="57">
        <v>20</v>
      </c>
    </row>
    <row r="347" spans="1:9" ht="15">
      <c r="A347" s="59"/>
      <c r="B347" s="10" t="s">
        <v>805</v>
      </c>
      <c r="C347" s="10" t="s">
        <v>531</v>
      </c>
      <c r="D347" s="10"/>
      <c r="E347" s="10" t="s">
        <v>265</v>
      </c>
      <c r="F347" s="58">
        <v>45774</v>
      </c>
      <c r="G347" s="13">
        <v>46722</v>
      </c>
      <c r="H347" s="13">
        <f t="shared" si="2"/>
        <v>65410.8</v>
      </c>
      <c r="I347" s="57">
        <v>25</v>
      </c>
    </row>
    <row r="348" spans="1:9" ht="15">
      <c r="A348" s="59"/>
      <c r="B348" s="10" t="s">
        <v>806</v>
      </c>
      <c r="C348" s="10" t="s">
        <v>531</v>
      </c>
      <c r="D348" s="10"/>
      <c r="E348" s="10" t="s">
        <v>265</v>
      </c>
      <c r="F348" s="61" t="s">
        <v>37</v>
      </c>
      <c r="G348" s="13">
        <v>47119</v>
      </c>
      <c r="H348" s="13">
        <f t="shared" si="2"/>
        <v>65966.600000000006</v>
      </c>
      <c r="I348" s="57">
        <v>25</v>
      </c>
    </row>
    <row r="349" spans="1:9" ht="15">
      <c r="A349" s="59"/>
      <c r="B349" s="10" t="s">
        <v>807</v>
      </c>
      <c r="C349" s="10" t="s">
        <v>531</v>
      </c>
      <c r="D349" s="10"/>
      <c r="E349" s="10" t="s">
        <v>265</v>
      </c>
      <c r="F349" s="62" t="s">
        <v>37</v>
      </c>
      <c r="G349" s="13">
        <v>47119</v>
      </c>
      <c r="H349" s="13">
        <f t="shared" si="2"/>
        <v>65966.600000000006</v>
      </c>
      <c r="I349" s="57">
        <v>25</v>
      </c>
    </row>
    <row r="350" spans="1:9" ht="15">
      <c r="A350" s="59"/>
      <c r="B350" s="10" t="s">
        <v>808</v>
      </c>
      <c r="C350" s="10" t="s">
        <v>531</v>
      </c>
      <c r="D350" s="10"/>
      <c r="E350" s="10" t="s">
        <v>265</v>
      </c>
      <c r="F350" s="61" t="s">
        <v>37</v>
      </c>
      <c r="G350" s="13">
        <v>46327</v>
      </c>
      <c r="H350" s="13">
        <f t="shared" si="2"/>
        <v>64857.8</v>
      </c>
      <c r="I350" s="57">
        <v>25</v>
      </c>
    </row>
    <row r="351" spans="1:9" ht="15">
      <c r="A351" s="59"/>
      <c r="B351" s="10" t="s">
        <v>809</v>
      </c>
      <c r="C351" s="10" t="s">
        <v>531</v>
      </c>
      <c r="D351" s="10"/>
      <c r="E351" s="10" t="s">
        <v>265</v>
      </c>
      <c r="F351" s="62" t="s">
        <v>37</v>
      </c>
      <c r="G351" s="13">
        <v>46204</v>
      </c>
      <c r="H351" s="13">
        <f t="shared" si="2"/>
        <v>64685.600000000006</v>
      </c>
      <c r="I351" s="57">
        <v>25</v>
      </c>
    </row>
    <row r="352" spans="1:9" ht="15">
      <c r="A352" s="59"/>
      <c r="B352" s="10" t="s">
        <v>810</v>
      </c>
      <c r="C352" s="10" t="s">
        <v>531</v>
      </c>
      <c r="D352" s="10"/>
      <c r="E352" s="10" t="s">
        <v>265</v>
      </c>
      <c r="F352" s="61" t="s">
        <v>37</v>
      </c>
      <c r="G352" s="13">
        <v>46539</v>
      </c>
      <c r="H352" s="13">
        <f t="shared" si="2"/>
        <v>65154.600000000006</v>
      </c>
      <c r="I352" s="57">
        <v>25</v>
      </c>
    </row>
    <row r="353" spans="1:9" ht="15">
      <c r="A353" s="59"/>
      <c r="B353" s="10" t="s">
        <v>811</v>
      </c>
      <c r="C353" s="10" t="s">
        <v>781</v>
      </c>
      <c r="D353" s="10"/>
      <c r="E353" s="10" t="s">
        <v>265</v>
      </c>
      <c r="F353" s="62" t="s">
        <v>37</v>
      </c>
      <c r="G353" s="13">
        <v>1</v>
      </c>
      <c r="H353" s="13">
        <f t="shared" si="2"/>
        <v>1.4</v>
      </c>
      <c r="I353" s="57">
        <v>5</v>
      </c>
    </row>
    <row r="354" spans="1:9" ht="15">
      <c r="A354" s="59"/>
      <c r="B354" s="10" t="s">
        <v>812</v>
      </c>
      <c r="C354" s="10" t="s">
        <v>813</v>
      </c>
      <c r="D354" s="10"/>
      <c r="E354" s="10" t="s">
        <v>265</v>
      </c>
      <c r="F354" s="56">
        <v>45803</v>
      </c>
      <c r="G354" s="13">
        <v>110</v>
      </c>
      <c r="H354" s="13">
        <f t="shared" si="2"/>
        <v>154</v>
      </c>
      <c r="I354" s="57">
        <v>155</v>
      </c>
    </row>
    <row r="355" spans="1:9" ht="15">
      <c r="A355" s="59"/>
      <c r="B355" s="10" t="s">
        <v>814</v>
      </c>
      <c r="C355" s="10" t="s">
        <v>755</v>
      </c>
      <c r="D355" s="10"/>
      <c r="E355" s="10" t="s">
        <v>265</v>
      </c>
      <c r="F355" s="58">
        <v>45926</v>
      </c>
      <c r="G355" s="13">
        <v>70</v>
      </c>
      <c r="H355" s="13">
        <f t="shared" si="2"/>
        <v>98</v>
      </c>
      <c r="I355" s="57">
        <v>100</v>
      </c>
    </row>
    <row r="356" spans="1:9" ht="15">
      <c r="A356" s="59"/>
      <c r="B356" s="10" t="s">
        <v>815</v>
      </c>
      <c r="C356" s="10" t="s">
        <v>531</v>
      </c>
      <c r="D356" s="10"/>
      <c r="E356" s="10" t="s">
        <v>37</v>
      </c>
      <c r="F356" s="56">
        <v>45864</v>
      </c>
      <c r="G356" s="13">
        <v>35</v>
      </c>
      <c r="H356" s="13">
        <f t="shared" si="2"/>
        <v>49</v>
      </c>
      <c r="I356" s="57">
        <v>50</v>
      </c>
    </row>
    <row r="357" spans="1:9" ht="15">
      <c r="A357" s="59"/>
      <c r="B357" s="10" t="s">
        <v>816</v>
      </c>
      <c r="C357" s="10" t="s">
        <v>755</v>
      </c>
      <c r="D357" s="10"/>
      <c r="E357" s="10" t="s">
        <v>265</v>
      </c>
      <c r="F357" s="58">
        <v>45775</v>
      </c>
      <c r="G357" s="13">
        <v>65</v>
      </c>
      <c r="H357" s="13">
        <f t="shared" si="2"/>
        <v>91</v>
      </c>
      <c r="I357" s="57">
        <v>109.76</v>
      </c>
    </row>
    <row r="358" spans="1:9" ht="15">
      <c r="A358" s="59"/>
      <c r="B358" s="10" t="s">
        <v>817</v>
      </c>
      <c r="C358" s="10" t="s">
        <v>818</v>
      </c>
      <c r="D358" s="10"/>
      <c r="E358" s="10" t="s">
        <v>265</v>
      </c>
      <c r="F358" s="56">
        <v>45742</v>
      </c>
      <c r="G358" s="13">
        <v>275.06</v>
      </c>
      <c r="H358" s="13">
        <f t="shared" si="2"/>
        <v>385.084</v>
      </c>
      <c r="I358" s="57">
        <v>109.94</v>
      </c>
    </row>
    <row r="359" spans="1:9" ht="15">
      <c r="A359" s="59"/>
      <c r="B359" s="10" t="s">
        <v>819</v>
      </c>
      <c r="C359" s="10" t="s">
        <v>755</v>
      </c>
      <c r="D359" s="10"/>
      <c r="E359" s="10" t="s">
        <v>265</v>
      </c>
      <c r="F359" s="58">
        <v>45988</v>
      </c>
      <c r="G359" s="13">
        <v>128.58000000000001</v>
      </c>
      <c r="H359" s="13">
        <f t="shared" si="2"/>
        <v>180.01200000000003</v>
      </c>
      <c r="I359" s="57">
        <v>94.7</v>
      </c>
    </row>
    <row r="360" spans="1:9" ht="15">
      <c r="A360" s="59"/>
      <c r="B360" s="10" t="s">
        <v>820</v>
      </c>
      <c r="C360" s="10" t="s">
        <v>755</v>
      </c>
      <c r="D360" s="10"/>
      <c r="E360" s="10" t="s">
        <v>265</v>
      </c>
      <c r="F360" s="56">
        <v>45956</v>
      </c>
      <c r="G360" s="13">
        <v>15.75</v>
      </c>
      <c r="H360" s="13">
        <f t="shared" si="2"/>
        <v>22.05</v>
      </c>
      <c r="I360" s="57">
        <v>25</v>
      </c>
    </row>
    <row r="361" spans="1:9" ht="15">
      <c r="A361" s="59"/>
      <c r="B361" s="10" t="s">
        <v>821</v>
      </c>
      <c r="C361" s="10" t="s">
        <v>755</v>
      </c>
      <c r="D361" s="10"/>
      <c r="E361" s="10" t="s">
        <v>265</v>
      </c>
      <c r="F361" s="58">
        <v>45773</v>
      </c>
      <c r="G361" s="13">
        <v>15</v>
      </c>
      <c r="H361" s="13">
        <f t="shared" si="2"/>
        <v>21</v>
      </c>
      <c r="I361" s="57">
        <v>242.03</v>
      </c>
    </row>
    <row r="362" spans="1:9" ht="15">
      <c r="A362" s="59"/>
      <c r="B362" s="10" t="s">
        <v>822</v>
      </c>
      <c r="C362" s="10" t="s">
        <v>755</v>
      </c>
      <c r="D362" s="10"/>
      <c r="E362" s="10" t="s">
        <v>265</v>
      </c>
      <c r="F362" s="56">
        <v>45683</v>
      </c>
      <c r="G362" s="13">
        <v>52.5</v>
      </c>
      <c r="H362" s="13">
        <f t="shared" si="2"/>
        <v>73.5</v>
      </c>
      <c r="I362" s="57">
        <v>159.66</v>
      </c>
    </row>
    <row r="363" spans="1:9" ht="15">
      <c r="A363" s="59"/>
      <c r="B363" s="10" t="s">
        <v>823</v>
      </c>
      <c r="C363" s="10" t="s">
        <v>755</v>
      </c>
      <c r="D363" s="10"/>
      <c r="E363" s="10" t="s">
        <v>265</v>
      </c>
      <c r="F363" s="58">
        <v>45686</v>
      </c>
      <c r="G363" s="13">
        <v>75</v>
      </c>
      <c r="H363" s="13">
        <f t="shared" si="2"/>
        <v>105</v>
      </c>
      <c r="I363" s="57">
        <v>110.11</v>
      </c>
    </row>
    <row r="364" spans="1:9" ht="15">
      <c r="A364" s="59"/>
      <c r="B364" s="10" t="s">
        <v>824</v>
      </c>
      <c r="C364" s="10" t="s">
        <v>755</v>
      </c>
      <c r="D364" s="10"/>
      <c r="E364" s="10" t="s">
        <v>265</v>
      </c>
      <c r="F364" s="56">
        <v>45835</v>
      </c>
      <c r="G364" s="13">
        <v>86.5</v>
      </c>
      <c r="H364" s="13">
        <f t="shared" si="2"/>
        <v>121.1</v>
      </c>
      <c r="I364" s="57">
        <v>271.39999999999998</v>
      </c>
    </row>
    <row r="365" spans="1:9" ht="15">
      <c r="A365" s="59"/>
      <c r="B365" s="10" t="s">
        <v>825</v>
      </c>
      <c r="C365" s="10" t="s">
        <v>755</v>
      </c>
      <c r="D365" s="10"/>
      <c r="E365" s="10" t="s">
        <v>265</v>
      </c>
      <c r="F365" s="58">
        <v>45713</v>
      </c>
      <c r="G365" s="13">
        <v>135</v>
      </c>
      <c r="H365" s="13">
        <f t="shared" si="2"/>
        <v>189</v>
      </c>
      <c r="I365" s="57">
        <v>87.5</v>
      </c>
    </row>
    <row r="366" spans="1:9" ht="15">
      <c r="A366" s="59"/>
      <c r="B366" s="10" t="s">
        <v>826</v>
      </c>
      <c r="C366" s="10" t="s">
        <v>531</v>
      </c>
      <c r="D366" s="10"/>
      <c r="E366" s="10" t="s">
        <v>265</v>
      </c>
      <c r="F366" s="56">
        <v>45958</v>
      </c>
      <c r="G366" s="13">
        <v>10</v>
      </c>
      <c r="H366" s="13">
        <f t="shared" si="2"/>
        <v>14</v>
      </c>
      <c r="I366" s="57">
        <v>25</v>
      </c>
    </row>
    <row r="367" spans="1:9" ht="15">
      <c r="A367" s="59"/>
      <c r="B367" s="64" t="s">
        <v>827</v>
      </c>
      <c r="C367" s="64" t="s">
        <v>707</v>
      </c>
      <c r="D367" s="64"/>
      <c r="E367" s="64" t="s">
        <v>265</v>
      </c>
      <c r="F367" s="65" t="s">
        <v>828</v>
      </c>
      <c r="G367" s="66" t="s">
        <v>829</v>
      </c>
      <c r="H367" s="66" t="e">
        <f t="shared" si="2"/>
        <v>#VALUE!</v>
      </c>
      <c r="I367" s="66" t="s">
        <v>830</v>
      </c>
    </row>
    <row r="368" spans="1:9" ht="12.75">
      <c r="A368" s="59"/>
      <c r="B368" s="59"/>
      <c r="C368" s="59"/>
      <c r="D368" s="59"/>
      <c r="E368" s="67"/>
      <c r="F368" s="68"/>
      <c r="G368" s="68"/>
      <c r="H368" s="68"/>
    </row>
    <row r="369" spans="1:8" ht="12.75">
      <c r="A369" s="59"/>
      <c r="B369" s="59"/>
      <c r="C369" s="59"/>
      <c r="D369" s="59"/>
      <c r="E369" s="67"/>
      <c r="F369" s="68"/>
      <c r="G369" s="68"/>
      <c r="H369" s="68"/>
    </row>
    <row r="370" spans="1:8" ht="12.75">
      <c r="A370" s="59"/>
      <c r="B370" s="59"/>
      <c r="C370" s="59"/>
      <c r="D370" s="59"/>
      <c r="E370" s="67"/>
      <c r="F370" s="68"/>
      <c r="G370" s="68"/>
      <c r="H370" s="68"/>
    </row>
    <row r="371" spans="1:8" ht="12.75">
      <c r="A371" s="59"/>
      <c r="B371" s="59"/>
      <c r="C371" s="59"/>
      <c r="D371" s="59"/>
      <c r="E371" s="67"/>
      <c r="F371" s="68"/>
      <c r="G371" s="68"/>
      <c r="H371" s="68"/>
    </row>
    <row r="372" spans="1:8" ht="12.75">
      <c r="A372" s="59"/>
      <c r="B372" s="59"/>
      <c r="C372" s="59"/>
      <c r="D372" s="59"/>
      <c r="E372" s="67"/>
      <c r="F372" s="68"/>
      <c r="G372" s="68"/>
      <c r="H372" s="68"/>
    </row>
    <row r="373" spans="1:8" ht="12.75">
      <c r="A373" s="59"/>
      <c r="B373" s="59"/>
      <c r="C373" s="59"/>
      <c r="D373" s="59"/>
      <c r="E373" s="67"/>
      <c r="F373" s="68"/>
      <c r="G373" s="68"/>
      <c r="H373" s="68"/>
    </row>
    <row r="374" spans="1:8" ht="12.75">
      <c r="A374" s="59"/>
      <c r="B374" s="59"/>
      <c r="C374" s="59"/>
      <c r="D374" s="59"/>
      <c r="E374" s="67"/>
      <c r="F374" s="68"/>
      <c r="G374" s="68"/>
      <c r="H374" s="68"/>
    </row>
    <row r="375" spans="1:8" ht="12.75">
      <c r="A375" s="59"/>
      <c r="B375" s="59"/>
      <c r="C375" s="59"/>
      <c r="D375" s="59"/>
      <c r="E375" s="67"/>
      <c r="F375" s="68"/>
      <c r="G375" s="68"/>
      <c r="H375" s="68"/>
    </row>
    <row r="376" spans="1:8" ht="12.75">
      <c r="A376" s="59"/>
      <c r="B376" s="59"/>
      <c r="C376" s="59"/>
      <c r="D376" s="59"/>
      <c r="E376" s="67"/>
      <c r="F376" s="68"/>
      <c r="G376" s="68"/>
      <c r="H376" s="68"/>
    </row>
    <row r="377" spans="1:8" ht="12.75">
      <c r="A377" s="59"/>
      <c r="B377" s="59"/>
      <c r="C377" s="59"/>
      <c r="D377" s="59"/>
      <c r="E377" s="67"/>
      <c r="F377" s="68"/>
      <c r="G377" s="68"/>
      <c r="H377" s="68"/>
    </row>
    <row r="378" spans="1:8" ht="12.75">
      <c r="A378" s="59"/>
      <c r="B378" s="59"/>
      <c r="C378" s="59"/>
      <c r="D378" s="59"/>
      <c r="E378" s="67"/>
      <c r="F378" s="68"/>
      <c r="G378" s="68"/>
      <c r="H378" s="68"/>
    </row>
    <row r="379" spans="1:8" ht="12.75">
      <c r="A379" s="59"/>
      <c r="B379" s="59"/>
      <c r="C379" s="59"/>
      <c r="D379" s="59"/>
      <c r="E379" s="67"/>
      <c r="F379" s="68"/>
      <c r="G379" s="68"/>
      <c r="H379" s="68"/>
    </row>
    <row r="380" spans="1:8" ht="12.75">
      <c r="A380" s="59"/>
      <c r="B380" s="59"/>
      <c r="C380" s="59"/>
      <c r="D380" s="59"/>
      <c r="E380" s="67"/>
      <c r="F380" s="68"/>
      <c r="G380" s="68"/>
      <c r="H380" s="68"/>
    </row>
    <row r="381" spans="1:8" ht="12.75">
      <c r="A381" s="59"/>
      <c r="B381" s="59"/>
      <c r="C381" s="59"/>
      <c r="D381" s="59"/>
      <c r="E381" s="67"/>
      <c r="F381" s="68"/>
      <c r="G381" s="68"/>
      <c r="H381" s="68"/>
    </row>
    <row r="382" spans="1:8" ht="12.75">
      <c r="A382" s="59"/>
      <c r="B382" s="59"/>
      <c r="C382" s="59"/>
      <c r="D382" s="59"/>
      <c r="E382" s="67"/>
      <c r="F382" s="68"/>
      <c r="G382" s="68"/>
      <c r="H382" s="68"/>
    </row>
    <row r="383" spans="1:8" ht="12.75">
      <c r="A383" s="59"/>
      <c r="B383" s="59"/>
      <c r="C383" s="59"/>
      <c r="D383" s="59"/>
      <c r="E383" s="67"/>
      <c r="F383" s="68"/>
      <c r="G383" s="68"/>
      <c r="H383" s="68"/>
    </row>
    <row r="384" spans="1:8" ht="12.75">
      <c r="A384" s="59"/>
      <c r="B384" s="59"/>
      <c r="C384" s="59"/>
      <c r="D384" s="59"/>
      <c r="E384" s="67"/>
      <c r="F384" s="68"/>
      <c r="G384" s="68"/>
      <c r="H384" s="68"/>
    </row>
    <row r="385" spans="1:8" ht="12.75">
      <c r="A385" s="59"/>
      <c r="B385" s="59"/>
      <c r="C385" s="59"/>
      <c r="D385" s="59"/>
      <c r="E385" s="67"/>
      <c r="F385" s="68"/>
      <c r="G385" s="68"/>
      <c r="H385" s="68"/>
    </row>
    <row r="386" spans="1:8" ht="12.75">
      <c r="A386" s="59"/>
      <c r="B386" s="59"/>
      <c r="C386" s="59"/>
      <c r="D386" s="59"/>
      <c r="E386" s="67"/>
      <c r="F386" s="68"/>
      <c r="G386" s="68"/>
      <c r="H386" s="68"/>
    </row>
    <row r="387" spans="1:8" ht="12.75">
      <c r="A387" s="59"/>
      <c r="B387" s="59"/>
      <c r="C387" s="59"/>
      <c r="D387" s="59"/>
      <c r="E387" s="67"/>
      <c r="F387" s="68"/>
      <c r="G387" s="68"/>
      <c r="H387" s="68"/>
    </row>
    <row r="388" spans="1:8" ht="12.75">
      <c r="A388" s="59"/>
      <c r="B388" s="59"/>
      <c r="C388" s="59"/>
      <c r="D388" s="59"/>
      <c r="E388" s="67"/>
      <c r="F388" s="68"/>
      <c r="G388" s="68"/>
      <c r="H388" s="68"/>
    </row>
    <row r="389" spans="1:8" ht="12.75">
      <c r="A389" s="59"/>
      <c r="B389" s="59"/>
      <c r="C389" s="59"/>
      <c r="D389" s="59"/>
      <c r="E389" s="67"/>
      <c r="F389" s="68"/>
      <c r="G389" s="68"/>
      <c r="H389" s="68"/>
    </row>
    <row r="390" spans="1:8" ht="12.75">
      <c r="A390" s="59"/>
      <c r="B390" s="59"/>
      <c r="C390" s="59"/>
      <c r="D390" s="59"/>
      <c r="E390" s="67"/>
      <c r="F390" s="68"/>
      <c r="G390" s="68"/>
      <c r="H390" s="68"/>
    </row>
    <row r="391" spans="1:8" ht="12.75">
      <c r="A391" s="59"/>
      <c r="B391" s="59"/>
      <c r="C391" s="59"/>
      <c r="D391" s="59"/>
      <c r="E391" s="67"/>
      <c r="F391" s="68"/>
      <c r="G391" s="68"/>
      <c r="H391" s="68"/>
    </row>
    <row r="392" spans="1:8" ht="12.75">
      <c r="A392" s="59"/>
      <c r="B392" s="59"/>
      <c r="C392" s="59"/>
      <c r="D392" s="59"/>
      <c r="E392" s="67"/>
      <c r="F392" s="68"/>
      <c r="G392" s="68"/>
      <c r="H392" s="68"/>
    </row>
    <row r="393" spans="1:8" ht="12.75">
      <c r="A393" s="59"/>
      <c r="B393" s="59"/>
      <c r="C393" s="59"/>
      <c r="D393" s="59"/>
      <c r="E393" s="67"/>
      <c r="F393" s="68"/>
      <c r="G393" s="68"/>
      <c r="H393" s="68"/>
    </row>
    <row r="394" spans="1:8" ht="12.75">
      <c r="A394" s="59"/>
      <c r="B394" s="59"/>
      <c r="C394" s="59"/>
      <c r="D394" s="59"/>
      <c r="E394" s="67"/>
      <c r="F394" s="68"/>
      <c r="G394" s="68"/>
      <c r="H394" s="68"/>
    </row>
    <row r="395" spans="1:8" ht="12.75">
      <c r="A395" s="59"/>
      <c r="B395" s="59"/>
      <c r="C395" s="59"/>
      <c r="D395" s="59"/>
      <c r="E395" s="67"/>
      <c r="F395" s="68"/>
      <c r="G395" s="68"/>
      <c r="H395" s="68"/>
    </row>
    <row r="396" spans="1:8" ht="12.75">
      <c r="A396" s="59"/>
      <c r="B396" s="59"/>
      <c r="C396" s="59"/>
      <c r="D396" s="59"/>
      <c r="E396" s="67"/>
      <c r="F396" s="68"/>
      <c r="G396" s="68"/>
      <c r="H396" s="68"/>
    </row>
    <row r="397" spans="1:8" ht="12.75">
      <c r="A397" s="59"/>
      <c r="B397" s="59"/>
      <c r="C397" s="59"/>
      <c r="D397" s="59"/>
      <c r="E397" s="67"/>
      <c r="F397" s="68"/>
      <c r="G397" s="68"/>
      <c r="H397" s="68"/>
    </row>
    <row r="398" spans="1:8" ht="12.75">
      <c r="A398" s="59"/>
      <c r="B398" s="59"/>
      <c r="C398" s="59"/>
      <c r="D398" s="59"/>
      <c r="E398" s="67"/>
      <c r="F398" s="68"/>
      <c r="G398" s="68"/>
      <c r="H398" s="68"/>
    </row>
    <row r="399" spans="1:8" ht="12.75">
      <c r="A399" s="59"/>
      <c r="B399" s="59"/>
      <c r="C399" s="59"/>
      <c r="D399" s="59"/>
      <c r="E399" s="67"/>
      <c r="F399" s="68"/>
      <c r="G399" s="68"/>
      <c r="H399" s="68"/>
    </row>
    <row r="400" spans="1:8" ht="12.75">
      <c r="A400" s="59"/>
      <c r="B400" s="59"/>
      <c r="C400" s="59"/>
      <c r="D400" s="59"/>
      <c r="E400" s="67"/>
      <c r="F400" s="68"/>
      <c r="G400" s="68"/>
      <c r="H400" s="68"/>
    </row>
    <row r="401" spans="1:8" ht="12.75">
      <c r="A401" s="59"/>
      <c r="B401" s="59"/>
      <c r="C401" s="59"/>
      <c r="D401" s="59"/>
      <c r="E401" s="67"/>
      <c r="F401" s="68"/>
      <c r="G401" s="68"/>
      <c r="H401" s="68"/>
    </row>
    <row r="402" spans="1:8" ht="12.75">
      <c r="A402" s="59"/>
      <c r="B402" s="59"/>
      <c r="C402" s="59"/>
      <c r="D402" s="59"/>
      <c r="E402" s="67"/>
      <c r="F402" s="68"/>
      <c r="G402" s="68"/>
      <c r="H402" s="68"/>
    </row>
    <row r="403" spans="1:8" ht="12.75">
      <c r="A403" s="59"/>
      <c r="B403" s="59"/>
      <c r="C403" s="59"/>
      <c r="D403" s="59"/>
      <c r="E403" s="67"/>
      <c r="F403" s="68"/>
      <c r="G403" s="68"/>
      <c r="H403" s="68"/>
    </row>
    <row r="404" spans="1:8" ht="12.75">
      <c r="A404" s="59"/>
      <c r="B404" s="59"/>
      <c r="C404" s="59"/>
      <c r="D404" s="59"/>
      <c r="E404" s="67"/>
      <c r="F404" s="68"/>
      <c r="G404" s="68"/>
      <c r="H404" s="68"/>
    </row>
    <row r="405" spans="1:8" ht="12.75">
      <c r="A405" s="59"/>
      <c r="B405" s="59"/>
      <c r="C405" s="59"/>
      <c r="D405" s="59"/>
      <c r="E405" s="67"/>
      <c r="F405" s="68"/>
      <c r="G405" s="68"/>
      <c r="H405" s="68"/>
    </row>
    <row r="406" spans="1:8" ht="12.75">
      <c r="A406" s="59"/>
      <c r="B406" s="59"/>
      <c r="C406" s="59"/>
      <c r="D406" s="59"/>
      <c r="E406" s="67"/>
      <c r="F406" s="68"/>
      <c r="G406" s="68"/>
      <c r="H406" s="68"/>
    </row>
    <row r="407" spans="1:8" ht="12.75">
      <c r="A407" s="59"/>
      <c r="B407" s="59"/>
      <c r="C407" s="59"/>
      <c r="D407" s="59"/>
      <c r="E407" s="67"/>
      <c r="F407" s="68"/>
      <c r="G407" s="68"/>
      <c r="H407" s="68"/>
    </row>
    <row r="408" spans="1:8" ht="12.75">
      <c r="A408" s="59"/>
      <c r="B408" s="59"/>
      <c r="C408" s="59"/>
      <c r="D408" s="59"/>
      <c r="E408" s="67"/>
      <c r="F408" s="68"/>
      <c r="G408" s="68"/>
      <c r="H408" s="68"/>
    </row>
    <row r="409" spans="1:8" ht="12.75">
      <c r="A409" s="59"/>
      <c r="B409" s="59"/>
      <c r="C409" s="59"/>
      <c r="D409" s="59"/>
      <c r="E409" s="67"/>
      <c r="F409" s="68"/>
      <c r="G409" s="68"/>
      <c r="H409" s="68"/>
    </row>
    <row r="410" spans="1:8" ht="12.75">
      <c r="A410" s="59"/>
      <c r="B410" s="59"/>
      <c r="C410" s="59"/>
      <c r="D410" s="59"/>
      <c r="E410" s="67"/>
      <c r="F410" s="68"/>
      <c r="G410" s="68"/>
      <c r="H410" s="68"/>
    </row>
    <row r="411" spans="1:8" ht="12.75">
      <c r="A411" s="59"/>
      <c r="B411" s="59"/>
      <c r="C411" s="59"/>
      <c r="D411" s="59"/>
      <c r="E411" s="67"/>
      <c r="F411" s="68"/>
      <c r="G411" s="68"/>
      <c r="H411" s="68"/>
    </row>
    <row r="412" spans="1:8" ht="12.75">
      <c r="A412" s="59"/>
      <c r="B412" s="59"/>
      <c r="C412" s="59"/>
      <c r="D412" s="59"/>
      <c r="E412" s="67"/>
      <c r="F412" s="68"/>
      <c r="G412" s="68"/>
      <c r="H412" s="68"/>
    </row>
    <row r="413" spans="1:8" ht="12.75">
      <c r="A413" s="59"/>
      <c r="B413" s="59"/>
      <c r="C413" s="59"/>
      <c r="D413" s="59"/>
      <c r="E413" s="67"/>
      <c r="F413" s="68"/>
      <c r="G413" s="68"/>
      <c r="H413" s="68"/>
    </row>
    <row r="414" spans="1:8" ht="12.75">
      <c r="A414" s="59"/>
      <c r="B414" s="59"/>
      <c r="C414" s="59"/>
      <c r="D414" s="59"/>
      <c r="E414" s="67"/>
      <c r="F414" s="68"/>
      <c r="G414" s="68"/>
      <c r="H414" s="68"/>
    </row>
    <row r="415" spans="1:8" ht="12.75">
      <c r="A415" s="59"/>
      <c r="B415" s="59"/>
      <c r="C415" s="59"/>
      <c r="D415" s="59"/>
      <c r="E415" s="67"/>
      <c r="F415" s="68"/>
      <c r="G415" s="68"/>
      <c r="H415" s="68"/>
    </row>
    <row r="416" spans="1:8" ht="12.75">
      <c r="A416" s="59"/>
      <c r="B416" s="59"/>
      <c r="C416" s="59"/>
      <c r="D416" s="59"/>
      <c r="E416" s="67"/>
      <c r="F416" s="68"/>
      <c r="G416" s="68"/>
      <c r="H416" s="68"/>
    </row>
    <row r="417" spans="1:8" ht="12.75">
      <c r="A417" s="59"/>
      <c r="B417" s="59"/>
      <c r="C417" s="59"/>
      <c r="D417" s="59"/>
      <c r="E417" s="67"/>
      <c r="F417" s="68"/>
      <c r="G417" s="68"/>
      <c r="H417" s="68"/>
    </row>
    <row r="418" spans="1:8" ht="12.75">
      <c r="A418" s="59"/>
      <c r="B418" s="59"/>
      <c r="C418" s="59"/>
      <c r="D418" s="59"/>
      <c r="E418" s="67"/>
      <c r="F418" s="68"/>
      <c r="G418" s="68"/>
      <c r="H418" s="68"/>
    </row>
    <row r="419" spans="1:8" ht="12.75">
      <c r="A419" s="59"/>
      <c r="B419" s="59"/>
      <c r="C419" s="59"/>
      <c r="D419" s="59"/>
      <c r="E419" s="67"/>
      <c r="F419" s="68"/>
      <c r="G419" s="68"/>
      <c r="H419" s="68"/>
    </row>
    <row r="420" spans="1:8" ht="12.75">
      <c r="A420" s="59"/>
      <c r="B420" s="59"/>
      <c r="C420" s="59"/>
      <c r="D420" s="59"/>
      <c r="E420" s="67"/>
      <c r="F420" s="68"/>
      <c r="G420" s="68"/>
      <c r="H420" s="68"/>
    </row>
    <row r="421" spans="1:8" ht="12.75">
      <c r="A421" s="59"/>
      <c r="B421" s="59"/>
      <c r="C421" s="59"/>
      <c r="D421" s="59"/>
      <c r="E421" s="67"/>
      <c r="F421" s="68"/>
      <c r="G421" s="68"/>
      <c r="H421" s="68"/>
    </row>
    <row r="422" spans="1:8" ht="12.75">
      <c r="A422" s="59"/>
      <c r="B422" s="59"/>
      <c r="C422" s="59"/>
      <c r="D422" s="59"/>
      <c r="E422" s="67"/>
      <c r="F422" s="68"/>
      <c r="G422" s="68"/>
      <c r="H422" s="68"/>
    </row>
    <row r="423" spans="1:8" ht="12.75">
      <c r="A423" s="59"/>
      <c r="B423" s="59"/>
      <c r="C423" s="59"/>
      <c r="D423" s="59"/>
      <c r="E423" s="67"/>
      <c r="F423" s="68"/>
      <c r="G423" s="68"/>
      <c r="H423" s="68"/>
    </row>
    <row r="424" spans="1:8" ht="12.75">
      <c r="A424" s="59"/>
      <c r="B424" s="59"/>
      <c r="C424" s="59"/>
      <c r="D424" s="59"/>
      <c r="E424" s="67"/>
      <c r="F424" s="68"/>
      <c r="G424" s="68"/>
      <c r="H424" s="68"/>
    </row>
    <row r="425" spans="1:8" ht="12.75">
      <c r="A425" s="59"/>
      <c r="B425" s="59"/>
      <c r="C425" s="59"/>
      <c r="D425" s="59"/>
      <c r="E425" s="67"/>
      <c r="F425" s="68"/>
      <c r="G425" s="68"/>
      <c r="H425" s="68"/>
    </row>
    <row r="426" spans="1:8" ht="12.75">
      <c r="A426" s="59"/>
      <c r="B426" s="59"/>
      <c r="C426" s="59"/>
      <c r="D426" s="59"/>
      <c r="E426" s="67"/>
      <c r="F426" s="68"/>
      <c r="G426" s="68"/>
      <c r="H426" s="68"/>
    </row>
    <row r="427" spans="1:8" ht="12.75">
      <c r="A427" s="59"/>
      <c r="B427" s="59"/>
      <c r="C427" s="59"/>
      <c r="D427" s="59"/>
      <c r="E427" s="67"/>
      <c r="F427" s="68"/>
      <c r="G427" s="68"/>
      <c r="H427" s="68"/>
    </row>
    <row r="428" spans="1:8" ht="12.75">
      <c r="A428" s="59"/>
      <c r="B428" s="59"/>
      <c r="C428" s="59"/>
      <c r="D428" s="59"/>
      <c r="E428" s="67"/>
      <c r="F428" s="68"/>
      <c r="G428" s="68"/>
      <c r="H428" s="68"/>
    </row>
    <row r="429" spans="1:8" ht="12.75">
      <c r="A429" s="59"/>
      <c r="B429" s="59"/>
      <c r="C429" s="59"/>
      <c r="D429" s="59"/>
      <c r="E429" s="67"/>
      <c r="F429" s="68"/>
      <c r="G429" s="68"/>
      <c r="H429" s="68"/>
    </row>
    <row r="430" spans="1:8" ht="12.75">
      <c r="A430" s="59"/>
      <c r="B430" s="59"/>
      <c r="C430" s="59"/>
      <c r="D430" s="59"/>
      <c r="E430" s="67"/>
      <c r="F430" s="68"/>
      <c r="G430" s="68"/>
      <c r="H430" s="68"/>
    </row>
    <row r="431" spans="1:8" ht="12.75">
      <c r="A431" s="59"/>
      <c r="B431" s="59"/>
      <c r="C431" s="59"/>
      <c r="D431" s="59"/>
      <c r="E431" s="67"/>
      <c r="F431" s="68"/>
      <c r="G431" s="68"/>
      <c r="H431" s="68"/>
    </row>
    <row r="432" spans="1:8" ht="12.75">
      <c r="A432" s="59"/>
      <c r="B432" s="59"/>
      <c r="C432" s="59"/>
      <c r="D432" s="59"/>
      <c r="E432" s="67"/>
      <c r="F432" s="68"/>
      <c r="G432" s="68"/>
      <c r="H432" s="68"/>
    </row>
    <row r="433" spans="1:8" ht="12.75">
      <c r="A433" s="59"/>
      <c r="B433" s="59"/>
      <c r="C433" s="59"/>
      <c r="D433" s="59"/>
      <c r="E433" s="67"/>
      <c r="F433" s="68"/>
      <c r="G433" s="68"/>
      <c r="H433" s="68"/>
    </row>
    <row r="434" spans="1:8" ht="12.75">
      <c r="A434" s="59"/>
      <c r="B434" s="59"/>
      <c r="C434" s="59"/>
      <c r="D434" s="59"/>
      <c r="E434" s="67"/>
      <c r="F434" s="68"/>
      <c r="G434" s="68"/>
      <c r="H434" s="68"/>
    </row>
    <row r="435" spans="1:8" ht="12.75">
      <c r="A435" s="59"/>
      <c r="B435" s="59"/>
      <c r="C435" s="59"/>
      <c r="D435" s="59"/>
      <c r="E435" s="67"/>
      <c r="F435" s="68"/>
      <c r="G435" s="68"/>
      <c r="H435" s="68"/>
    </row>
    <row r="436" spans="1:8" ht="12.75">
      <c r="A436" s="59"/>
      <c r="B436" s="59"/>
      <c r="C436" s="59"/>
      <c r="D436" s="59"/>
      <c r="E436" s="67"/>
      <c r="F436" s="68"/>
      <c r="G436" s="68"/>
      <c r="H436" s="68"/>
    </row>
    <row r="437" spans="1:8" ht="12.75">
      <c r="A437" s="59"/>
      <c r="B437" s="59"/>
      <c r="C437" s="59"/>
      <c r="D437" s="59"/>
      <c r="E437" s="67"/>
      <c r="F437" s="68"/>
      <c r="G437" s="68"/>
      <c r="H437" s="68"/>
    </row>
    <row r="438" spans="1:8" ht="12.75">
      <c r="A438" s="59"/>
      <c r="B438" s="59"/>
      <c r="C438" s="59"/>
      <c r="D438" s="59"/>
      <c r="E438" s="67"/>
      <c r="F438" s="68"/>
      <c r="G438" s="68"/>
      <c r="H438" s="68"/>
    </row>
    <row r="439" spans="1:8" ht="12.75">
      <c r="A439" s="59"/>
      <c r="B439" s="59"/>
      <c r="C439" s="59"/>
      <c r="D439" s="59"/>
      <c r="E439" s="67"/>
      <c r="F439" s="68"/>
      <c r="G439" s="68"/>
      <c r="H439" s="68"/>
    </row>
    <row r="440" spans="1:8" ht="12.75">
      <c r="A440" s="59"/>
      <c r="B440" s="59"/>
      <c r="C440" s="59"/>
      <c r="D440" s="59"/>
      <c r="E440" s="67"/>
      <c r="F440" s="68"/>
      <c r="G440" s="68"/>
      <c r="H440" s="68"/>
    </row>
    <row r="441" spans="1:8" ht="12.75">
      <c r="A441" s="59"/>
      <c r="B441" s="59"/>
      <c r="C441" s="59"/>
      <c r="D441" s="59"/>
      <c r="E441" s="67"/>
      <c r="F441" s="68"/>
      <c r="G441" s="68"/>
      <c r="H441" s="68"/>
    </row>
    <row r="442" spans="1:8" ht="12.75">
      <c r="A442" s="59"/>
      <c r="B442" s="59"/>
      <c r="C442" s="59"/>
      <c r="D442" s="59"/>
      <c r="E442" s="67"/>
      <c r="F442" s="68"/>
      <c r="G442" s="68"/>
      <c r="H442" s="68"/>
    </row>
    <row r="443" spans="1:8" ht="12.75">
      <c r="A443" s="59"/>
      <c r="B443" s="59"/>
      <c r="C443" s="59"/>
      <c r="D443" s="59"/>
      <c r="E443" s="67"/>
      <c r="F443" s="68"/>
      <c r="G443" s="68"/>
      <c r="H443" s="68"/>
    </row>
    <row r="444" spans="1:8" ht="12.75">
      <c r="A444" s="59"/>
      <c r="B444" s="59"/>
      <c r="C444" s="59"/>
      <c r="D444" s="59"/>
      <c r="E444" s="67"/>
      <c r="F444" s="68"/>
      <c r="G444" s="68"/>
      <c r="H444" s="68"/>
    </row>
    <row r="445" spans="1:8" ht="12.75">
      <c r="A445" s="59"/>
      <c r="B445" s="59"/>
      <c r="C445" s="59"/>
      <c r="D445" s="59"/>
      <c r="E445" s="67"/>
      <c r="F445" s="68"/>
      <c r="G445" s="68"/>
      <c r="H445" s="68"/>
    </row>
    <row r="446" spans="1:8" ht="12.75">
      <c r="A446" s="59"/>
      <c r="B446" s="59"/>
      <c r="C446" s="59"/>
      <c r="D446" s="59"/>
      <c r="E446" s="67"/>
      <c r="F446" s="68"/>
      <c r="G446" s="68"/>
      <c r="H446" s="68"/>
    </row>
    <row r="447" spans="1:8" ht="12.75">
      <c r="A447" s="59"/>
      <c r="B447" s="59"/>
      <c r="C447" s="59"/>
      <c r="D447" s="59"/>
      <c r="E447" s="67"/>
      <c r="F447" s="68"/>
      <c r="G447" s="68"/>
      <c r="H447" s="68"/>
    </row>
    <row r="448" spans="1:8" ht="12.75">
      <c r="A448" s="59"/>
      <c r="B448" s="59"/>
      <c r="C448" s="59"/>
      <c r="D448" s="59"/>
      <c r="E448" s="67"/>
      <c r="F448" s="68"/>
      <c r="G448" s="68"/>
      <c r="H448" s="68"/>
    </row>
    <row r="449" spans="1:8" ht="12.75">
      <c r="A449" s="59"/>
      <c r="B449" s="59"/>
      <c r="C449" s="59"/>
      <c r="D449" s="59"/>
      <c r="E449" s="67"/>
      <c r="F449" s="68"/>
      <c r="G449" s="68"/>
      <c r="H449" s="68"/>
    </row>
    <row r="450" spans="1:8" ht="12.75">
      <c r="A450" s="59"/>
      <c r="B450" s="59"/>
      <c r="C450" s="59"/>
      <c r="D450" s="59"/>
      <c r="E450" s="67"/>
      <c r="F450" s="68"/>
      <c r="G450" s="68"/>
      <c r="H450" s="68"/>
    </row>
    <row r="451" spans="1:8" ht="12.75">
      <c r="A451" s="59"/>
      <c r="B451" s="59"/>
      <c r="C451" s="59"/>
      <c r="D451" s="59"/>
      <c r="E451" s="67"/>
      <c r="F451" s="68"/>
      <c r="G451" s="68"/>
      <c r="H451" s="68"/>
    </row>
    <row r="452" spans="1:8" ht="12.75">
      <c r="A452" s="59"/>
      <c r="B452" s="59"/>
      <c r="C452" s="59"/>
      <c r="D452" s="59"/>
      <c r="E452" s="67"/>
      <c r="F452" s="68"/>
      <c r="G452" s="68"/>
      <c r="H452" s="68"/>
    </row>
    <row r="453" spans="1:8" ht="12.75">
      <c r="A453" s="59"/>
      <c r="B453" s="59"/>
      <c r="C453" s="59"/>
      <c r="D453" s="59"/>
      <c r="E453" s="67"/>
      <c r="F453" s="68"/>
      <c r="G453" s="68"/>
      <c r="H453" s="68"/>
    </row>
    <row r="454" spans="1:8" ht="12.75">
      <c r="A454" s="59"/>
      <c r="B454" s="59"/>
      <c r="C454" s="59"/>
      <c r="D454" s="59"/>
      <c r="E454" s="67"/>
      <c r="F454" s="68"/>
      <c r="G454" s="68"/>
      <c r="H454" s="68"/>
    </row>
    <row r="455" spans="1:8" ht="12.75">
      <c r="A455" s="59"/>
      <c r="B455" s="59"/>
      <c r="C455" s="59"/>
      <c r="D455" s="59"/>
      <c r="E455" s="67"/>
      <c r="F455" s="68"/>
      <c r="G455" s="68"/>
      <c r="H455" s="68"/>
    </row>
    <row r="456" spans="1:8" ht="12.75">
      <c r="A456" s="59"/>
      <c r="B456" s="59"/>
      <c r="C456" s="59"/>
      <c r="D456" s="59"/>
      <c r="E456" s="67"/>
      <c r="F456" s="68"/>
      <c r="G456" s="68"/>
      <c r="H456" s="68"/>
    </row>
    <row r="457" spans="1:8" ht="12.75">
      <c r="A457" s="59"/>
      <c r="B457" s="59"/>
      <c r="C457" s="59"/>
      <c r="D457" s="59"/>
      <c r="E457" s="67"/>
      <c r="F457" s="68"/>
      <c r="G457" s="68"/>
      <c r="H457" s="68"/>
    </row>
    <row r="458" spans="1:8" ht="12.75">
      <c r="A458" s="59"/>
      <c r="B458" s="59"/>
      <c r="C458" s="59"/>
      <c r="D458" s="59"/>
      <c r="E458" s="67"/>
      <c r="F458" s="68"/>
      <c r="G458" s="68"/>
      <c r="H458" s="68"/>
    </row>
    <row r="459" spans="1:8" ht="12.75">
      <c r="A459" s="59"/>
      <c r="B459" s="59"/>
      <c r="C459" s="59"/>
      <c r="D459" s="59"/>
      <c r="E459" s="67"/>
      <c r="F459" s="68"/>
      <c r="G459" s="68"/>
      <c r="H459" s="68"/>
    </row>
    <row r="460" spans="1:8" ht="12.75">
      <c r="A460" s="59"/>
      <c r="B460" s="59"/>
      <c r="C460" s="59"/>
      <c r="D460" s="59"/>
      <c r="E460" s="67"/>
      <c r="F460" s="68"/>
      <c r="G460" s="68"/>
      <c r="H460" s="68"/>
    </row>
    <row r="461" spans="1:8" ht="12.75">
      <c r="A461" s="59"/>
      <c r="B461" s="59"/>
      <c r="C461" s="59"/>
      <c r="D461" s="59"/>
      <c r="E461" s="67"/>
      <c r="F461" s="68"/>
      <c r="G461" s="68"/>
      <c r="H461" s="68"/>
    </row>
    <row r="462" spans="1:8" ht="12.75">
      <c r="A462" s="59"/>
      <c r="B462" s="59"/>
      <c r="C462" s="59"/>
      <c r="D462" s="59"/>
      <c r="E462" s="67"/>
      <c r="F462" s="68"/>
      <c r="G462" s="68"/>
      <c r="H462" s="68"/>
    </row>
    <row r="463" spans="1:8" ht="12.75">
      <c r="A463" s="59"/>
      <c r="B463" s="59"/>
      <c r="C463" s="59"/>
      <c r="D463" s="59"/>
      <c r="E463" s="67"/>
      <c r="F463" s="68"/>
      <c r="G463" s="68"/>
      <c r="H463" s="68"/>
    </row>
    <row r="464" spans="1:8" ht="12.75">
      <c r="A464" s="59"/>
      <c r="B464" s="59"/>
      <c r="C464" s="59"/>
      <c r="D464" s="59"/>
      <c r="E464" s="67"/>
      <c r="F464" s="68"/>
      <c r="G464" s="68"/>
      <c r="H464" s="68"/>
    </row>
    <row r="465" spans="1:8" ht="12.75">
      <c r="A465" s="59"/>
      <c r="B465" s="59"/>
      <c r="C465" s="59"/>
      <c r="D465" s="59"/>
      <c r="E465" s="67"/>
      <c r="F465" s="68"/>
      <c r="G465" s="68"/>
      <c r="H465" s="68"/>
    </row>
    <row r="466" spans="1:8" ht="12.75">
      <c r="A466" s="59"/>
      <c r="B466" s="59"/>
      <c r="C466" s="59"/>
      <c r="D466" s="59"/>
      <c r="E466" s="67"/>
      <c r="F466" s="68"/>
      <c r="G466" s="68"/>
      <c r="H466" s="68"/>
    </row>
    <row r="467" spans="1:8" ht="12.75">
      <c r="A467" s="59"/>
      <c r="B467" s="59"/>
      <c r="C467" s="59"/>
      <c r="D467" s="59"/>
      <c r="E467" s="67"/>
      <c r="F467" s="68"/>
      <c r="G467" s="68"/>
      <c r="H467" s="68"/>
    </row>
    <row r="468" spans="1:8" ht="12.75">
      <c r="A468" s="59"/>
      <c r="B468" s="59"/>
      <c r="C468" s="59"/>
      <c r="D468" s="59"/>
      <c r="E468" s="67"/>
      <c r="F468" s="68"/>
      <c r="G468" s="68"/>
      <c r="H468" s="68"/>
    </row>
    <row r="469" spans="1:8" ht="12.75">
      <c r="A469" s="59"/>
      <c r="B469" s="59"/>
      <c r="C469" s="59"/>
      <c r="D469" s="59"/>
      <c r="E469" s="67"/>
      <c r="F469" s="68"/>
      <c r="G469" s="68"/>
      <c r="H469" s="68"/>
    </row>
    <row r="470" spans="1:8" ht="12.75">
      <c r="A470" s="59"/>
      <c r="B470" s="59"/>
      <c r="C470" s="59"/>
      <c r="D470" s="59"/>
      <c r="E470" s="67"/>
      <c r="F470" s="68"/>
      <c r="G470" s="68"/>
      <c r="H470" s="68"/>
    </row>
    <row r="471" spans="1:8" ht="12.75">
      <c r="A471" s="59"/>
      <c r="B471" s="59"/>
      <c r="C471" s="59"/>
      <c r="D471" s="59"/>
      <c r="E471" s="67"/>
      <c r="F471" s="68"/>
      <c r="G471" s="68"/>
      <c r="H471" s="68"/>
    </row>
    <row r="472" spans="1:8" ht="12.75">
      <c r="A472" s="59"/>
      <c r="B472" s="59"/>
      <c r="C472" s="59"/>
      <c r="D472" s="59"/>
      <c r="E472" s="67"/>
      <c r="F472" s="68"/>
      <c r="G472" s="68"/>
      <c r="H472" s="68"/>
    </row>
    <row r="473" spans="1:8" ht="12.75">
      <c r="A473" s="59"/>
      <c r="B473" s="59"/>
      <c r="C473" s="59"/>
      <c r="D473" s="59"/>
      <c r="E473" s="67"/>
      <c r="F473" s="68"/>
      <c r="G473" s="68"/>
      <c r="H473" s="68"/>
    </row>
    <row r="474" spans="1:8" ht="12.75">
      <c r="A474" s="59"/>
      <c r="B474" s="59"/>
      <c r="C474" s="59"/>
      <c r="D474" s="59"/>
      <c r="E474" s="67"/>
      <c r="F474" s="68"/>
      <c r="G474" s="68"/>
      <c r="H474" s="68"/>
    </row>
    <row r="475" spans="1:8" ht="12.75">
      <c r="A475" s="59"/>
      <c r="B475" s="59"/>
      <c r="C475" s="59"/>
      <c r="D475" s="59"/>
      <c r="E475" s="67"/>
      <c r="F475" s="68"/>
      <c r="G475" s="68"/>
      <c r="H475" s="68"/>
    </row>
    <row r="476" spans="1:8" ht="12.75">
      <c r="A476" s="59"/>
      <c r="B476" s="59"/>
      <c r="C476" s="59"/>
      <c r="D476" s="59"/>
      <c r="E476" s="67"/>
      <c r="F476" s="68"/>
      <c r="G476" s="68"/>
      <c r="H476" s="68"/>
    </row>
    <row r="477" spans="1:8" ht="12.75">
      <c r="A477" s="59"/>
      <c r="B477" s="59"/>
      <c r="C477" s="59"/>
      <c r="D477" s="59"/>
      <c r="E477" s="67"/>
      <c r="F477" s="68"/>
      <c r="G477" s="68"/>
      <c r="H477" s="68"/>
    </row>
    <row r="478" spans="1:8" ht="12.75">
      <c r="A478" s="59"/>
      <c r="B478" s="59"/>
      <c r="C478" s="59"/>
      <c r="D478" s="59"/>
      <c r="E478" s="67"/>
      <c r="F478" s="68"/>
      <c r="G478" s="68"/>
      <c r="H478" s="68"/>
    </row>
    <row r="479" spans="1:8" ht="12.75">
      <c r="A479" s="59"/>
      <c r="B479" s="59"/>
      <c r="C479" s="59"/>
      <c r="D479" s="59"/>
      <c r="E479" s="67"/>
      <c r="F479" s="68"/>
      <c r="G479" s="68"/>
      <c r="H479" s="68"/>
    </row>
    <row r="480" spans="1:8" ht="12.75">
      <c r="A480" s="59"/>
      <c r="B480" s="59"/>
      <c r="C480" s="59"/>
      <c r="D480" s="59"/>
      <c r="E480" s="67"/>
      <c r="F480" s="68"/>
      <c r="G480" s="68"/>
      <c r="H480" s="68"/>
    </row>
    <row r="481" spans="1:8" ht="12.75">
      <c r="A481" s="59"/>
      <c r="B481" s="59"/>
      <c r="C481" s="59"/>
      <c r="D481" s="59"/>
      <c r="E481" s="67"/>
      <c r="F481" s="68"/>
      <c r="G481" s="68"/>
      <c r="H481" s="68"/>
    </row>
    <row r="482" spans="1:8" ht="12.75">
      <c r="A482" s="59"/>
      <c r="B482" s="59"/>
      <c r="C482" s="59"/>
      <c r="D482" s="59"/>
      <c r="E482" s="67"/>
      <c r="F482" s="68"/>
      <c r="G482" s="68"/>
      <c r="H482" s="68"/>
    </row>
    <row r="483" spans="1:8" ht="12.75">
      <c r="A483" s="59"/>
      <c r="B483" s="59"/>
      <c r="C483" s="59"/>
      <c r="D483" s="59"/>
      <c r="E483" s="67"/>
      <c r="F483" s="68"/>
      <c r="G483" s="68"/>
      <c r="H483" s="68"/>
    </row>
    <row r="484" spans="1:8" ht="12.75">
      <c r="A484" s="59"/>
      <c r="B484" s="59"/>
      <c r="C484" s="59"/>
      <c r="D484" s="59"/>
      <c r="E484" s="67"/>
      <c r="F484" s="68"/>
      <c r="G484" s="68"/>
      <c r="H484" s="68"/>
    </row>
    <row r="485" spans="1:8" ht="12.75">
      <c r="A485" s="59"/>
      <c r="B485" s="59"/>
      <c r="C485" s="59"/>
      <c r="D485" s="59"/>
      <c r="E485" s="67"/>
      <c r="F485" s="68"/>
      <c r="G485" s="68"/>
      <c r="H485" s="68"/>
    </row>
    <row r="486" spans="1:8" ht="12.75">
      <c r="A486" s="59"/>
      <c r="B486" s="59"/>
      <c r="C486" s="59"/>
      <c r="D486" s="59"/>
      <c r="E486" s="67"/>
      <c r="F486" s="68"/>
      <c r="G486" s="68"/>
      <c r="H486" s="68"/>
    </row>
    <row r="487" spans="1:8" ht="12.75">
      <c r="A487" s="59"/>
      <c r="B487" s="59"/>
      <c r="C487" s="59"/>
      <c r="D487" s="59"/>
      <c r="E487" s="67"/>
      <c r="F487" s="68"/>
      <c r="G487" s="68"/>
      <c r="H487" s="68"/>
    </row>
    <row r="488" spans="1:8" ht="12.75">
      <c r="A488" s="59"/>
      <c r="B488" s="59"/>
      <c r="C488" s="59"/>
      <c r="D488" s="59"/>
      <c r="E488" s="67"/>
      <c r="F488" s="68"/>
      <c r="G488" s="68"/>
      <c r="H488" s="68"/>
    </row>
    <row r="489" spans="1:8" ht="12.75">
      <c r="A489" s="59"/>
      <c r="B489" s="59"/>
      <c r="C489" s="59"/>
      <c r="D489" s="59"/>
      <c r="E489" s="67"/>
      <c r="F489" s="68"/>
      <c r="G489" s="68"/>
      <c r="H489" s="68"/>
    </row>
    <row r="490" spans="1:8" ht="12.75">
      <c r="A490" s="59"/>
      <c r="B490" s="59"/>
      <c r="C490" s="59"/>
      <c r="D490" s="59"/>
      <c r="E490" s="67"/>
      <c r="F490" s="68"/>
      <c r="G490" s="68"/>
      <c r="H490" s="68"/>
    </row>
    <row r="491" spans="1:8" ht="12.75">
      <c r="A491" s="59"/>
      <c r="B491" s="59"/>
      <c r="C491" s="59"/>
      <c r="D491" s="59"/>
      <c r="E491" s="67"/>
      <c r="F491" s="68"/>
      <c r="G491" s="68"/>
      <c r="H491" s="68"/>
    </row>
    <row r="492" spans="1:8" ht="12.75">
      <c r="A492" s="59"/>
      <c r="B492" s="59"/>
      <c r="C492" s="59"/>
      <c r="D492" s="59"/>
      <c r="E492" s="67"/>
      <c r="F492" s="68"/>
      <c r="G492" s="68"/>
      <c r="H492" s="68"/>
    </row>
    <row r="493" spans="1:8" ht="12.75">
      <c r="A493" s="59"/>
      <c r="B493" s="59"/>
      <c r="C493" s="59"/>
      <c r="D493" s="59"/>
      <c r="E493" s="67"/>
      <c r="F493" s="68"/>
      <c r="G493" s="68"/>
      <c r="H493" s="68"/>
    </row>
    <row r="494" spans="1:8" ht="12.75">
      <c r="A494" s="59"/>
      <c r="B494" s="59"/>
      <c r="C494" s="59"/>
      <c r="D494" s="59"/>
      <c r="E494" s="67"/>
      <c r="F494" s="68"/>
      <c r="G494" s="68"/>
      <c r="H494" s="68"/>
    </row>
    <row r="495" spans="1:8" ht="12.75">
      <c r="A495" s="59"/>
      <c r="B495" s="59"/>
      <c r="C495" s="59"/>
      <c r="D495" s="59"/>
      <c r="E495" s="67"/>
      <c r="F495" s="68"/>
      <c r="G495" s="68"/>
      <c r="H495" s="68"/>
    </row>
    <row r="496" spans="1:8" ht="12.75">
      <c r="A496" s="59"/>
      <c r="B496" s="59"/>
      <c r="C496" s="59"/>
      <c r="D496" s="59"/>
      <c r="E496" s="67"/>
      <c r="F496" s="68"/>
      <c r="G496" s="68"/>
      <c r="H496" s="68"/>
    </row>
    <row r="497" spans="1:8" ht="12.75">
      <c r="A497" s="59"/>
      <c r="B497" s="59"/>
      <c r="C497" s="59"/>
      <c r="D497" s="59"/>
      <c r="E497" s="67"/>
      <c r="F497" s="68"/>
      <c r="G497" s="68"/>
      <c r="H497" s="68"/>
    </row>
    <row r="498" spans="1:8" ht="12.75">
      <c r="A498" s="59"/>
      <c r="B498" s="59"/>
      <c r="C498" s="59"/>
      <c r="D498" s="59"/>
      <c r="E498" s="67"/>
      <c r="F498" s="68"/>
      <c r="G498" s="68"/>
      <c r="H498" s="68"/>
    </row>
    <row r="499" spans="1:8" ht="12.75">
      <c r="A499" s="59"/>
      <c r="B499" s="59"/>
      <c r="C499" s="59"/>
      <c r="D499" s="59"/>
      <c r="E499" s="67"/>
      <c r="F499" s="68"/>
      <c r="G499" s="68"/>
      <c r="H499" s="68"/>
    </row>
    <row r="500" spans="1:8" ht="12.75">
      <c r="A500" s="59"/>
      <c r="B500" s="59"/>
      <c r="C500" s="59"/>
      <c r="D500" s="59"/>
      <c r="E500" s="67"/>
      <c r="F500" s="68"/>
      <c r="G500" s="68"/>
      <c r="H500" s="68"/>
    </row>
    <row r="501" spans="1:8" ht="12.75">
      <c r="A501" s="59"/>
      <c r="B501" s="59"/>
      <c r="C501" s="59"/>
      <c r="D501" s="59"/>
      <c r="E501" s="67"/>
      <c r="F501" s="68"/>
      <c r="G501" s="68"/>
      <c r="H501" s="68"/>
    </row>
    <row r="502" spans="1:8" ht="12.75">
      <c r="A502" s="59"/>
      <c r="B502" s="59"/>
      <c r="C502" s="59"/>
      <c r="D502" s="59"/>
      <c r="E502" s="67"/>
      <c r="F502" s="68"/>
      <c r="G502" s="68"/>
      <c r="H502" s="68"/>
    </row>
    <row r="503" spans="1:8" ht="12.75">
      <c r="A503" s="59"/>
      <c r="B503" s="59"/>
      <c r="C503" s="59"/>
      <c r="D503" s="59"/>
      <c r="E503" s="67"/>
      <c r="F503" s="68"/>
      <c r="G503" s="68"/>
      <c r="H503" s="68"/>
    </row>
    <row r="504" spans="1:8" ht="12.75">
      <c r="A504" s="59"/>
      <c r="B504" s="59"/>
      <c r="C504" s="59"/>
      <c r="D504" s="59"/>
      <c r="E504" s="67"/>
      <c r="F504" s="68"/>
      <c r="G504" s="68"/>
      <c r="H504" s="68"/>
    </row>
    <row r="505" spans="1:8" ht="12.75">
      <c r="A505" s="59"/>
      <c r="B505" s="59"/>
      <c r="C505" s="59"/>
      <c r="D505" s="59"/>
      <c r="E505" s="67"/>
      <c r="F505" s="68"/>
      <c r="G505" s="68"/>
      <c r="H505" s="68"/>
    </row>
    <row r="506" spans="1:8" ht="12.75">
      <c r="A506" s="59"/>
      <c r="B506" s="59"/>
      <c r="C506" s="59"/>
      <c r="D506" s="59"/>
      <c r="E506" s="67"/>
      <c r="F506" s="68"/>
      <c r="G506" s="68"/>
      <c r="H506" s="68"/>
    </row>
    <row r="507" spans="1:8" ht="12.75">
      <c r="A507" s="59"/>
      <c r="B507" s="59"/>
      <c r="C507" s="59"/>
      <c r="D507" s="59"/>
      <c r="E507" s="67"/>
      <c r="F507" s="68"/>
      <c r="G507" s="68"/>
      <c r="H507" s="68"/>
    </row>
    <row r="508" spans="1:8" ht="12.75">
      <c r="A508" s="59"/>
      <c r="B508" s="59"/>
      <c r="C508" s="59"/>
      <c r="D508" s="59"/>
      <c r="E508" s="67"/>
      <c r="F508" s="68"/>
      <c r="G508" s="68"/>
      <c r="H508" s="68"/>
    </row>
    <row r="509" spans="1:8" ht="12.75">
      <c r="A509" s="59"/>
      <c r="B509" s="59"/>
      <c r="C509" s="59"/>
      <c r="D509" s="59"/>
      <c r="E509" s="67"/>
      <c r="F509" s="68"/>
      <c r="G509" s="68"/>
      <c r="H509" s="68"/>
    </row>
    <row r="510" spans="1:8" ht="12.75">
      <c r="A510" s="59"/>
      <c r="B510" s="59"/>
      <c r="C510" s="59"/>
      <c r="D510" s="59"/>
      <c r="E510" s="67"/>
      <c r="F510" s="68"/>
      <c r="G510" s="68"/>
      <c r="H510" s="68"/>
    </row>
    <row r="511" spans="1:8" ht="12.75">
      <c r="A511" s="59"/>
      <c r="B511" s="59"/>
      <c r="C511" s="59"/>
      <c r="D511" s="59"/>
      <c r="E511" s="67"/>
      <c r="F511" s="68"/>
      <c r="G511" s="68"/>
      <c r="H511" s="68"/>
    </row>
    <row r="512" spans="1:8" ht="12.75">
      <c r="A512" s="59"/>
      <c r="B512" s="59"/>
      <c r="C512" s="59"/>
      <c r="D512" s="59"/>
      <c r="E512" s="67"/>
      <c r="F512" s="68"/>
      <c r="G512" s="68"/>
      <c r="H512" s="68"/>
    </row>
    <row r="513" spans="1:8" ht="12.75">
      <c r="A513" s="59"/>
      <c r="B513" s="59"/>
      <c r="C513" s="59"/>
      <c r="D513" s="59"/>
      <c r="E513" s="67"/>
      <c r="F513" s="68"/>
      <c r="G513" s="68"/>
      <c r="H513" s="68"/>
    </row>
    <row r="514" spans="1:8" ht="12.75">
      <c r="A514" s="59"/>
      <c r="B514" s="59"/>
      <c r="C514" s="59"/>
      <c r="D514" s="59"/>
      <c r="E514" s="67"/>
      <c r="F514" s="68"/>
      <c r="G514" s="68"/>
      <c r="H514" s="68"/>
    </row>
    <row r="515" spans="1:8" ht="12.75">
      <c r="A515" s="59"/>
      <c r="B515" s="59"/>
      <c r="C515" s="59"/>
      <c r="D515" s="59"/>
      <c r="E515" s="67"/>
      <c r="F515" s="68"/>
      <c r="G515" s="68"/>
      <c r="H515" s="68"/>
    </row>
    <row r="516" spans="1:8" ht="12.75">
      <c r="A516" s="59"/>
      <c r="B516" s="59"/>
      <c r="C516" s="59"/>
      <c r="D516" s="59"/>
      <c r="E516" s="67"/>
      <c r="F516" s="68"/>
      <c r="G516" s="68"/>
      <c r="H516" s="68"/>
    </row>
    <row r="517" spans="1:8" ht="12.75">
      <c r="A517" s="59"/>
      <c r="B517" s="59"/>
      <c r="C517" s="59"/>
      <c r="D517" s="59"/>
      <c r="E517" s="67"/>
      <c r="F517" s="68"/>
      <c r="G517" s="68"/>
      <c r="H517" s="68"/>
    </row>
    <row r="518" spans="1:8" ht="12.75">
      <c r="A518" s="59"/>
      <c r="B518" s="59"/>
      <c r="C518" s="59"/>
      <c r="D518" s="59"/>
      <c r="E518" s="67"/>
      <c r="F518" s="68"/>
      <c r="G518" s="68"/>
      <c r="H518" s="68"/>
    </row>
    <row r="519" spans="1:8" ht="12.75">
      <c r="A519" s="59"/>
      <c r="B519" s="59"/>
      <c r="C519" s="59"/>
      <c r="D519" s="59"/>
      <c r="E519" s="67"/>
      <c r="F519" s="68"/>
      <c r="G519" s="68"/>
      <c r="H519" s="68"/>
    </row>
    <row r="520" spans="1:8" ht="12.75">
      <c r="A520" s="59"/>
      <c r="B520" s="59"/>
      <c r="C520" s="59"/>
      <c r="D520" s="59"/>
      <c r="E520" s="67"/>
      <c r="F520" s="68"/>
      <c r="G520" s="68"/>
      <c r="H520" s="68"/>
    </row>
    <row r="521" spans="1:8" ht="12.75">
      <c r="A521" s="59"/>
      <c r="B521" s="59"/>
      <c r="C521" s="59"/>
      <c r="D521" s="59"/>
      <c r="E521" s="67"/>
      <c r="F521" s="68"/>
      <c r="G521" s="68"/>
      <c r="H521" s="68"/>
    </row>
    <row r="522" spans="1:8" ht="12.75">
      <c r="A522" s="59"/>
      <c r="B522" s="59"/>
      <c r="C522" s="59"/>
      <c r="D522" s="59"/>
      <c r="E522" s="67"/>
      <c r="F522" s="68"/>
      <c r="G522" s="68"/>
      <c r="H522" s="68"/>
    </row>
    <row r="523" spans="1:8" ht="12.75">
      <c r="A523" s="59"/>
      <c r="B523" s="59"/>
      <c r="C523" s="59"/>
      <c r="D523" s="59"/>
      <c r="E523" s="67"/>
      <c r="F523" s="68"/>
      <c r="G523" s="68"/>
      <c r="H523" s="68"/>
    </row>
    <row r="524" spans="1:8" ht="12.75">
      <c r="A524" s="59"/>
      <c r="B524" s="59"/>
      <c r="C524" s="59"/>
      <c r="D524" s="59"/>
      <c r="E524" s="67"/>
      <c r="F524" s="68"/>
      <c r="G524" s="68"/>
      <c r="H524" s="68"/>
    </row>
    <row r="525" spans="1:8" ht="12.75">
      <c r="A525" s="59"/>
      <c r="B525" s="59"/>
      <c r="C525" s="59"/>
      <c r="D525" s="59"/>
      <c r="E525" s="67"/>
      <c r="F525" s="68"/>
      <c r="G525" s="68"/>
      <c r="H525" s="68"/>
    </row>
    <row r="526" spans="1:8" ht="12.75">
      <c r="A526" s="59"/>
      <c r="B526" s="59"/>
      <c r="C526" s="59"/>
      <c r="D526" s="59"/>
      <c r="E526" s="67"/>
      <c r="F526" s="68"/>
      <c r="G526" s="68"/>
      <c r="H526" s="68"/>
    </row>
    <row r="527" spans="1:8" ht="12.75">
      <c r="A527" s="59"/>
      <c r="B527" s="59"/>
      <c r="C527" s="59"/>
      <c r="D527" s="59"/>
      <c r="E527" s="67"/>
      <c r="F527" s="68"/>
      <c r="G527" s="68"/>
      <c r="H527" s="68"/>
    </row>
    <row r="528" spans="1:8" ht="12.75">
      <c r="A528" s="59"/>
      <c r="B528" s="59"/>
      <c r="C528" s="59"/>
      <c r="D528" s="59"/>
      <c r="E528" s="67"/>
      <c r="F528" s="68"/>
      <c r="G528" s="68"/>
      <c r="H528" s="68"/>
    </row>
    <row r="529" spans="1:8" ht="12.75">
      <c r="A529" s="59"/>
      <c r="B529" s="59"/>
      <c r="C529" s="59"/>
      <c r="D529" s="59"/>
      <c r="E529" s="67"/>
      <c r="F529" s="68"/>
      <c r="G529" s="68"/>
      <c r="H529" s="68"/>
    </row>
    <row r="530" spans="1:8" ht="12.75">
      <c r="A530" s="59"/>
      <c r="B530" s="59"/>
      <c r="C530" s="59"/>
      <c r="D530" s="59"/>
      <c r="E530" s="67"/>
      <c r="F530" s="68"/>
      <c r="G530" s="68"/>
      <c r="H530" s="68"/>
    </row>
    <row r="531" spans="1:8" ht="12.75">
      <c r="A531" s="59"/>
      <c r="B531" s="59"/>
      <c r="C531" s="59"/>
      <c r="D531" s="59"/>
      <c r="E531" s="67"/>
      <c r="F531" s="68"/>
      <c r="G531" s="68"/>
      <c r="H531" s="68"/>
    </row>
    <row r="532" spans="1:8" ht="12.75">
      <c r="A532" s="59"/>
      <c r="B532" s="59"/>
      <c r="C532" s="59"/>
      <c r="D532" s="59"/>
      <c r="E532" s="67"/>
      <c r="F532" s="68"/>
      <c r="G532" s="68"/>
      <c r="H532" s="68"/>
    </row>
    <row r="533" spans="1:8" ht="12.75">
      <c r="A533" s="59"/>
      <c r="B533" s="59"/>
      <c r="C533" s="59"/>
      <c r="D533" s="59"/>
      <c r="E533" s="67"/>
      <c r="F533" s="68"/>
      <c r="G533" s="68"/>
      <c r="H533" s="68"/>
    </row>
    <row r="534" spans="1:8" ht="12.75">
      <c r="A534" s="59"/>
      <c r="B534" s="59"/>
      <c r="C534" s="59"/>
      <c r="D534" s="59"/>
      <c r="E534" s="67"/>
      <c r="F534" s="68"/>
      <c r="G534" s="68"/>
      <c r="H534" s="68"/>
    </row>
    <row r="535" spans="1:8" ht="12.75">
      <c r="A535" s="59"/>
      <c r="B535" s="59"/>
      <c r="C535" s="59"/>
      <c r="D535" s="59"/>
      <c r="E535" s="67"/>
      <c r="F535" s="68"/>
      <c r="G535" s="68"/>
      <c r="H535" s="68"/>
    </row>
    <row r="536" spans="1:8" ht="12.75">
      <c r="A536" s="59"/>
      <c r="B536" s="59"/>
      <c r="C536" s="59"/>
      <c r="D536" s="59"/>
      <c r="E536" s="67"/>
      <c r="F536" s="68"/>
      <c r="G536" s="68"/>
      <c r="H536" s="68"/>
    </row>
    <row r="537" spans="1:8" ht="12.75">
      <c r="A537" s="59"/>
      <c r="B537" s="59"/>
      <c r="C537" s="59"/>
      <c r="D537" s="59"/>
      <c r="E537" s="67"/>
      <c r="F537" s="68"/>
      <c r="G537" s="68"/>
      <c r="H537" s="68"/>
    </row>
    <row r="538" spans="1:8" ht="12.75">
      <c r="A538" s="59"/>
      <c r="B538" s="59"/>
      <c r="C538" s="59"/>
      <c r="D538" s="59"/>
      <c r="E538" s="67"/>
      <c r="F538" s="68"/>
      <c r="G538" s="68"/>
      <c r="H538" s="68"/>
    </row>
    <row r="539" spans="1:8" ht="12.75">
      <c r="A539" s="59"/>
      <c r="B539" s="59"/>
      <c r="C539" s="59"/>
      <c r="D539" s="59"/>
      <c r="E539" s="67"/>
      <c r="F539" s="68"/>
      <c r="G539" s="68"/>
      <c r="H539" s="68"/>
    </row>
    <row r="540" spans="1:8" ht="12.75">
      <c r="A540" s="59"/>
      <c r="B540" s="59"/>
      <c r="C540" s="59"/>
      <c r="D540" s="59"/>
      <c r="E540" s="67"/>
      <c r="F540" s="68"/>
      <c r="G540" s="68"/>
      <c r="H540" s="68"/>
    </row>
    <row r="541" spans="1:8" ht="12.75">
      <c r="A541" s="59"/>
      <c r="B541" s="59"/>
      <c r="C541" s="59"/>
      <c r="D541" s="59"/>
      <c r="E541" s="67"/>
      <c r="F541" s="68"/>
      <c r="G541" s="68"/>
      <c r="H541" s="68"/>
    </row>
    <row r="542" spans="1:8" ht="12.75">
      <c r="A542" s="59"/>
      <c r="B542" s="59"/>
      <c r="C542" s="59"/>
      <c r="D542" s="59"/>
      <c r="E542" s="67"/>
      <c r="F542" s="68"/>
      <c r="G542" s="68"/>
      <c r="H542" s="68"/>
    </row>
    <row r="543" spans="1:8" ht="12.75">
      <c r="A543" s="59"/>
      <c r="B543" s="59"/>
      <c r="C543" s="59"/>
      <c r="D543" s="59"/>
      <c r="E543" s="67"/>
      <c r="F543" s="68"/>
      <c r="G543" s="68"/>
      <c r="H543" s="68"/>
    </row>
    <row r="544" spans="1:8" ht="12.75">
      <c r="A544" s="59"/>
      <c r="B544" s="59"/>
      <c r="C544" s="59"/>
      <c r="D544" s="59"/>
      <c r="E544" s="67"/>
      <c r="F544" s="68"/>
      <c r="G544" s="68"/>
      <c r="H544" s="68"/>
    </row>
    <row r="545" spans="1:8" ht="12.75">
      <c r="A545" s="59"/>
      <c r="B545" s="59"/>
      <c r="C545" s="59"/>
      <c r="D545" s="59"/>
      <c r="E545" s="67"/>
      <c r="F545" s="68"/>
      <c r="G545" s="68"/>
      <c r="H545" s="68"/>
    </row>
    <row r="546" spans="1:8" ht="12.75">
      <c r="A546" s="59"/>
      <c r="B546" s="59"/>
      <c r="C546" s="59"/>
      <c r="D546" s="59"/>
      <c r="E546" s="67"/>
      <c r="F546" s="68"/>
      <c r="G546" s="68"/>
      <c r="H546" s="68"/>
    </row>
    <row r="547" spans="1:8" ht="12.75">
      <c r="A547" s="59"/>
      <c r="B547" s="59"/>
      <c r="C547" s="59"/>
      <c r="D547" s="59"/>
      <c r="E547" s="67"/>
      <c r="F547" s="68"/>
      <c r="G547" s="68"/>
      <c r="H547" s="68"/>
    </row>
    <row r="548" spans="1:8" ht="12.75">
      <c r="A548" s="59"/>
      <c r="B548" s="59"/>
      <c r="C548" s="59"/>
      <c r="D548" s="59"/>
      <c r="E548" s="67"/>
      <c r="F548" s="68"/>
      <c r="G548" s="68"/>
      <c r="H548" s="68"/>
    </row>
    <row r="549" spans="1:8" ht="12.75">
      <c r="A549" s="59"/>
      <c r="B549" s="59"/>
      <c r="C549" s="59"/>
      <c r="D549" s="59"/>
      <c r="E549" s="67"/>
      <c r="F549" s="68"/>
      <c r="G549" s="68"/>
      <c r="H549" s="68"/>
    </row>
    <row r="550" spans="1:8" ht="12.75">
      <c r="A550" s="59"/>
      <c r="B550" s="59"/>
      <c r="C550" s="59"/>
      <c r="D550" s="59"/>
      <c r="E550" s="67"/>
      <c r="F550" s="68"/>
      <c r="G550" s="68"/>
      <c r="H550" s="68"/>
    </row>
    <row r="551" spans="1:8" ht="12.75">
      <c r="A551" s="59"/>
      <c r="B551" s="59"/>
      <c r="C551" s="59"/>
      <c r="D551" s="59"/>
      <c r="E551" s="67"/>
      <c r="F551" s="68"/>
      <c r="G551" s="68"/>
      <c r="H551" s="68"/>
    </row>
    <row r="552" spans="1:8" ht="12.75">
      <c r="A552" s="59"/>
      <c r="B552" s="59"/>
      <c r="C552" s="59"/>
      <c r="D552" s="59"/>
      <c r="E552" s="67"/>
      <c r="F552" s="68"/>
      <c r="G552" s="68"/>
      <c r="H552" s="68"/>
    </row>
    <row r="553" spans="1:8" ht="12.75">
      <c r="A553" s="59"/>
      <c r="B553" s="59"/>
      <c r="C553" s="59"/>
      <c r="D553" s="59"/>
      <c r="E553" s="67"/>
      <c r="F553" s="68"/>
      <c r="G553" s="68"/>
      <c r="H553" s="68"/>
    </row>
    <row r="554" spans="1:8" ht="12.75">
      <c r="A554" s="59"/>
      <c r="B554" s="59"/>
      <c r="C554" s="59"/>
      <c r="D554" s="59"/>
      <c r="E554" s="67"/>
      <c r="F554" s="68"/>
      <c r="G554" s="68"/>
      <c r="H554" s="68"/>
    </row>
    <row r="555" spans="1:8" ht="12.75">
      <c r="A555" s="59"/>
      <c r="B555" s="59"/>
      <c r="C555" s="59"/>
      <c r="D555" s="59"/>
      <c r="E555" s="67"/>
      <c r="F555" s="68"/>
      <c r="G555" s="68"/>
      <c r="H555" s="68"/>
    </row>
    <row r="556" spans="1:8" ht="12.75">
      <c r="A556" s="59"/>
      <c r="B556" s="59"/>
      <c r="C556" s="59"/>
      <c r="D556" s="59"/>
      <c r="E556" s="67"/>
      <c r="F556" s="68"/>
      <c r="G556" s="68"/>
      <c r="H556" s="68"/>
    </row>
    <row r="557" spans="1:8" ht="12.75">
      <c r="A557" s="59"/>
      <c r="B557" s="59"/>
      <c r="C557" s="59"/>
      <c r="D557" s="59"/>
      <c r="E557" s="67"/>
      <c r="F557" s="68"/>
      <c r="G557" s="68"/>
      <c r="H557" s="68"/>
    </row>
    <row r="558" spans="1:8" ht="12.75">
      <c r="A558" s="59"/>
      <c r="B558" s="59"/>
      <c r="C558" s="59"/>
      <c r="D558" s="59"/>
      <c r="E558" s="67"/>
      <c r="F558" s="68"/>
      <c r="G558" s="68"/>
      <c r="H558" s="68"/>
    </row>
    <row r="559" spans="1:8" ht="12.75">
      <c r="A559" s="59"/>
      <c r="B559" s="59"/>
      <c r="C559" s="59"/>
      <c r="D559" s="59"/>
      <c r="E559" s="67"/>
      <c r="F559" s="68"/>
      <c r="G559" s="68"/>
      <c r="H559" s="68"/>
    </row>
    <row r="560" spans="1:8" ht="12.75">
      <c r="A560" s="59"/>
      <c r="B560" s="59"/>
      <c r="C560" s="59"/>
      <c r="D560" s="59"/>
      <c r="E560" s="67"/>
      <c r="F560" s="68"/>
      <c r="G560" s="68"/>
      <c r="H560" s="68"/>
    </row>
    <row r="561" spans="1:8" ht="12.75">
      <c r="A561" s="59"/>
      <c r="B561" s="59"/>
      <c r="C561" s="59"/>
      <c r="D561" s="59"/>
      <c r="E561" s="67"/>
      <c r="F561" s="68"/>
      <c r="G561" s="68"/>
      <c r="H561" s="68"/>
    </row>
    <row r="562" spans="1:8" ht="12.75">
      <c r="A562" s="59"/>
      <c r="B562" s="59"/>
      <c r="C562" s="59"/>
      <c r="D562" s="59"/>
      <c r="E562" s="67"/>
      <c r="F562" s="68"/>
      <c r="G562" s="68"/>
      <c r="H562" s="68"/>
    </row>
    <row r="563" spans="1:8" ht="12.75">
      <c r="A563" s="59"/>
      <c r="B563" s="59"/>
      <c r="C563" s="59"/>
      <c r="D563" s="59"/>
      <c r="E563" s="67"/>
      <c r="F563" s="68"/>
      <c r="G563" s="68"/>
      <c r="H563" s="68"/>
    </row>
    <row r="564" spans="1:8" ht="12.75">
      <c r="A564" s="59"/>
      <c r="B564" s="59"/>
      <c r="C564" s="59"/>
      <c r="D564" s="59"/>
      <c r="E564" s="67"/>
      <c r="F564" s="68"/>
      <c r="G564" s="68"/>
      <c r="H564" s="68"/>
    </row>
    <row r="565" spans="1:8" ht="12.75">
      <c r="A565" s="59"/>
      <c r="B565" s="59"/>
      <c r="C565" s="59"/>
      <c r="D565" s="59"/>
      <c r="E565" s="67"/>
      <c r="F565" s="68"/>
      <c r="G565" s="68"/>
      <c r="H565" s="68"/>
    </row>
    <row r="566" spans="1:8" ht="12.75">
      <c r="A566" s="59"/>
      <c r="B566" s="59"/>
      <c r="C566" s="59"/>
      <c r="D566" s="59"/>
      <c r="E566" s="67"/>
      <c r="F566" s="68"/>
      <c r="G566" s="68"/>
      <c r="H566" s="68"/>
    </row>
    <row r="567" spans="1:8" ht="12.75">
      <c r="A567" s="59"/>
      <c r="B567" s="59"/>
      <c r="C567" s="59"/>
      <c r="D567" s="59"/>
      <c r="E567" s="67"/>
      <c r="F567" s="68"/>
      <c r="G567" s="68"/>
      <c r="H567" s="68"/>
    </row>
    <row r="568" spans="1:8" ht="12.75">
      <c r="A568" s="59"/>
      <c r="B568" s="59"/>
      <c r="C568" s="59"/>
      <c r="D568" s="59"/>
      <c r="E568" s="67"/>
      <c r="F568" s="68"/>
      <c r="G568" s="68"/>
      <c r="H568" s="68"/>
    </row>
    <row r="569" spans="1:8" ht="12.75">
      <c r="A569" s="59"/>
      <c r="B569" s="59"/>
      <c r="C569" s="59"/>
      <c r="D569" s="59"/>
      <c r="E569" s="67"/>
      <c r="F569" s="68"/>
      <c r="G569" s="68"/>
      <c r="H569" s="68"/>
    </row>
    <row r="570" spans="1:8" ht="12.75">
      <c r="A570" s="59"/>
      <c r="B570" s="59"/>
      <c r="C570" s="59"/>
      <c r="D570" s="59"/>
      <c r="E570" s="67"/>
      <c r="F570" s="68"/>
      <c r="G570" s="68"/>
      <c r="H570" s="68"/>
    </row>
    <row r="571" spans="1:8" ht="12.75">
      <c r="A571" s="59"/>
      <c r="B571" s="59"/>
      <c r="C571" s="59"/>
      <c r="D571" s="59"/>
      <c r="E571" s="67"/>
      <c r="F571" s="68"/>
      <c r="G571" s="68"/>
      <c r="H571" s="68"/>
    </row>
    <row r="572" spans="1:8" ht="12.75">
      <c r="A572" s="59"/>
      <c r="B572" s="59"/>
      <c r="C572" s="59"/>
      <c r="D572" s="59"/>
      <c r="E572" s="67"/>
      <c r="F572" s="68"/>
      <c r="G572" s="68"/>
      <c r="H572" s="68"/>
    </row>
    <row r="573" spans="1:8" ht="12.75">
      <c r="A573" s="59"/>
      <c r="B573" s="59"/>
      <c r="C573" s="59"/>
      <c r="D573" s="59"/>
      <c r="E573" s="67"/>
      <c r="F573" s="68"/>
      <c r="G573" s="68"/>
      <c r="H573" s="68"/>
    </row>
    <row r="574" spans="1:8" ht="12.75">
      <c r="A574" s="59"/>
      <c r="B574" s="59"/>
      <c r="C574" s="59"/>
      <c r="D574" s="59"/>
      <c r="E574" s="67"/>
      <c r="F574" s="68"/>
      <c r="G574" s="68"/>
      <c r="H574" s="68"/>
    </row>
    <row r="575" spans="1:8" ht="12.75">
      <c r="A575" s="59"/>
      <c r="B575" s="59"/>
      <c r="C575" s="59"/>
      <c r="D575" s="59"/>
      <c r="E575" s="67"/>
      <c r="F575" s="68"/>
      <c r="G575" s="68"/>
      <c r="H575" s="68"/>
    </row>
    <row r="576" spans="1:8" ht="12.75">
      <c r="A576" s="59"/>
      <c r="B576" s="59"/>
      <c r="C576" s="59"/>
      <c r="D576" s="59"/>
      <c r="E576" s="67"/>
      <c r="F576" s="68"/>
      <c r="G576" s="68"/>
      <c r="H576" s="68"/>
    </row>
    <row r="577" spans="1:8" ht="12.75">
      <c r="A577" s="59"/>
      <c r="B577" s="59"/>
      <c r="C577" s="59"/>
      <c r="D577" s="59"/>
      <c r="E577" s="67"/>
      <c r="F577" s="68"/>
      <c r="G577" s="68"/>
      <c r="H577" s="68"/>
    </row>
    <row r="578" spans="1:8" ht="12.75">
      <c r="A578" s="59"/>
      <c r="B578" s="59"/>
      <c r="C578" s="59"/>
      <c r="D578" s="59"/>
      <c r="E578" s="67"/>
      <c r="F578" s="68"/>
      <c r="G578" s="68"/>
      <c r="H578" s="68"/>
    </row>
    <row r="579" spans="1:8" ht="12.75">
      <c r="A579" s="59"/>
      <c r="B579" s="59"/>
      <c r="C579" s="59"/>
      <c r="D579" s="59"/>
      <c r="E579" s="67"/>
      <c r="F579" s="68"/>
      <c r="G579" s="68"/>
      <c r="H579" s="68"/>
    </row>
    <row r="580" spans="1:8" ht="12.75">
      <c r="A580" s="59"/>
      <c r="B580" s="59"/>
      <c r="C580" s="59"/>
      <c r="D580" s="59"/>
      <c r="E580" s="67"/>
      <c r="F580" s="68"/>
      <c r="G580" s="68"/>
      <c r="H580" s="68"/>
    </row>
    <row r="581" spans="1:8" ht="12.75">
      <c r="A581" s="59"/>
      <c r="B581" s="59"/>
      <c r="C581" s="59"/>
      <c r="D581" s="59"/>
      <c r="E581" s="67"/>
      <c r="F581" s="68"/>
      <c r="G581" s="68"/>
      <c r="H581" s="68"/>
    </row>
    <row r="582" spans="1:8" ht="12.75">
      <c r="A582" s="59"/>
      <c r="B582" s="59"/>
      <c r="C582" s="59"/>
      <c r="D582" s="59"/>
      <c r="E582" s="67"/>
      <c r="F582" s="68"/>
      <c r="G582" s="68"/>
      <c r="H582" s="68"/>
    </row>
    <row r="583" spans="1:8" ht="12.75">
      <c r="A583" s="59"/>
      <c r="B583" s="59"/>
      <c r="C583" s="59"/>
      <c r="D583" s="59"/>
      <c r="E583" s="67"/>
      <c r="F583" s="68"/>
      <c r="G583" s="68"/>
      <c r="H583" s="68"/>
    </row>
    <row r="584" spans="1:8" ht="12.75">
      <c r="A584" s="59"/>
      <c r="B584" s="59"/>
      <c r="C584" s="59"/>
      <c r="D584" s="59"/>
      <c r="E584" s="67"/>
      <c r="F584" s="68"/>
      <c r="G584" s="68"/>
      <c r="H584" s="68"/>
    </row>
    <row r="585" spans="1:8" ht="12.75">
      <c r="A585" s="59"/>
      <c r="B585" s="59"/>
      <c r="C585" s="59"/>
      <c r="D585" s="59"/>
      <c r="E585" s="67"/>
      <c r="F585" s="68"/>
      <c r="G585" s="68"/>
      <c r="H585" s="68"/>
    </row>
    <row r="586" spans="1:8" ht="12.75">
      <c r="A586" s="59"/>
      <c r="B586" s="59"/>
      <c r="C586" s="59"/>
      <c r="D586" s="59"/>
      <c r="E586" s="67"/>
      <c r="F586" s="68"/>
      <c r="G586" s="68"/>
      <c r="H586" s="68"/>
    </row>
    <row r="587" spans="1:8" ht="12.75">
      <c r="A587" s="59"/>
      <c r="B587" s="59"/>
      <c r="C587" s="59"/>
      <c r="D587" s="59"/>
      <c r="E587" s="67"/>
      <c r="F587" s="68"/>
      <c r="G587" s="68"/>
      <c r="H587" s="68"/>
    </row>
    <row r="588" spans="1:8" ht="12.75">
      <c r="A588" s="59"/>
      <c r="B588" s="59"/>
      <c r="C588" s="59"/>
      <c r="D588" s="59"/>
      <c r="E588" s="67"/>
      <c r="F588" s="68"/>
      <c r="G588" s="68"/>
      <c r="H588" s="68"/>
    </row>
    <row r="589" spans="1:8" ht="12.75">
      <c r="A589" s="59"/>
      <c r="B589" s="59"/>
      <c r="C589" s="59"/>
      <c r="D589" s="59"/>
      <c r="E589" s="67"/>
      <c r="F589" s="68"/>
      <c r="G589" s="68"/>
      <c r="H589" s="68"/>
    </row>
    <row r="590" spans="1:8" ht="12.75">
      <c r="A590" s="59"/>
      <c r="B590" s="59"/>
      <c r="C590" s="59"/>
      <c r="D590" s="59"/>
      <c r="E590" s="67"/>
      <c r="F590" s="68"/>
      <c r="G590" s="68"/>
      <c r="H590" s="68"/>
    </row>
    <row r="591" spans="1:8" ht="12.75">
      <c r="A591" s="59"/>
      <c r="B591" s="59"/>
      <c r="C591" s="59"/>
      <c r="D591" s="59"/>
      <c r="E591" s="67"/>
      <c r="F591" s="68"/>
      <c r="G591" s="68"/>
      <c r="H591" s="68"/>
    </row>
    <row r="592" spans="1:8" ht="12.75">
      <c r="A592" s="59"/>
      <c r="B592" s="59"/>
      <c r="C592" s="59"/>
      <c r="D592" s="59"/>
      <c r="E592" s="67"/>
      <c r="F592" s="68"/>
      <c r="G592" s="68"/>
      <c r="H592" s="68"/>
    </row>
    <row r="593" spans="1:8" ht="12.75">
      <c r="A593" s="59"/>
      <c r="B593" s="59"/>
      <c r="C593" s="59"/>
      <c r="D593" s="59"/>
      <c r="E593" s="67"/>
      <c r="F593" s="68"/>
      <c r="G593" s="68"/>
      <c r="H593" s="68"/>
    </row>
    <row r="594" spans="1:8" ht="12.75">
      <c r="A594" s="59"/>
      <c r="B594" s="59"/>
      <c r="C594" s="59"/>
      <c r="D594" s="59"/>
      <c r="E594" s="67"/>
      <c r="F594" s="68"/>
      <c r="G594" s="68"/>
      <c r="H594" s="68"/>
    </row>
    <row r="595" spans="1:8" ht="12.75">
      <c r="A595" s="59"/>
      <c r="B595" s="59"/>
      <c r="C595" s="59"/>
      <c r="D595" s="59"/>
      <c r="E595" s="67"/>
      <c r="F595" s="68"/>
      <c r="G595" s="68"/>
      <c r="H595" s="68"/>
    </row>
    <row r="596" spans="1:8" ht="12.75">
      <c r="A596" s="59"/>
      <c r="B596" s="59"/>
      <c r="C596" s="59"/>
      <c r="D596" s="59"/>
      <c r="E596" s="67"/>
      <c r="F596" s="68"/>
      <c r="G596" s="68"/>
      <c r="H596" s="68"/>
    </row>
    <row r="597" spans="1:8" ht="12.75">
      <c r="A597" s="59"/>
      <c r="B597" s="59"/>
      <c r="C597" s="59"/>
      <c r="D597" s="59"/>
      <c r="E597" s="67"/>
      <c r="F597" s="68"/>
      <c r="G597" s="68"/>
      <c r="H597" s="68"/>
    </row>
    <row r="598" spans="1:8" ht="12.75">
      <c r="A598" s="59"/>
      <c r="B598" s="59"/>
      <c r="C598" s="59"/>
      <c r="D598" s="59"/>
      <c r="E598" s="67"/>
      <c r="F598" s="68"/>
      <c r="G598" s="68"/>
      <c r="H598" s="68"/>
    </row>
    <row r="599" spans="1:8" ht="12.75">
      <c r="A599" s="59"/>
      <c r="B599" s="59"/>
      <c r="C599" s="59"/>
      <c r="D599" s="59"/>
      <c r="E599" s="67"/>
      <c r="F599" s="68"/>
      <c r="G599" s="68"/>
      <c r="H599" s="68"/>
    </row>
    <row r="600" spans="1:8" ht="12.75">
      <c r="A600" s="59"/>
      <c r="B600" s="59"/>
      <c r="C600" s="59"/>
      <c r="D600" s="59"/>
      <c r="E600" s="67"/>
      <c r="F600" s="68"/>
      <c r="G600" s="68"/>
      <c r="H600" s="68"/>
    </row>
    <row r="601" spans="1:8" ht="12.75">
      <c r="A601" s="59"/>
      <c r="B601" s="59"/>
      <c r="C601" s="59"/>
      <c r="D601" s="59"/>
      <c r="E601" s="67"/>
      <c r="F601" s="68"/>
      <c r="G601" s="68"/>
      <c r="H601" s="68"/>
    </row>
    <row r="602" spans="1:8" ht="12.75">
      <c r="A602" s="59"/>
      <c r="B602" s="59"/>
      <c r="C602" s="59"/>
      <c r="D602" s="59"/>
      <c r="E602" s="67"/>
      <c r="F602" s="68"/>
      <c r="G602" s="68"/>
      <c r="H602" s="68"/>
    </row>
    <row r="603" spans="1:8" ht="12.75">
      <c r="A603" s="59"/>
      <c r="B603" s="59"/>
      <c r="C603" s="59"/>
      <c r="D603" s="59"/>
      <c r="E603" s="67"/>
      <c r="F603" s="68"/>
      <c r="G603" s="68"/>
      <c r="H603" s="68"/>
    </row>
    <row r="604" spans="1:8" ht="12.75">
      <c r="A604" s="59"/>
      <c r="B604" s="59"/>
      <c r="C604" s="59"/>
      <c r="D604" s="59"/>
      <c r="E604" s="67"/>
      <c r="F604" s="68"/>
      <c r="G604" s="68"/>
      <c r="H604" s="68"/>
    </row>
    <row r="605" spans="1:8" ht="12.75">
      <c r="A605" s="59"/>
      <c r="B605" s="59"/>
      <c r="C605" s="59"/>
      <c r="D605" s="59"/>
      <c r="E605" s="67"/>
      <c r="F605" s="68"/>
      <c r="G605" s="68"/>
      <c r="H605" s="68"/>
    </row>
    <row r="606" spans="1:8" ht="12.75">
      <c r="A606" s="59"/>
      <c r="B606" s="59"/>
      <c r="C606" s="59"/>
      <c r="D606" s="59"/>
      <c r="E606" s="67"/>
      <c r="F606" s="68"/>
      <c r="G606" s="68"/>
      <c r="H606" s="68"/>
    </row>
    <row r="607" spans="1:8" ht="12.75">
      <c r="A607" s="59"/>
      <c r="B607" s="59"/>
      <c r="C607" s="59"/>
      <c r="D607" s="59"/>
      <c r="E607" s="67"/>
      <c r="F607" s="68"/>
      <c r="G607" s="68"/>
      <c r="H607" s="68"/>
    </row>
    <row r="608" spans="1:8" ht="12.75">
      <c r="A608" s="59"/>
      <c r="B608" s="59"/>
      <c r="C608" s="59"/>
      <c r="D608" s="59"/>
      <c r="E608" s="67"/>
      <c r="F608" s="68"/>
      <c r="G608" s="68"/>
      <c r="H608" s="68"/>
    </row>
    <row r="609" spans="1:8" ht="12.75">
      <c r="A609" s="59"/>
      <c r="B609" s="59"/>
      <c r="C609" s="59"/>
      <c r="D609" s="59"/>
      <c r="E609" s="67"/>
      <c r="F609" s="68"/>
      <c r="G609" s="68"/>
      <c r="H609" s="68"/>
    </row>
    <row r="610" spans="1:8" ht="12.75">
      <c r="A610" s="59"/>
      <c r="B610" s="59"/>
      <c r="C610" s="59"/>
      <c r="D610" s="59"/>
      <c r="E610" s="67"/>
      <c r="F610" s="68"/>
      <c r="G610" s="68"/>
      <c r="H610" s="68"/>
    </row>
    <row r="611" spans="1:8" ht="12.75">
      <c r="A611" s="59"/>
      <c r="B611" s="59"/>
      <c r="C611" s="59"/>
      <c r="D611" s="59"/>
      <c r="E611" s="67"/>
      <c r="F611" s="68"/>
      <c r="G611" s="68"/>
      <c r="H611" s="68"/>
    </row>
    <row r="612" spans="1:8" ht="12.75">
      <c r="A612" s="59"/>
      <c r="B612" s="59"/>
      <c r="C612" s="59"/>
      <c r="D612" s="59"/>
      <c r="E612" s="67"/>
      <c r="F612" s="68"/>
      <c r="G612" s="68"/>
      <c r="H612" s="68"/>
    </row>
    <row r="613" spans="1:8" ht="12.75">
      <c r="A613" s="59"/>
      <c r="B613" s="59"/>
      <c r="C613" s="59"/>
      <c r="D613" s="59"/>
      <c r="E613" s="67"/>
      <c r="F613" s="68"/>
      <c r="G613" s="68"/>
      <c r="H613" s="68"/>
    </row>
    <row r="614" spans="1:8" ht="12.75">
      <c r="A614" s="59"/>
      <c r="B614" s="59"/>
      <c r="C614" s="59"/>
      <c r="D614" s="59"/>
      <c r="E614" s="67"/>
      <c r="F614" s="68"/>
      <c r="G614" s="68"/>
      <c r="H614" s="68"/>
    </row>
    <row r="615" spans="1:8" ht="12.75">
      <c r="A615" s="59"/>
      <c r="B615" s="59"/>
      <c r="C615" s="59"/>
      <c r="D615" s="59"/>
      <c r="E615" s="67"/>
      <c r="F615" s="68"/>
      <c r="G615" s="68"/>
      <c r="H615" s="68"/>
    </row>
    <row r="616" spans="1:8" ht="12.75">
      <c r="A616" s="59"/>
      <c r="B616" s="59"/>
      <c r="C616" s="59"/>
      <c r="D616" s="59"/>
      <c r="E616" s="67"/>
      <c r="F616" s="68"/>
      <c r="G616" s="68"/>
      <c r="H616" s="68"/>
    </row>
    <row r="617" spans="1:8" ht="12.75">
      <c r="A617" s="59"/>
      <c r="B617" s="59"/>
      <c r="C617" s="59"/>
      <c r="D617" s="59"/>
      <c r="E617" s="67"/>
      <c r="F617" s="68"/>
      <c r="G617" s="68"/>
      <c r="H617" s="68"/>
    </row>
    <row r="618" spans="1:8" ht="12.75">
      <c r="A618" s="59"/>
      <c r="B618" s="59"/>
      <c r="C618" s="59"/>
      <c r="D618" s="59"/>
      <c r="E618" s="67"/>
      <c r="F618" s="68"/>
      <c r="G618" s="68"/>
      <c r="H618" s="68"/>
    </row>
    <row r="619" spans="1:8" ht="12.75">
      <c r="A619" s="59"/>
      <c r="B619" s="59"/>
      <c r="C619" s="59"/>
      <c r="D619" s="59"/>
      <c r="E619" s="67"/>
      <c r="F619" s="68"/>
      <c r="G619" s="68"/>
      <c r="H619" s="68"/>
    </row>
    <row r="620" spans="1:8" ht="12.75">
      <c r="A620" s="59"/>
      <c r="B620" s="59"/>
      <c r="C620" s="59"/>
      <c r="D620" s="59"/>
      <c r="E620" s="67"/>
      <c r="F620" s="68"/>
      <c r="G620" s="68"/>
      <c r="H620" s="68"/>
    </row>
    <row r="621" spans="1:8" ht="12.75">
      <c r="A621" s="59"/>
      <c r="B621" s="59"/>
      <c r="C621" s="59"/>
      <c r="D621" s="59"/>
      <c r="E621" s="67"/>
      <c r="F621" s="68"/>
      <c r="G621" s="68"/>
      <c r="H621" s="68"/>
    </row>
    <row r="622" spans="1:8" ht="12.75">
      <c r="A622" s="59"/>
      <c r="B622" s="59"/>
      <c r="C622" s="59"/>
      <c r="D622" s="59"/>
      <c r="E622" s="67"/>
      <c r="F622" s="68"/>
      <c r="G622" s="68"/>
      <c r="H622" s="68"/>
    </row>
    <row r="623" spans="1:8" ht="12.75">
      <c r="A623" s="59"/>
      <c r="B623" s="59"/>
      <c r="C623" s="59"/>
      <c r="D623" s="59"/>
      <c r="E623" s="67"/>
      <c r="F623" s="68"/>
      <c r="G623" s="68"/>
      <c r="H623" s="68"/>
    </row>
    <row r="624" spans="1:8" ht="12.75">
      <c r="A624" s="59"/>
      <c r="B624" s="59"/>
      <c r="C624" s="59"/>
      <c r="D624" s="59"/>
      <c r="E624" s="67"/>
      <c r="F624" s="68"/>
      <c r="G624" s="68"/>
      <c r="H624" s="68"/>
    </row>
    <row r="625" spans="1:8" ht="12.75">
      <c r="A625" s="59"/>
      <c r="B625" s="59"/>
      <c r="C625" s="59"/>
      <c r="D625" s="59"/>
      <c r="E625" s="67"/>
      <c r="F625" s="68"/>
      <c r="G625" s="68"/>
      <c r="H625" s="68"/>
    </row>
    <row r="626" spans="1:8" ht="12.75">
      <c r="A626" s="59"/>
      <c r="B626" s="59"/>
      <c r="C626" s="59"/>
      <c r="D626" s="59"/>
      <c r="E626" s="67"/>
      <c r="F626" s="68"/>
      <c r="G626" s="68"/>
      <c r="H626" s="68"/>
    </row>
    <row r="627" spans="1:8" ht="12.75">
      <c r="A627" s="59"/>
      <c r="B627" s="59"/>
      <c r="C627" s="59"/>
      <c r="D627" s="59"/>
      <c r="E627" s="67"/>
      <c r="F627" s="68"/>
      <c r="G627" s="68"/>
      <c r="H627" s="68"/>
    </row>
    <row r="628" spans="1:8" ht="12.75">
      <c r="A628" s="59"/>
      <c r="B628" s="59"/>
      <c r="C628" s="59"/>
      <c r="D628" s="59"/>
      <c r="E628" s="67"/>
      <c r="F628" s="68"/>
      <c r="G628" s="68"/>
      <c r="H628" s="68"/>
    </row>
    <row r="629" spans="1:8" ht="12.75">
      <c r="A629" s="59"/>
      <c r="B629" s="59"/>
      <c r="C629" s="59"/>
      <c r="D629" s="59"/>
      <c r="E629" s="67"/>
      <c r="F629" s="68"/>
      <c r="G629" s="68"/>
      <c r="H629" s="68"/>
    </row>
    <row r="630" spans="1:8" ht="12.75">
      <c r="A630" s="59"/>
      <c r="B630" s="59"/>
      <c r="C630" s="59"/>
      <c r="D630" s="59"/>
      <c r="E630" s="67"/>
      <c r="F630" s="68"/>
      <c r="G630" s="68"/>
      <c r="H630" s="68"/>
    </row>
    <row r="631" spans="1:8" ht="12.75">
      <c r="A631" s="59"/>
      <c r="B631" s="59"/>
      <c r="C631" s="59"/>
      <c r="D631" s="59"/>
      <c r="E631" s="67"/>
      <c r="F631" s="68"/>
      <c r="G631" s="68"/>
      <c r="H631" s="68"/>
    </row>
    <row r="632" spans="1:8" ht="12.75">
      <c r="A632" s="59"/>
      <c r="B632" s="59"/>
      <c r="C632" s="59"/>
      <c r="D632" s="59"/>
      <c r="E632" s="67"/>
      <c r="F632" s="68"/>
      <c r="G632" s="68"/>
      <c r="H632" s="68"/>
    </row>
    <row r="633" spans="1:8" ht="12.75">
      <c r="A633" s="59"/>
      <c r="B633" s="59"/>
      <c r="C633" s="59"/>
      <c r="D633" s="59"/>
      <c r="E633" s="67"/>
      <c r="F633" s="68"/>
      <c r="G633" s="68"/>
      <c r="H633" s="68"/>
    </row>
    <row r="634" spans="1:8" ht="12.75">
      <c r="A634" s="59"/>
      <c r="B634" s="59"/>
      <c r="C634" s="59"/>
      <c r="D634" s="59"/>
      <c r="E634" s="67"/>
      <c r="F634" s="68"/>
      <c r="G634" s="68"/>
      <c r="H634" s="68"/>
    </row>
    <row r="635" spans="1:8" ht="12.75">
      <c r="A635" s="59"/>
      <c r="B635" s="59"/>
      <c r="C635" s="59"/>
      <c r="D635" s="59"/>
      <c r="E635" s="67"/>
      <c r="F635" s="68"/>
      <c r="G635" s="68"/>
      <c r="H635" s="68"/>
    </row>
    <row r="636" spans="1:8" ht="12.75">
      <c r="A636" s="59"/>
      <c r="B636" s="59"/>
      <c r="C636" s="59"/>
      <c r="D636" s="59"/>
      <c r="E636" s="67"/>
      <c r="F636" s="68"/>
      <c r="G636" s="68"/>
      <c r="H636" s="68"/>
    </row>
    <row r="637" spans="1:8" ht="12.75">
      <c r="A637" s="59"/>
      <c r="B637" s="59"/>
      <c r="C637" s="59"/>
      <c r="D637" s="59"/>
      <c r="E637" s="67"/>
      <c r="F637" s="68"/>
      <c r="G637" s="68"/>
      <c r="H637" s="68"/>
    </row>
    <row r="638" spans="1:8" ht="12.75">
      <c r="A638" s="59"/>
      <c r="B638" s="59"/>
      <c r="C638" s="59"/>
      <c r="D638" s="59"/>
      <c r="E638" s="67"/>
      <c r="F638" s="68"/>
      <c r="G638" s="68"/>
      <c r="H638" s="68"/>
    </row>
    <row r="639" spans="1:8" ht="12.75">
      <c r="A639" s="59"/>
      <c r="B639" s="59"/>
      <c r="C639" s="59"/>
      <c r="D639" s="59"/>
      <c r="E639" s="67"/>
      <c r="F639" s="68"/>
      <c r="G639" s="68"/>
      <c r="H639" s="68"/>
    </row>
    <row r="640" spans="1:8" ht="12.75">
      <c r="A640" s="59"/>
      <c r="B640" s="59"/>
      <c r="C640" s="59"/>
      <c r="D640" s="59"/>
      <c r="E640" s="67"/>
      <c r="F640" s="68"/>
      <c r="G640" s="68"/>
      <c r="H640" s="68"/>
    </row>
    <row r="641" spans="1:8" ht="12.75">
      <c r="A641" s="59"/>
      <c r="B641" s="59"/>
      <c r="C641" s="59"/>
      <c r="D641" s="59"/>
      <c r="E641" s="67"/>
      <c r="F641" s="68"/>
      <c r="G641" s="68"/>
      <c r="H641" s="68"/>
    </row>
    <row r="642" spans="1:8" ht="12.75">
      <c r="A642" s="59"/>
      <c r="B642" s="59"/>
      <c r="C642" s="59"/>
      <c r="D642" s="59"/>
      <c r="E642" s="67"/>
      <c r="F642" s="68"/>
      <c r="G642" s="68"/>
      <c r="H642" s="68"/>
    </row>
    <row r="643" spans="1:8" ht="12.75">
      <c r="A643" s="59"/>
      <c r="B643" s="59"/>
      <c r="C643" s="59"/>
      <c r="D643" s="59"/>
      <c r="E643" s="67"/>
      <c r="F643" s="68"/>
      <c r="G643" s="68"/>
      <c r="H643" s="68"/>
    </row>
    <row r="644" spans="1:8" ht="12.75">
      <c r="A644" s="59"/>
      <c r="B644" s="59"/>
      <c r="C644" s="59"/>
      <c r="D644" s="59"/>
      <c r="E644" s="67"/>
      <c r="F644" s="68"/>
      <c r="G644" s="68"/>
      <c r="H644" s="68"/>
    </row>
    <row r="645" spans="1:8" ht="12.75">
      <c r="A645" s="59"/>
      <c r="B645" s="59"/>
      <c r="C645" s="59"/>
      <c r="D645" s="59"/>
      <c r="E645" s="67"/>
      <c r="F645" s="68"/>
      <c r="G645" s="68"/>
      <c r="H645" s="68"/>
    </row>
    <row r="646" spans="1:8" ht="12.75">
      <c r="A646" s="59"/>
      <c r="B646" s="59"/>
      <c r="C646" s="59"/>
      <c r="D646" s="59"/>
      <c r="E646" s="67"/>
      <c r="F646" s="68"/>
      <c r="G646" s="68"/>
      <c r="H646" s="68"/>
    </row>
    <row r="647" spans="1:8" ht="12.75">
      <c r="A647" s="59"/>
      <c r="B647" s="59"/>
      <c r="C647" s="59"/>
      <c r="D647" s="59"/>
      <c r="E647" s="67"/>
      <c r="F647" s="68"/>
      <c r="G647" s="68"/>
      <c r="H647" s="68"/>
    </row>
    <row r="648" spans="1:8" ht="12.75">
      <c r="A648" s="59"/>
      <c r="B648" s="59"/>
      <c r="C648" s="59"/>
      <c r="D648" s="59"/>
      <c r="E648" s="67"/>
      <c r="F648" s="68"/>
      <c r="G648" s="68"/>
      <c r="H648" s="68"/>
    </row>
    <row r="649" spans="1:8" ht="12.75">
      <c r="A649" s="59"/>
      <c r="B649" s="59"/>
      <c r="C649" s="59"/>
      <c r="D649" s="59"/>
      <c r="E649" s="67"/>
      <c r="F649" s="68"/>
      <c r="G649" s="68"/>
      <c r="H649" s="68"/>
    </row>
    <row r="650" spans="1:8" ht="12.75">
      <c r="A650" s="59"/>
      <c r="B650" s="59"/>
      <c r="C650" s="59"/>
      <c r="D650" s="59"/>
      <c r="E650" s="67"/>
      <c r="F650" s="68"/>
      <c r="G650" s="68"/>
      <c r="H650" s="68"/>
    </row>
    <row r="651" spans="1:8" ht="12.75">
      <c r="A651" s="59"/>
      <c r="B651" s="59"/>
      <c r="C651" s="59"/>
      <c r="D651" s="59"/>
      <c r="E651" s="67"/>
      <c r="F651" s="68"/>
      <c r="G651" s="68"/>
      <c r="H651" s="68"/>
    </row>
    <row r="652" spans="1:8" ht="12.75">
      <c r="A652" s="59"/>
      <c r="B652" s="59"/>
      <c r="C652" s="59"/>
      <c r="D652" s="59"/>
      <c r="E652" s="67"/>
      <c r="F652" s="68"/>
      <c r="G652" s="68"/>
      <c r="H652" s="68"/>
    </row>
    <row r="653" spans="1:8" ht="12.75">
      <c r="A653" s="59"/>
      <c r="B653" s="59"/>
      <c r="C653" s="59"/>
      <c r="D653" s="59"/>
      <c r="E653" s="67"/>
      <c r="F653" s="68"/>
      <c r="G653" s="68"/>
      <c r="H653" s="68"/>
    </row>
    <row r="654" spans="1:8" ht="12.75">
      <c r="A654" s="59"/>
      <c r="B654" s="59"/>
      <c r="C654" s="59"/>
      <c r="D654" s="59"/>
      <c r="E654" s="67"/>
      <c r="F654" s="68"/>
      <c r="G654" s="68"/>
      <c r="H654" s="68"/>
    </row>
    <row r="655" spans="1:8" ht="12.75">
      <c r="A655" s="59"/>
      <c r="B655" s="59"/>
      <c r="C655" s="59"/>
      <c r="D655" s="59"/>
      <c r="E655" s="67"/>
      <c r="F655" s="68"/>
      <c r="G655" s="68"/>
      <c r="H655" s="68"/>
    </row>
    <row r="656" spans="1:8" ht="12.75">
      <c r="A656" s="59"/>
      <c r="B656" s="59"/>
      <c r="C656" s="59"/>
      <c r="D656" s="59"/>
      <c r="E656" s="67"/>
      <c r="F656" s="68"/>
      <c r="G656" s="68"/>
      <c r="H656" s="68"/>
    </row>
    <row r="657" spans="1:8" ht="12.75">
      <c r="A657" s="59"/>
      <c r="B657" s="59"/>
      <c r="C657" s="59"/>
      <c r="D657" s="59"/>
      <c r="E657" s="67"/>
      <c r="F657" s="68"/>
      <c r="G657" s="68"/>
      <c r="H657" s="68"/>
    </row>
    <row r="658" spans="1:8" ht="12.75">
      <c r="A658" s="59"/>
      <c r="B658" s="59"/>
      <c r="C658" s="59"/>
      <c r="D658" s="59"/>
      <c r="E658" s="67"/>
      <c r="F658" s="68"/>
      <c r="G658" s="68"/>
      <c r="H658" s="68"/>
    </row>
    <row r="659" spans="1:8" ht="12.75">
      <c r="A659" s="59"/>
      <c r="B659" s="59"/>
      <c r="C659" s="59"/>
      <c r="D659" s="59"/>
      <c r="E659" s="67"/>
      <c r="F659" s="68"/>
      <c r="G659" s="68"/>
      <c r="H659" s="68"/>
    </row>
    <row r="660" spans="1:8" ht="12.75">
      <c r="A660" s="59"/>
      <c r="B660" s="59"/>
      <c r="C660" s="59"/>
      <c r="D660" s="59"/>
      <c r="E660" s="67"/>
      <c r="F660" s="68"/>
      <c r="G660" s="68"/>
      <c r="H660" s="68"/>
    </row>
    <row r="661" spans="1:8" ht="12.75">
      <c r="A661" s="59"/>
      <c r="B661" s="59"/>
      <c r="C661" s="59"/>
      <c r="D661" s="59"/>
      <c r="E661" s="67"/>
      <c r="F661" s="68"/>
      <c r="G661" s="68"/>
      <c r="H661" s="68"/>
    </row>
    <row r="662" spans="1:8" ht="12.75">
      <c r="A662" s="59"/>
      <c r="B662" s="59"/>
      <c r="C662" s="59"/>
      <c r="D662" s="59"/>
      <c r="E662" s="67"/>
      <c r="F662" s="68"/>
      <c r="G662" s="68"/>
      <c r="H662" s="68"/>
    </row>
    <row r="663" spans="1:8" ht="12.75">
      <c r="A663" s="59"/>
      <c r="B663" s="59"/>
      <c r="C663" s="59"/>
      <c r="D663" s="59"/>
      <c r="E663" s="67"/>
      <c r="F663" s="68"/>
      <c r="G663" s="68"/>
      <c r="H663" s="68"/>
    </row>
    <row r="664" spans="1:8" ht="12.75">
      <c r="A664" s="59"/>
      <c r="B664" s="59"/>
      <c r="C664" s="59"/>
      <c r="D664" s="59"/>
      <c r="E664" s="67"/>
      <c r="F664" s="68"/>
      <c r="G664" s="68"/>
      <c r="H664" s="68"/>
    </row>
    <row r="665" spans="1:8" ht="12.75">
      <c r="A665" s="59"/>
      <c r="B665" s="59"/>
      <c r="C665" s="59"/>
      <c r="D665" s="59"/>
      <c r="E665" s="67"/>
      <c r="F665" s="68"/>
      <c r="G665" s="68"/>
      <c r="H665" s="68"/>
    </row>
    <row r="666" spans="1:8" ht="12.75">
      <c r="A666" s="59"/>
      <c r="B666" s="59"/>
      <c r="C666" s="59"/>
      <c r="D666" s="59"/>
      <c r="E666" s="67"/>
      <c r="F666" s="68"/>
      <c r="G666" s="68"/>
      <c r="H666" s="68"/>
    </row>
    <row r="667" spans="1:8" ht="12.75">
      <c r="A667" s="59"/>
      <c r="B667" s="59"/>
      <c r="C667" s="59"/>
      <c r="D667" s="59"/>
      <c r="E667" s="67"/>
      <c r="F667" s="68"/>
      <c r="G667" s="68"/>
      <c r="H667" s="68"/>
    </row>
    <row r="668" spans="1:8" ht="12.75">
      <c r="A668" s="59"/>
      <c r="B668" s="59"/>
      <c r="C668" s="59"/>
      <c r="D668" s="59"/>
      <c r="E668" s="67"/>
      <c r="F668" s="68"/>
      <c r="G668" s="68"/>
      <c r="H668" s="68"/>
    </row>
    <row r="669" spans="1:8" ht="12.75">
      <c r="A669" s="59"/>
      <c r="B669" s="59"/>
      <c r="C669" s="59"/>
      <c r="D669" s="59"/>
      <c r="E669" s="67"/>
      <c r="F669" s="68"/>
      <c r="G669" s="68"/>
      <c r="H669" s="68"/>
    </row>
    <row r="670" spans="1:8" ht="12.75">
      <c r="A670" s="59"/>
      <c r="B670" s="59"/>
      <c r="C670" s="59"/>
      <c r="D670" s="59"/>
      <c r="E670" s="67"/>
      <c r="F670" s="68"/>
      <c r="G670" s="68"/>
      <c r="H670" s="68"/>
    </row>
    <row r="671" spans="1:8" ht="12.75">
      <c r="A671" s="59"/>
      <c r="B671" s="59"/>
      <c r="C671" s="59"/>
      <c r="D671" s="59"/>
      <c r="E671" s="67"/>
      <c r="F671" s="68"/>
      <c r="G671" s="68"/>
      <c r="H671" s="68"/>
    </row>
    <row r="672" spans="1:8" ht="12.75">
      <c r="A672" s="59"/>
      <c r="B672" s="59"/>
      <c r="C672" s="59"/>
      <c r="D672" s="59"/>
      <c r="E672" s="67"/>
      <c r="F672" s="68"/>
      <c r="G672" s="68"/>
      <c r="H672" s="68"/>
    </row>
    <row r="673" spans="1:8" ht="12.75">
      <c r="A673" s="59"/>
      <c r="B673" s="59"/>
      <c r="C673" s="59"/>
      <c r="D673" s="59"/>
      <c r="E673" s="67"/>
      <c r="F673" s="68"/>
      <c r="G673" s="68"/>
      <c r="H673" s="68"/>
    </row>
    <row r="674" spans="1:8" ht="12.75">
      <c r="A674" s="59"/>
      <c r="B674" s="59"/>
      <c r="C674" s="59"/>
      <c r="D674" s="59"/>
      <c r="E674" s="67"/>
      <c r="F674" s="68"/>
      <c r="G674" s="68"/>
      <c r="H674" s="68"/>
    </row>
    <row r="675" spans="1:8" ht="12.75">
      <c r="A675" s="59"/>
      <c r="B675" s="59"/>
      <c r="C675" s="59"/>
      <c r="D675" s="59"/>
      <c r="E675" s="67"/>
      <c r="F675" s="68"/>
      <c r="G675" s="68"/>
      <c r="H675" s="68"/>
    </row>
    <row r="676" spans="1:8" ht="12.75">
      <c r="A676" s="59"/>
      <c r="B676" s="59"/>
      <c r="C676" s="59"/>
      <c r="D676" s="59"/>
      <c r="E676" s="67"/>
      <c r="F676" s="68"/>
      <c r="G676" s="68"/>
      <c r="H676" s="68"/>
    </row>
    <row r="677" spans="1:8" ht="12.75">
      <c r="A677" s="59"/>
      <c r="B677" s="59"/>
      <c r="C677" s="59"/>
      <c r="D677" s="59"/>
      <c r="E677" s="67"/>
      <c r="F677" s="68"/>
      <c r="G677" s="68"/>
      <c r="H677" s="68"/>
    </row>
    <row r="678" spans="1:8" ht="12.75">
      <c r="A678" s="59"/>
      <c r="B678" s="59"/>
      <c r="C678" s="59"/>
      <c r="D678" s="59"/>
      <c r="E678" s="67"/>
      <c r="F678" s="68"/>
      <c r="G678" s="68"/>
      <c r="H678" s="68"/>
    </row>
    <row r="679" spans="1:8" ht="12.75">
      <c r="A679" s="59"/>
      <c r="B679" s="59"/>
      <c r="C679" s="59"/>
      <c r="D679" s="59"/>
      <c r="E679" s="67"/>
      <c r="F679" s="68"/>
      <c r="G679" s="68"/>
      <c r="H679" s="68"/>
    </row>
    <row r="680" spans="1:8" ht="12.75">
      <c r="A680" s="59"/>
      <c r="B680" s="59"/>
      <c r="C680" s="59"/>
      <c r="D680" s="59"/>
      <c r="E680" s="67"/>
      <c r="F680" s="68"/>
      <c r="G680" s="68"/>
      <c r="H680" s="68"/>
    </row>
    <row r="681" spans="1:8" ht="12.75">
      <c r="A681" s="59"/>
      <c r="B681" s="59"/>
      <c r="C681" s="59"/>
      <c r="D681" s="59"/>
      <c r="E681" s="67"/>
      <c r="F681" s="68"/>
      <c r="G681" s="68"/>
      <c r="H681" s="68"/>
    </row>
    <row r="682" spans="1:8" ht="12.75">
      <c r="A682" s="59"/>
      <c r="B682" s="59"/>
      <c r="C682" s="59"/>
      <c r="D682" s="59"/>
      <c r="E682" s="67"/>
      <c r="F682" s="68"/>
      <c r="G682" s="68"/>
      <c r="H682" s="68"/>
    </row>
    <row r="683" spans="1:8" ht="12.75">
      <c r="A683" s="59"/>
      <c r="B683" s="59"/>
      <c r="C683" s="59"/>
      <c r="D683" s="59"/>
      <c r="E683" s="67"/>
      <c r="F683" s="68"/>
      <c r="G683" s="68"/>
      <c r="H683" s="68"/>
    </row>
    <row r="684" spans="1:8" ht="12.75">
      <c r="A684" s="59"/>
      <c r="B684" s="59"/>
      <c r="C684" s="59"/>
      <c r="D684" s="59"/>
      <c r="E684" s="67"/>
      <c r="F684" s="68"/>
      <c r="G684" s="68"/>
      <c r="H684" s="68"/>
    </row>
    <row r="685" spans="1:8" ht="12.75">
      <c r="A685" s="59"/>
      <c r="B685" s="59"/>
      <c r="C685" s="59"/>
      <c r="D685" s="59"/>
      <c r="E685" s="67"/>
      <c r="F685" s="68"/>
      <c r="G685" s="68"/>
      <c r="H685" s="68"/>
    </row>
    <row r="686" spans="1:8" ht="12.75">
      <c r="A686" s="59"/>
      <c r="B686" s="59"/>
      <c r="C686" s="59"/>
      <c r="D686" s="59"/>
      <c r="E686" s="67"/>
      <c r="F686" s="68"/>
      <c r="G686" s="68"/>
      <c r="H686" s="68"/>
    </row>
    <row r="687" spans="1:8" ht="12.75">
      <c r="A687" s="59"/>
      <c r="B687" s="59"/>
      <c r="C687" s="59"/>
      <c r="D687" s="59"/>
      <c r="E687" s="67"/>
      <c r="F687" s="68"/>
      <c r="G687" s="68"/>
      <c r="H687" s="68"/>
    </row>
    <row r="688" spans="1:8" ht="12.75">
      <c r="A688" s="59"/>
      <c r="B688" s="59"/>
      <c r="C688" s="59"/>
      <c r="D688" s="59"/>
      <c r="E688" s="67"/>
      <c r="F688" s="68"/>
      <c r="G688" s="68"/>
      <c r="H688" s="68"/>
    </row>
    <row r="689" spans="1:8" ht="12.75">
      <c r="A689" s="59"/>
      <c r="B689" s="59"/>
      <c r="C689" s="59"/>
      <c r="D689" s="59"/>
      <c r="E689" s="67"/>
      <c r="F689" s="68"/>
      <c r="G689" s="68"/>
      <c r="H689" s="68"/>
    </row>
    <row r="690" spans="1:8" ht="12.75">
      <c r="A690" s="59"/>
      <c r="B690" s="59"/>
      <c r="C690" s="59"/>
      <c r="D690" s="59"/>
      <c r="E690" s="67"/>
      <c r="F690" s="68"/>
      <c r="G690" s="68"/>
      <c r="H690" s="68"/>
    </row>
    <row r="691" spans="1:8" ht="12.75">
      <c r="A691" s="59"/>
      <c r="B691" s="59"/>
      <c r="C691" s="59"/>
      <c r="D691" s="59"/>
      <c r="E691" s="67"/>
      <c r="F691" s="68"/>
      <c r="G691" s="68"/>
      <c r="H691" s="68"/>
    </row>
    <row r="692" spans="1:8" ht="12.75">
      <c r="A692" s="59"/>
      <c r="B692" s="59"/>
      <c r="C692" s="59"/>
      <c r="D692" s="59"/>
      <c r="E692" s="67"/>
      <c r="F692" s="68"/>
      <c r="G692" s="68"/>
      <c r="H692" s="68"/>
    </row>
    <row r="693" spans="1:8" ht="12.75">
      <c r="A693" s="59"/>
      <c r="B693" s="59"/>
      <c r="C693" s="59"/>
      <c r="D693" s="59"/>
      <c r="E693" s="67"/>
      <c r="F693" s="68"/>
      <c r="G693" s="68"/>
      <c r="H693" s="68"/>
    </row>
    <row r="694" spans="1:8" ht="12.75">
      <c r="A694" s="59"/>
      <c r="B694" s="59"/>
      <c r="C694" s="59"/>
      <c r="D694" s="59"/>
      <c r="E694" s="67"/>
      <c r="F694" s="68"/>
      <c r="G694" s="68"/>
      <c r="H694" s="68"/>
    </row>
    <row r="695" spans="1:8" ht="12.75">
      <c r="A695" s="59"/>
      <c r="B695" s="59"/>
      <c r="C695" s="59"/>
      <c r="D695" s="59"/>
      <c r="E695" s="67"/>
      <c r="F695" s="68"/>
      <c r="G695" s="68"/>
      <c r="H695" s="68"/>
    </row>
    <row r="696" spans="1:8" ht="12.75">
      <c r="A696" s="59"/>
      <c r="B696" s="59"/>
      <c r="C696" s="59"/>
      <c r="D696" s="59"/>
      <c r="E696" s="67"/>
      <c r="F696" s="68"/>
      <c r="G696" s="68"/>
      <c r="H696" s="68"/>
    </row>
    <row r="697" spans="1:8" ht="12.75">
      <c r="A697" s="59"/>
      <c r="B697" s="59"/>
      <c r="C697" s="59"/>
      <c r="D697" s="59"/>
      <c r="E697" s="67"/>
      <c r="F697" s="68"/>
      <c r="G697" s="68"/>
      <c r="H697" s="68"/>
    </row>
    <row r="698" spans="1:8" ht="12.75">
      <c r="A698" s="59"/>
      <c r="B698" s="59"/>
      <c r="C698" s="59"/>
      <c r="D698" s="59"/>
      <c r="E698" s="67"/>
      <c r="F698" s="68"/>
      <c r="G698" s="68"/>
      <c r="H698" s="68"/>
    </row>
    <row r="699" spans="1:8" ht="12.75">
      <c r="A699" s="59"/>
      <c r="B699" s="59"/>
      <c r="C699" s="59"/>
      <c r="D699" s="59"/>
      <c r="E699" s="67"/>
      <c r="F699" s="68"/>
      <c r="G699" s="68"/>
      <c r="H699" s="68"/>
    </row>
    <row r="700" spans="1:8" ht="12.75">
      <c r="A700" s="59"/>
      <c r="B700" s="59"/>
      <c r="C700" s="59"/>
      <c r="D700" s="59"/>
      <c r="E700" s="67"/>
      <c r="F700" s="68"/>
      <c r="G700" s="68"/>
      <c r="H700" s="68"/>
    </row>
    <row r="701" spans="1:8" ht="12.75">
      <c r="A701" s="59"/>
      <c r="B701" s="59"/>
      <c r="C701" s="59"/>
      <c r="D701" s="59"/>
      <c r="E701" s="67"/>
      <c r="F701" s="68"/>
      <c r="G701" s="68"/>
      <c r="H701" s="68"/>
    </row>
    <row r="702" spans="1:8" ht="12.75">
      <c r="A702" s="59"/>
      <c r="B702" s="59"/>
      <c r="C702" s="59"/>
      <c r="D702" s="59"/>
      <c r="E702" s="67"/>
      <c r="F702" s="68"/>
      <c r="G702" s="68"/>
      <c r="H702" s="68"/>
    </row>
    <row r="703" spans="1:8" ht="12.75">
      <c r="A703" s="59"/>
      <c r="B703" s="59"/>
      <c r="C703" s="59"/>
      <c r="D703" s="59"/>
      <c r="E703" s="67"/>
      <c r="F703" s="68"/>
      <c r="G703" s="68"/>
      <c r="H703" s="68"/>
    </row>
    <row r="704" spans="1:8" ht="12.75">
      <c r="A704" s="59"/>
      <c r="B704" s="59"/>
      <c r="C704" s="59"/>
      <c r="D704" s="59"/>
      <c r="E704" s="67"/>
      <c r="F704" s="68"/>
      <c r="G704" s="68"/>
      <c r="H704" s="68"/>
    </row>
    <row r="705" spans="1:8" ht="12.75">
      <c r="A705" s="59"/>
      <c r="B705" s="59"/>
      <c r="C705" s="59"/>
      <c r="D705" s="59"/>
      <c r="E705" s="67"/>
      <c r="F705" s="68"/>
      <c r="G705" s="68"/>
      <c r="H705" s="68"/>
    </row>
    <row r="706" spans="1:8" ht="12.75">
      <c r="A706" s="59"/>
      <c r="B706" s="59"/>
      <c r="C706" s="59"/>
      <c r="D706" s="59"/>
      <c r="E706" s="67"/>
      <c r="F706" s="68"/>
      <c r="G706" s="68"/>
      <c r="H706" s="68"/>
    </row>
    <row r="707" spans="1:8" ht="12.75">
      <c r="A707" s="59"/>
      <c r="B707" s="59"/>
      <c r="C707" s="59"/>
      <c r="D707" s="59"/>
      <c r="E707" s="67"/>
      <c r="F707" s="68"/>
      <c r="G707" s="68"/>
      <c r="H707" s="68"/>
    </row>
    <row r="708" spans="1:8" ht="12.75">
      <c r="A708" s="59"/>
      <c r="B708" s="59"/>
      <c r="C708" s="59"/>
      <c r="D708" s="59"/>
      <c r="E708" s="67"/>
      <c r="F708" s="68"/>
      <c r="G708" s="68"/>
      <c r="H708" s="68"/>
    </row>
    <row r="709" spans="1:8" ht="12.75">
      <c r="A709" s="59"/>
      <c r="B709" s="59"/>
      <c r="C709" s="59"/>
      <c r="D709" s="59"/>
      <c r="E709" s="67"/>
      <c r="F709" s="68"/>
      <c r="G709" s="68"/>
      <c r="H709" s="68"/>
    </row>
    <row r="710" spans="1:8" ht="12.75">
      <c r="A710" s="59"/>
      <c r="B710" s="59"/>
      <c r="C710" s="59"/>
      <c r="D710" s="59"/>
      <c r="E710" s="67"/>
      <c r="F710" s="68"/>
      <c r="G710" s="68"/>
      <c r="H710" s="68"/>
    </row>
    <row r="711" spans="1:8" ht="12.75">
      <c r="A711" s="59"/>
      <c r="B711" s="59"/>
      <c r="C711" s="59"/>
      <c r="D711" s="59"/>
      <c r="E711" s="67"/>
      <c r="F711" s="68"/>
      <c r="G711" s="68"/>
      <c r="H711" s="68"/>
    </row>
    <row r="712" spans="1:8" ht="12.75">
      <c r="A712" s="59"/>
      <c r="B712" s="59"/>
      <c r="C712" s="59"/>
      <c r="D712" s="59"/>
      <c r="E712" s="67"/>
      <c r="F712" s="68"/>
      <c r="G712" s="68"/>
      <c r="H712" s="68"/>
    </row>
    <row r="713" spans="1:8" ht="12.75">
      <c r="A713" s="59"/>
      <c r="B713" s="59"/>
      <c r="C713" s="59"/>
      <c r="D713" s="59"/>
      <c r="E713" s="67"/>
      <c r="F713" s="68"/>
      <c r="G713" s="68"/>
      <c r="H713" s="68"/>
    </row>
    <row r="714" spans="1:8" ht="12.75">
      <c r="A714" s="59"/>
      <c r="B714" s="59"/>
      <c r="C714" s="59"/>
      <c r="D714" s="59"/>
      <c r="E714" s="67"/>
      <c r="F714" s="68"/>
      <c r="G714" s="68"/>
      <c r="H714" s="68"/>
    </row>
    <row r="715" spans="1:8" ht="12.75">
      <c r="A715" s="59"/>
      <c r="B715" s="59"/>
      <c r="C715" s="59"/>
      <c r="D715" s="59"/>
      <c r="E715" s="67"/>
      <c r="F715" s="68"/>
      <c r="G715" s="68"/>
      <c r="H715" s="68"/>
    </row>
    <row r="716" spans="1:8" ht="12.75">
      <c r="A716" s="59"/>
      <c r="B716" s="59"/>
      <c r="C716" s="59"/>
      <c r="D716" s="59"/>
      <c r="E716" s="67"/>
      <c r="F716" s="68"/>
      <c r="G716" s="68"/>
      <c r="H716" s="68"/>
    </row>
    <row r="717" spans="1:8" ht="12.75">
      <c r="A717" s="59"/>
      <c r="B717" s="59"/>
      <c r="C717" s="59"/>
      <c r="D717" s="59"/>
      <c r="E717" s="67"/>
      <c r="F717" s="68"/>
      <c r="G717" s="68"/>
      <c r="H717" s="68"/>
    </row>
    <row r="718" spans="1:8" ht="12.75">
      <c r="A718" s="59"/>
      <c r="B718" s="59"/>
      <c r="C718" s="59"/>
      <c r="D718" s="59"/>
      <c r="E718" s="67"/>
      <c r="F718" s="68"/>
      <c r="G718" s="68"/>
      <c r="H718" s="68"/>
    </row>
    <row r="719" spans="1:8" ht="12.75">
      <c r="A719" s="59"/>
      <c r="B719" s="59"/>
      <c r="C719" s="59"/>
      <c r="D719" s="59"/>
      <c r="E719" s="67"/>
      <c r="F719" s="68"/>
      <c r="G719" s="68"/>
      <c r="H719" s="68"/>
    </row>
    <row r="720" spans="1:8" ht="12.75">
      <c r="A720" s="59"/>
      <c r="B720" s="59"/>
      <c r="C720" s="59"/>
      <c r="D720" s="59"/>
      <c r="E720" s="67"/>
      <c r="F720" s="68"/>
      <c r="G720" s="68"/>
      <c r="H720" s="68"/>
    </row>
    <row r="721" spans="1:8" ht="12.75">
      <c r="A721" s="59"/>
      <c r="B721" s="59"/>
      <c r="C721" s="59"/>
      <c r="D721" s="59"/>
      <c r="E721" s="67"/>
      <c r="F721" s="68"/>
      <c r="G721" s="68"/>
      <c r="H721" s="68"/>
    </row>
    <row r="722" spans="1:8" ht="12.75">
      <c r="A722" s="59"/>
      <c r="B722" s="59"/>
      <c r="C722" s="59"/>
      <c r="D722" s="59"/>
      <c r="E722" s="67"/>
      <c r="F722" s="68"/>
      <c r="G722" s="68"/>
      <c r="H722" s="68"/>
    </row>
    <row r="723" spans="1:8" ht="12.75">
      <c r="A723" s="59"/>
      <c r="B723" s="59"/>
      <c r="C723" s="59"/>
      <c r="D723" s="59"/>
      <c r="E723" s="67"/>
      <c r="F723" s="68"/>
      <c r="G723" s="68"/>
      <c r="H723" s="68"/>
    </row>
    <row r="724" spans="1:8" ht="12.75">
      <c r="A724" s="59"/>
      <c r="B724" s="59"/>
      <c r="C724" s="59"/>
      <c r="D724" s="59"/>
      <c r="E724" s="67"/>
      <c r="F724" s="68"/>
      <c r="G724" s="68"/>
      <c r="H724" s="68"/>
    </row>
    <row r="725" spans="1:8" ht="12.75">
      <c r="A725" s="59"/>
      <c r="B725" s="59"/>
      <c r="C725" s="59"/>
      <c r="D725" s="59"/>
      <c r="E725" s="67"/>
      <c r="F725" s="68"/>
      <c r="G725" s="68"/>
      <c r="H725" s="68"/>
    </row>
    <row r="726" spans="1:8" ht="12.75">
      <c r="A726" s="59"/>
      <c r="B726" s="59"/>
      <c r="C726" s="59"/>
      <c r="D726" s="59"/>
      <c r="E726" s="67"/>
      <c r="F726" s="68"/>
      <c r="G726" s="68"/>
      <c r="H726" s="68"/>
    </row>
    <row r="727" spans="1:8" ht="12.75">
      <c r="A727" s="59"/>
      <c r="B727" s="59"/>
      <c r="C727" s="59"/>
      <c r="D727" s="59"/>
      <c r="E727" s="67"/>
      <c r="F727" s="68"/>
      <c r="G727" s="68"/>
      <c r="H727" s="68"/>
    </row>
    <row r="728" spans="1:8" ht="12.75">
      <c r="A728" s="59"/>
      <c r="B728" s="59"/>
      <c r="C728" s="59"/>
      <c r="D728" s="59"/>
      <c r="E728" s="67"/>
      <c r="F728" s="68"/>
      <c r="G728" s="68"/>
      <c r="H728" s="68"/>
    </row>
    <row r="729" spans="1:8" ht="12.75">
      <c r="A729" s="59"/>
      <c r="B729" s="59"/>
      <c r="C729" s="59"/>
      <c r="D729" s="59"/>
      <c r="E729" s="67"/>
      <c r="F729" s="68"/>
      <c r="G729" s="68"/>
      <c r="H729" s="68"/>
    </row>
    <row r="730" spans="1:8" ht="12.75">
      <c r="A730" s="59"/>
      <c r="B730" s="59"/>
      <c r="C730" s="59"/>
      <c r="D730" s="59"/>
      <c r="E730" s="67"/>
      <c r="F730" s="68"/>
      <c r="G730" s="68"/>
      <c r="H730" s="68"/>
    </row>
    <row r="731" spans="1:8" ht="12.75">
      <c r="A731" s="59"/>
      <c r="B731" s="59"/>
      <c r="C731" s="59"/>
      <c r="D731" s="59"/>
      <c r="E731" s="67"/>
      <c r="F731" s="68"/>
      <c r="G731" s="68"/>
      <c r="H731" s="68"/>
    </row>
    <row r="732" spans="1:8" ht="12.75">
      <c r="A732" s="59"/>
      <c r="B732" s="59"/>
      <c r="C732" s="59"/>
      <c r="D732" s="59"/>
      <c r="E732" s="67"/>
      <c r="F732" s="68"/>
      <c r="G732" s="68"/>
      <c r="H732" s="68"/>
    </row>
    <row r="733" spans="1:8" ht="12.75">
      <c r="A733" s="59"/>
      <c r="B733" s="59"/>
      <c r="C733" s="59"/>
      <c r="D733" s="59"/>
      <c r="E733" s="67"/>
      <c r="F733" s="68"/>
      <c r="G733" s="68"/>
      <c r="H733" s="68"/>
    </row>
    <row r="734" spans="1:8" ht="12.75">
      <c r="A734" s="59"/>
      <c r="B734" s="59"/>
      <c r="C734" s="59"/>
      <c r="D734" s="59"/>
      <c r="E734" s="67"/>
      <c r="F734" s="68"/>
      <c r="G734" s="68"/>
      <c r="H734" s="68"/>
    </row>
    <row r="735" spans="1:8" ht="12.75">
      <c r="A735" s="59"/>
      <c r="B735" s="59"/>
      <c r="C735" s="59"/>
      <c r="D735" s="59"/>
      <c r="E735" s="67"/>
      <c r="F735" s="68"/>
      <c r="G735" s="68"/>
      <c r="H735" s="68"/>
    </row>
    <row r="736" spans="1:8" ht="12.75">
      <c r="A736" s="59"/>
      <c r="B736" s="59"/>
      <c r="C736" s="59"/>
      <c r="D736" s="59"/>
      <c r="E736" s="67"/>
      <c r="F736" s="68"/>
      <c r="G736" s="68"/>
      <c r="H736" s="68"/>
    </row>
    <row r="737" spans="1:8" ht="12.75">
      <c r="A737" s="59"/>
      <c r="B737" s="59"/>
      <c r="C737" s="59"/>
      <c r="D737" s="59"/>
      <c r="E737" s="67"/>
      <c r="F737" s="68"/>
      <c r="G737" s="68"/>
      <c r="H737" s="68"/>
    </row>
    <row r="738" spans="1:8" ht="12.75">
      <c r="A738" s="59"/>
      <c r="B738" s="59"/>
      <c r="C738" s="59"/>
      <c r="D738" s="59"/>
      <c r="E738" s="67"/>
      <c r="F738" s="68"/>
      <c r="G738" s="68"/>
      <c r="H738" s="68"/>
    </row>
    <row r="739" spans="1:8" ht="12.75">
      <c r="A739" s="59"/>
      <c r="B739" s="59"/>
      <c r="C739" s="59"/>
      <c r="D739" s="59"/>
      <c r="E739" s="67"/>
      <c r="F739" s="68"/>
      <c r="G739" s="68"/>
      <c r="H739" s="68"/>
    </row>
    <row r="740" spans="1:8" ht="12.75">
      <c r="A740" s="59"/>
      <c r="B740" s="59"/>
      <c r="C740" s="59"/>
      <c r="D740" s="59"/>
      <c r="E740" s="67"/>
      <c r="F740" s="68"/>
      <c r="G740" s="68"/>
      <c r="H740" s="68"/>
    </row>
    <row r="741" spans="1:8" ht="12.75">
      <c r="A741" s="59"/>
      <c r="B741" s="59"/>
      <c r="C741" s="59"/>
      <c r="D741" s="59"/>
      <c r="E741" s="67"/>
      <c r="F741" s="68"/>
      <c r="G741" s="68"/>
      <c r="H741" s="68"/>
    </row>
    <row r="742" spans="1:8" ht="12.75">
      <c r="A742" s="59"/>
      <c r="B742" s="59"/>
      <c r="C742" s="59"/>
      <c r="D742" s="59"/>
      <c r="E742" s="67"/>
      <c r="F742" s="68"/>
      <c r="G742" s="68"/>
      <c r="H742" s="68"/>
    </row>
    <row r="743" spans="1:8" ht="12.75">
      <c r="A743" s="59"/>
      <c r="B743" s="59"/>
      <c r="C743" s="59"/>
      <c r="D743" s="59"/>
      <c r="E743" s="67"/>
      <c r="F743" s="68"/>
      <c r="G743" s="68"/>
      <c r="H743" s="68"/>
    </row>
    <row r="744" spans="1:8" ht="12.75">
      <c r="A744" s="59"/>
      <c r="B744" s="59"/>
      <c r="C744" s="59"/>
      <c r="D744" s="59"/>
      <c r="E744" s="67"/>
      <c r="F744" s="68"/>
      <c r="G744" s="68"/>
      <c r="H744" s="68"/>
    </row>
    <row r="745" spans="1:8" ht="12.75">
      <c r="A745" s="59"/>
      <c r="B745" s="59"/>
      <c r="C745" s="59"/>
      <c r="D745" s="59"/>
      <c r="E745" s="67"/>
      <c r="F745" s="68"/>
      <c r="G745" s="68"/>
      <c r="H745" s="68"/>
    </row>
    <row r="746" spans="1:8" ht="12.75">
      <c r="A746" s="59"/>
      <c r="B746" s="59"/>
      <c r="C746" s="59"/>
      <c r="D746" s="59"/>
      <c r="E746" s="67"/>
      <c r="F746" s="68"/>
      <c r="G746" s="68"/>
      <c r="H746" s="68"/>
    </row>
    <row r="747" spans="1:8" ht="12.75">
      <c r="A747" s="59"/>
      <c r="B747" s="59"/>
      <c r="C747" s="59"/>
      <c r="D747" s="59"/>
      <c r="E747" s="67"/>
      <c r="F747" s="68"/>
      <c r="G747" s="68"/>
      <c r="H747" s="68"/>
    </row>
    <row r="748" spans="1:8" ht="12.75">
      <c r="A748" s="59"/>
      <c r="B748" s="59"/>
      <c r="C748" s="59"/>
      <c r="D748" s="59"/>
      <c r="E748" s="67"/>
      <c r="F748" s="68"/>
      <c r="G748" s="68"/>
      <c r="H748" s="68"/>
    </row>
    <row r="749" spans="1:8" ht="12.75">
      <c r="A749" s="59"/>
      <c r="B749" s="59"/>
      <c r="C749" s="59"/>
      <c r="D749" s="59"/>
      <c r="E749" s="67"/>
      <c r="F749" s="68"/>
      <c r="G749" s="68"/>
      <c r="H749" s="68"/>
    </row>
    <row r="750" spans="1:8" ht="12.75">
      <c r="A750" s="59"/>
      <c r="B750" s="59"/>
      <c r="C750" s="59"/>
      <c r="D750" s="59"/>
      <c r="E750" s="67"/>
      <c r="F750" s="68"/>
      <c r="G750" s="68"/>
      <c r="H750" s="68"/>
    </row>
    <row r="751" spans="1:8" ht="12.75">
      <c r="A751" s="59"/>
      <c r="B751" s="59"/>
      <c r="C751" s="59"/>
      <c r="D751" s="59"/>
      <c r="E751" s="67"/>
      <c r="F751" s="68"/>
      <c r="G751" s="68"/>
      <c r="H751" s="68"/>
    </row>
    <row r="752" spans="1:8" ht="12.75">
      <c r="A752" s="59"/>
      <c r="B752" s="59"/>
      <c r="C752" s="59"/>
      <c r="D752" s="59"/>
      <c r="E752" s="67"/>
      <c r="F752" s="68"/>
      <c r="G752" s="68"/>
      <c r="H752" s="68"/>
    </row>
    <row r="753" spans="1:8" ht="12.75">
      <c r="A753" s="59"/>
      <c r="B753" s="59"/>
      <c r="C753" s="59"/>
      <c r="D753" s="59"/>
      <c r="E753" s="67"/>
      <c r="F753" s="68"/>
      <c r="G753" s="68"/>
      <c r="H753" s="68"/>
    </row>
    <row r="754" spans="1:8" ht="12.75">
      <c r="A754" s="59"/>
      <c r="B754" s="59"/>
      <c r="C754" s="59"/>
      <c r="D754" s="59"/>
      <c r="E754" s="67"/>
      <c r="F754" s="68"/>
      <c r="G754" s="68"/>
      <c r="H754" s="68"/>
    </row>
    <row r="755" spans="1:8" ht="12.75">
      <c r="A755" s="59"/>
      <c r="B755" s="59"/>
      <c r="C755" s="59"/>
      <c r="D755" s="59"/>
      <c r="E755" s="67"/>
      <c r="F755" s="68"/>
      <c r="G755" s="68"/>
      <c r="H755" s="68"/>
    </row>
    <row r="756" spans="1:8" ht="12.75">
      <c r="A756" s="59"/>
      <c r="B756" s="59"/>
      <c r="C756" s="59"/>
      <c r="D756" s="59"/>
      <c r="E756" s="67"/>
      <c r="F756" s="68"/>
      <c r="G756" s="68"/>
      <c r="H756" s="68"/>
    </row>
    <row r="757" spans="1:8" ht="12.75">
      <c r="A757" s="59"/>
      <c r="B757" s="59"/>
      <c r="C757" s="59"/>
      <c r="D757" s="59"/>
      <c r="E757" s="67"/>
      <c r="F757" s="68"/>
      <c r="G757" s="68"/>
      <c r="H757" s="68"/>
    </row>
    <row r="758" spans="1:8" ht="12.75">
      <c r="A758" s="59"/>
      <c r="B758" s="59"/>
      <c r="C758" s="59"/>
      <c r="D758" s="59"/>
      <c r="E758" s="67"/>
      <c r="F758" s="68"/>
      <c r="G758" s="68"/>
      <c r="H758" s="68"/>
    </row>
    <row r="759" spans="1:8" ht="12.75">
      <c r="A759" s="59"/>
      <c r="B759" s="59"/>
      <c r="C759" s="59"/>
      <c r="D759" s="59"/>
      <c r="E759" s="67"/>
      <c r="F759" s="68"/>
      <c r="G759" s="68"/>
      <c r="H759" s="68"/>
    </row>
    <row r="760" spans="1:8" ht="12.75">
      <c r="A760" s="59"/>
      <c r="B760" s="59"/>
      <c r="C760" s="59"/>
      <c r="D760" s="59"/>
      <c r="E760" s="67"/>
      <c r="F760" s="68"/>
      <c r="G760" s="68"/>
      <c r="H760" s="68"/>
    </row>
    <row r="761" spans="1:8" ht="12.75">
      <c r="A761" s="59"/>
      <c r="B761" s="59"/>
      <c r="C761" s="59"/>
      <c r="D761" s="59"/>
      <c r="E761" s="67"/>
      <c r="F761" s="68"/>
      <c r="G761" s="68"/>
      <c r="H761" s="68"/>
    </row>
    <row r="762" spans="1:8" ht="12.75">
      <c r="A762" s="59"/>
      <c r="B762" s="59"/>
      <c r="C762" s="59"/>
      <c r="D762" s="59"/>
      <c r="E762" s="67"/>
      <c r="F762" s="68"/>
      <c r="G762" s="68"/>
      <c r="H762" s="68"/>
    </row>
    <row r="763" spans="1:8" ht="12.75">
      <c r="A763" s="59"/>
      <c r="B763" s="59"/>
      <c r="C763" s="59"/>
      <c r="D763" s="59"/>
      <c r="E763" s="67"/>
      <c r="F763" s="68"/>
      <c r="G763" s="68"/>
      <c r="H763" s="68"/>
    </row>
    <row r="764" spans="1:8" ht="12.75">
      <c r="A764" s="59"/>
      <c r="B764" s="59"/>
      <c r="C764" s="59"/>
      <c r="D764" s="59"/>
      <c r="E764" s="67"/>
      <c r="F764" s="68"/>
      <c r="G764" s="68"/>
      <c r="H764" s="68"/>
    </row>
    <row r="765" spans="1:8" ht="12.75">
      <c r="A765" s="59"/>
      <c r="B765" s="59"/>
      <c r="C765" s="59"/>
      <c r="D765" s="59"/>
      <c r="E765" s="67"/>
      <c r="F765" s="68"/>
      <c r="G765" s="68"/>
      <c r="H765" s="68"/>
    </row>
    <row r="766" spans="1:8" ht="12.75">
      <c r="A766" s="59"/>
      <c r="B766" s="59"/>
      <c r="C766" s="59"/>
      <c r="D766" s="59"/>
      <c r="E766" s="67"/>
      <c r="F766" s="68"/>
      <c r="G766" s="68"/>
      <c r="H766" s="68"/>
    </row>
    <row r="767" spans="1:8" ht="12.75">
      <c r="A767" s="59"/>
      <c r="B767" s="59"/>
      <c r="C767" s="59"/>
      <c r="D767" s="59"/>
      <c r="E767" s="67"/>
      <c r="F767" s="68"/>
      <c r="G767" s="68"/>
      <c r="H767" s="68"/>
    </row>
    <row r="768" spans="1:8" ht="12.75">
      <c r="A768" s="59"/>
      <c r="B768" s="59"/>
      <c r="C768" s="59"/>
      <c r="D768" s="59"/>
      <c r="E768" s="67"/>
      <c r="F768" s="68"/>
      <c r="G768" s="68"/>
      <c r="H768" s="68"/>
    </row>
    <row r="769" spans="1:8" ht="12.75">
      <c r="A769" s="59"/>
      <c r="B769" s="59"/>
      <c r="C769" s="59"/>
      <c r="D769" s="59"/>
      <c r="E769" s="67"/>
      <c r="F769" s="68"/>
      <c r="G769" s="68"/>
      <c r="H769" s="68"/>
    </row>
    <row r="770" spans="1:8" ht="12.75">
      <c r="A770" s="59"/>
      <c r="B770" s="59"/>
      <c r="C770" s="59"/>
      <c r="D770" s="59"/>
      <c r="E770" s="67"/>
      <c r="F770" s="68"/>
      <c r="G770" s="68"/>
      <c r="H770" s="68"/>
    </row>
    <row r="771" spans="1:8" ht="12.75">
      <c r="A771" s="59"/>
      <c r="B771" s="59"/>
      <c r="C771" s="59"/>
      <c r="D771" s="59"/>
      <c r="E771" s="67"/>
      <c r="F771" s="68"/>
      <c r="G771" s="68"/>
      <c r="H771" s="68"/>
    </row>
    <row r="772" spans="1:8" ht="12.75">
      <c r="A772" s="59"/>
      <c r="B772" s="59"/>
      <c r="C772" s="59"/>
      <c r="D772" s="59"/>
      <c r="E772" s="67"/>
      <c r="F772" s="68"/>
      <c r="G772" s="68"/>
      <c r="H772" s="68"/>
    </row>
    <row r="773" spans="1:8" ht="12.75">
      <c r="A773" s="59"/>
      <c r="B773" s="59"/>
      <c r="C773" s="59"/>
      <c r="D773" s="59"/>
      <c r="E773" s="67"/>
      <c r="F773" s="68"/>
      <c r="G773" s="68"/>
      <c r="H773" s="68"/>
    </row>
    <row r="774" spans="1:8" ht="12.75">
      <c r="A774" s="59"/>
      <c r="B774" s="59"/>
      <c r="C774" s="59"/>
      <c r="D774" s="59"/>
      <c r="E774" s="67"/>
      <c r="F774" s="68"/>
      <c r="G774" s="68"/>
      <c r="H774" s="68"/>
    </row>
    <row r="775" spans="1:8" ht="12.75">
      <c r="A775" s="59"/>
      <c r="B775" s="59"/>
      <c r="C775" s="59"/>
      <c r="D775" s="59"/>
      <c r="E775" s="67"/>
      <c r="F775" s="68"/>
      <c r="G775" s="68"/>
      <c r="H775" s="68"/>
    </row>
    <row r="776" spans="1:8" ht="12.75">
      <c r="A776" s="59"/>
      <c r="B776" s="59"/>
      <c r="C776" s="59"/>
      <c r="D776" s="59"/>
      <c r="E776" s="67"/>
      <c r="F776" s="68"/>
      <c r="G776" s="68"/>
      <c r="H776" s="68"/>
    </row>
    <row r="777" spans="1:8" ht="12.75">
      <c r="A777" s="59"/>
      <c r="B777" s="59"/>
      <c r="C777" s="59"/>
      <c r="D777" s="59"/>
      <c r="E777" s="67"/>
      <c r="F777" s="68"/>
      <c r="G777" s="68"/>
      <c r="H777" s="68"/>
    </row>
    <row r="778" spans="1:8" ht="12.75">
      <c r="A778" s="59"/>
      <c r="B778" s="59"/>
      <c r="C778" s="59"/>
      <c r="D778" s="59"/>
      <c r="E778" s="67"/>
      <c r="F778" s="68"/>
      <c r="G778" s="68"/>
      <c r="H778" s="68"/>
    </row>
    <row r="779" spans="1:8" ht="12.75">
      <c r="A779" s="59"/>
      <c r="B779" s="59"/>
      <c r="C779" s="59"/>
      <c r="D779" s="59"/>
      <c r="E779" s="67"/>
      <c r="F779" s="68"/>
      <c r="G779" s="68"/>
      <c r="H779" s="68"/>
    </row>
    <row r="780" spans="1:8" ht="12.75">
      <c r="A780" s="59"/>
      <c r="B780" s="59"/>
      <c r="C780" s="59"/>
      <c r="D780" s="59"/>
      <c r="E780" s="67"/>
      <c r="F780" s="68"/>
      <c r="G780" s="68"/>
      <c r="H780" s="68"/>
    </row>
    <row r="781" spans="1:8" ht="12.75">
      <c r="A781" s="59"/>
      <c r="B781" s="59"/>
      <c r="C781" s="59"/>
      <c r="D781" s="59"/>
      <c r="E781" s="67"/>
      <c r="F781" s="68"/>
      <c r="G781" s="68"/>
      <c r="H781" s="68"/>
    </row>
    <row r="782" spans="1:8" ht="12.75">
      <c r="A782" s="59"/>
      <c r="B782" s="59"/>
      <c r="C782" s="59"/>
      <c r="D782" s="59"/>
      <c r="E782" s="67"/>
      <c r="F782" s="68"/>
      <c r="G782" s="68"/>
      <c r="H782" s="68"/>
    </row>
    <row r="783" spans="1:8" ht="12.75">
      <c r="A783" s="59"/>
      <c r="B783" s="59"/>
      <c r="C783" s="59"/>
      <c r="D783" s="59"/>
      <c r="E783" s="67"/>
      <c r="F783" s="68"/>
      <c r="G783" s="68"/>
      <c r="H783" s="68"/>
    </row>
    <row r="784" spans="1:8" ht="12.75">
      <c r="A784" s="59"/>
      <c r="B784" s="59"/>
      <c r="C784" s="59"/>
      <c r="D784" s="59"/>
      <c r="E784" s="67"/>
      <c r="F784" s="68"/>
      <c r="G784" s="68"/>
      <c r="H784" s="68"/>
    </row>
    <row r="785" spans="1:8" ht="12.75">
      <c r="A785" s="59"/>
      <c r="B785" s="59"/>
      <c r="C785" s="59"/>
      <c r="D785" s="59"/>
      <c r="E785" s="67"/>
      <c r="F785" s="68"/>
      <c r="G785" s="68"/>
      <c r="H785" s="68"/>
    </row>
    <row r="786" spans="1:8" ht="12.75">
      <c r="A786" s="59"/>
      <c r="B786" s="59"/>
      <c r="C786" s="59"/>
      <c r="D786" s="59"/>
      <c r="E786" s="67"/>
      <c r="F786" s="68"/>
      <c r="G786" s="68"/>
      <c r="H786" s="68"/>
    </row>
    <row r="787" spans="1:8" ht="12.75">
      <c r="A787" s="59"/>
      <c r="B787" s="59"/>
      <c r="C787" s="59"/>
      <c r="D787" s="59"/>
      <c r="E787" s="67"/>
      <c r="F787" s="68"/>
      <c r="G787" s="68"/>
      <c r="H787" s="68"/>
    </row>
    <row r="788" spans="1:8" ht="12.75">
      <c r="A788" s="59"/>
      <c r="B788" s="59"/>
      <c r="C788" s="59"/>
      <c r="D788" s="59"/>
      <c r="E788" s="67"/>
      <c r="F788" s="68"/>
      <c r="G788" s="68"/>
      <c r="H788" s="68"/>
    </row>
    <row r="789" spans="1:8" ht="12.75">
      <c r="A789" s="59"/>
      <c r="B789" s="59"/>
      <c r="C789" s="59"/>
      <c r="D789" s="59"/>
      <c r="E789" s="67"/>
      <c r="F789" s="68"/>
      <c r="G789" s="68"/>
      <c r="H789" s="68"/>
    </row>
    <row r="790" spans="1:8" ht="12.75">
      <c r="A790" s="59"/>
      <c r="B790" s="59"/>
      <c r="C790" s="59"/>
      <c r="D790" s="59"/>
      <c r="E790" s="67"/>
      <c r="F790" s="68"/>
      <c r="G790" s="68"/>
      <c r="H790" s="68"/>
    </row>
    <row r="791" spans="1:8" ht="12.75">
      <c r="A791" s="59"/>
      <c r="B791" s="59"/>
      <c r="C791" s="59"/>
      <c r="D791" s="59"/>
      <c r="E791" s="67"/>
      <c r="F791" s="68"/>
      <c r="G791" s="68"/>
      <c r="H791" s="68"/>
    </row>
    <row r="792" spans="1:8" ht="12.75">
      <c r="A792" s="59"/>
      <c r="B792" s="59"/>
      <c r="C792" s="59"/>
      <c r="D792" s="59"/>
      <c r="E792" s="67"/>
      <c r="F792" s="68"/>
      <c r="G792" s="68"/>
      <c r="H792" s="68"/>
    </row>
    <row r="793" spans="1:8" ht="12.75">
      <c r="A793" s="59"/>
      <c r="B793" s="59"/>
      <c r="C793" s="59"/>
      <c r="D793" s="59"/>
      <c r="E793" s="67"/>
      <c r="F793" s="68"/>
      <c r="G793" s="68"/>
      <c r="H793" s="68"/>
    </row>
    <row r="794" spans="1:8" ht="12.75">
      <c r="A794" s="59"/>
      <c r="B794" s="59"/>
      <c r="C794" s="59"/>
      <c r="D794" s="59"/>
      <c r="E794" s="67"/>
      <c r="F794" s="68"/>
      <c r="G794" s="68"/>
      <c r="H794" s="68"/>
    </row>
    <row r="795" spans="1:8" ht="12.75">
      <c r="A795" s="59"/>
      <c r="B795" s="59"/>
      <c r="C795" s="59"/>
      <c r="D795" s="59"/>
      <c r="E795" s="67"/>
      <c r="F795" s="68"/>
      <c r="G795" s="68"/>
      <c r="H795" s="68"/>
    </row>
    <row r="796" spans="1:8" ht="12.75">
      <c r="A796" s="59"/>
      <c r="B796" s="59"/>
      <c r="C796" s="59"/>
      <c r="D796" s="59"/>
      <c r="E796" s="67"/>
      <c r="F796" s="68"/>
      <c r="G796" s="68"/>
      <c r="H796" s="68"/>
    </row>
    <row r="797" spans="1:8" ht="12.75">
      <c r="A797" s="59"/>
      <c r="B797" s="59"/>
      <c r="C797" s="59"/>
      <c r="D797" s="59"/>
      <c r="E797" s="67"/>
      <c r="F797" s="68"/>
      <c r="G797" s="68"/>
      <c r="H797" s="68"/>
    </row>
    <row r="798" spans="1:8" ht="12.75">
      <c r="A798" s="59"/>
      <c r="B798" s="59"/>
      <c r="C798" s="59"/>
      <c r="D798" s="59"/>
      <c r="E798" s="67"/>
      <c r="F798" s="68"/>
      <c r="G798" s="68"/>
      <c r="H798" s="68"/>
    </row>
    <row r="799" spans="1:8" ht="12.75">
      <c r="A799" s="59"/>
      <c r="B799" s="59"/>
      <c r="C799" s="59"/>
      <c r="D799" s="59"/>
      <c r="E799" s="67"/>
      <c r="F799" s="68"/>
      <c r="G799" s="68"/>
      <c r="H799" s="68"/>
    </row>
    <row r="800" spans="1:8" ht="12.75">
      <c r="A800" s="59"/>
      <c r="B800" s="59"/>
      <c r="C800" s="59"/>
      <c r="D800" s="59"/>
      <c r="E800" s="67"/>
      <c r="F800" s="68"/>
      <c r="G800" s="68"/>
      <c r="H800" s="68"/>
    </row>
    <row r="801" spans="1:8" ht="12.75">
      <c r="A801" s="59"/>
      <c r="B801" s="59"/>
      <c r="C801" s="59"/>
      <c r="D801" s="59"/>
      <c r="E801" s="67"/>
      <c r="F801" s="68"/>
      <c r="G801" s="68"/>
      <c r="H801" s="68"/>
    </row>
    <row r="802" spans="1:8" ht="12.75">
      <c r="A802" s="59"/>
      <c r="B802" s="59"/>
      <c r="C802" s="59"/>
      <c r="D802" s="59"/>
      <c r="E802" s="67"/>
      <c r="F802" s="68"/>
      <c r="G802" s="68"/>
      <c r="H802" s="68"/>
    </row>
    <row r="803" spans="1:8" ht="12.75">
      <c r="A803" s="59"/>
      <c r="B803" s="59"/>
      <c r="C803" s="59"/>
      <c r="D803" s="59"/>
      <c r="E803" s="67"/>
      <c r="F803" s="68"/>
      <c r="G803" s="68"/>
      <c r="H803" s="68"/>
    </row>
    <row r="804" spans="1:8" ht="12.75">
      <c r="A804" s="59"/>
      <c r="B804" s="59"/>
      <c r="C804" s="59"/>
      <c r="D804" s="59"/>
      <c r="E804" s="67"/>
      <c r="F804" s="68"/>
      <c r="G804" s="68"/>
      <c r="H804" s="68"/>
    </row>
    <row r="805" spans="1:8" ht="12.75">
      <c r="A805" s="59"/>
      <c r="B805" s="59"/>
      <c r="C805" s="59"/>
      <c r="D805" s="59"/>
      <c r="E805" s="67"/>
      <c r="F805" s="68"/>
      <c r="G805" s="68"/>
      <c r="H805" s="68"/>
    </row>
    <row r="806" spans="1:8" ht="12.75">
      <c r="A806" s="59"/>
      <c r="B806" s="59"/>
      <c r="C806" s="59"/>
      <c r="D806" s="59"/>
      <c r="E806" s="67"/>
      <c r="F806" s="68"/>
      <c r="G806" s="68"/>
      <c r="H806" s="68"/>
    </row>
    <row r="807" spans="1:8" ht="12.75">
      <c r="A807" s="59"/>
      <c r="B807" s="59"/>
      <c r="C807" s="59"/>
      <c r="D807" s="59"/>
      <c r="E807" s="67"/>
      <c r="F807" s="68"/>
      <c r="G807" s="68"/>
      <c r="H807" s="68"/>
    </row>
    <row r="808" spans="1:8" ht="12.75">
      <c r="A808" s="59"/>
      <c r="B808" s="59"/>
      <c r="C808" s="59"/>
      <c r="D808" s="59"/>
      <c r="E808" s="67"/>
      <c r="F808" s="68"/>
      <c r="G808" s="68"/>
      <c r="H808" s="68"/>
    </row>
    <row r="809" spans="1:8" ht="12.75">
      <c r="A809" s="59"/>
      <c r="B809" s="59"/>
      <c r="C809" s="59"/>
      <c r="D809" s="59"/>
      <c r="E809" s="67"/>
      <c r="F809" s="68"/>
      <c r="G809" s="68"/>
      <c r="H809" s="68"/>
    </row>
    <row r="810" spans="1:8" ht="12.75">
      <c r="A810" s="59"/>
      <c r="B810" s="59"/>
      <c r="C810" s="59"/>
      <c r="D810" s="59"/>
      <c r="E810" s="67"/>
      <c r="F810" s="68"/>
      <c r="G810" s="68"/>
      <c r="H810" s="68"/>
    </row>
    <row r="811" spans="1:8" ht="12.75">
      <c r="A811" s="59"/>
      <c r="B811" s="59"/>
      <c r="C811" s="59"/>
      <c r="D811" s="59"/>
      <c r="E811" s="67"/>
      <c r="F811" s="68"/>
      <c r="G811" s="68"/>
      <c r="H811" s="68"/>
    </row>
    <row r="812" spans="1:8" ht="12.75">
      <c r="A812" s="59"/>
      <c r="B812" s="59"/>
      <c r="C812" s="59"/>
      <c r="D812" s="59"/>
      <c r="E812" s="67"/>
      <c r="F812" s="68"/>
      <c r="G812" s="68"/>
      <c r="H812" s="68"/>
    </row>
    <row r="813" spans="1:8" ht="12.75">
      <c r="A813" s="59"/>
      <c r="B813" s="59"/>
      <c r="C813" s="59"/>
      <c r="D813" s="59"/>
      <c r="E813" s="67"/>
      <c r="F813" s="68"/>
      <c r="G813" s="68"/>
      <c r="H813" s="68"/>
    </row>
    <row r="814" spans="1:8" ht="12.75">
      <c r="A814" s="59"/>
      <c r="B814" s="59"/>
      <c r="C814" s="59"/>
      <c r="D814" s="59"/>
      <c r="E814" s="67"/>
      <c r="F814" s="68"/>
      <c r="G814" s="68"/>
      <c r="H814" s="68"/>
    </row>
    <row r="815" spans="1:8" ht="12.75">
      <c r="A815" s="59"/>
      <c r="B815" s="59"/>
      <c r="C815" s="59"/>
      <c r="D815" s="59"/>
      <c r="E815" s="67"/>
      <c r="F815" s="68"/>
      <c r="G815" s="68"/>
      <c r="H815" s="68"/>
    </row>
    <row r="816" spans="1:8" ht="12.75">
      <c r="A816" s="59"/>
      <c r="B816" s="59"/>
      <c r="C816" s="59"/>
      <c r="D816" s="59"/>
      <c r="E816" s="67"/>
      <c r="F816" s="68"/>
      <c r="G816" s="68"/>
      <c r="H816" s="68"/>
    </row>
    <row r="817" spans="1:8" ht="12.75">
      <c r="A817" s="59"/>
      <c r="B817" s="59"/>
      <c r="C817" s="59"/>
      <c r="D817" s="59"/>
      <c r="E817" s="67"/>
      <c r="F817" s="68"/>
      <c r="G817" s="68"/>
      <c r="H817" s="68"/>
    </row>
    <row r="818" spans="1:8" ht="12.75">
      <c r="A818" s="59"/>
      <c r="B818" s="59"/>
      <c r="C818" s="59"/>
      <c r="D818" s="59"/>
      <c r="E818" s="67"/>
      <c r="F818" s="68"/>
      <c r="G818" s="68"/>
      <c r="H818" s="68"/>
    </row>
    <row r="819" spans="1:8" ht="12.75">
      <c r="A819" s="59"/>
      <c r="B819" s="59"/>
      <c r="C819" s="59"/>
      <c r="D819" s="59"/>
      <c r="E819" s="67"/>
      <c r="F819" s="68"/>
      <c r="G819" s="68"/>
      <c r="H819" s="68"/>
    </row>
    <row r="820" spans="1:8" ht="12.75">
      <c r="A820" s="59"/>
      <c r="B820" s="59"/>
      <c r="C820" s="59"/>
      <c r="D820" s="59"/>
      <c r="E820" s="67"/>
      <c r="F820" s="68"/>
      <c r="G820" s="68"/>
      <c r="H820" s="68"/>
    </row>
    <row r="821" spans="1:8" ht="12.75">
      <c r="A821" s="59"/>
      <c r="B821" s="59"/>
      <c r="C821" s="59"/>
      <c r="D821" s="59"/>
      <c r="E821" s="67"/>
      <c r="F821" s="68"/>
      <c r="G821" s="68"/>
      <c r="H821" s="68"/>
    </row>
    <row r="822" spans="1:8" ht="12.75">
      <c r="A822" s="59"/>
      <c r="B822" s="59"/>
      <c r="C822" s="59"/>
      <c r="D822" s="59"/>
      <c r="E822" s="67"/>
      <c r="F822" s="68"/>
      <c r="G822" s="68"/>
      <c r="H822" s="68"/>
    </row>
    <row r="823" spans="1:8" ht="12.75">
      <c r="A823" s="59"/>
      <c r="B823" s="59"/>
      <c r="C823" s="59"/>
      <c r="D823" s="59"/>
      <c r="E823" s="67"/>
      <c r="F823" s="68"/>
      <c r="G823" s="68"/>
      <c r="H823" s="68"/>
    </row>
    <row r="824" spans="1:8" ht="12.75">
      <c r="A824" s="59"/>
      <c r="B824" s="59"/>
      <c r="C824" s="59"/>
      <c r="D824" s="59"/>
      <c r="E824" s="67"/>
      <c r="F824" s="68"/>
      <c r="G824" s="68"/>
      <c r="H824" s="68"/>
    </row>
    <row r="825" spans="1:8" ht="12.75">
      <c r="A825" s="59"/>
      <c r="B825" s="59"/>
      <c r="C825" s="59"/>
      <c r="D825" s="59"/>
      <c r="E825" s="67"/>
      <c r="F825" s="68"/>
      <c r="G825" s="68"/>
      <c r="H825" s="68"/>
    </row>
    <row r="826" spans="1:8" ht="12.75">
      <c r="A826" s="59"/>
      <c r="B826" s="59"/>
      <c r="C826" s="59"/>
      <c r="D826" s="59"/>
      <c r="E826" s="67"/>
      <c r="F826" s="68"/>
      <c r="G826" s="68"/>
      <c r="H826" s="68"/>
    </row>
    <row r="827" spans="1:8" ht="12.75">
      <c r="A827" s="59"/>
      <c r="B827" s="59"/>
      <c r="C827" s="59"/>
      <c r="D827" s="59"/>
      <c r="E827" s="67"/>
      <c r="F827" s="68"/>
      <c r="G827" s="68"/>
      <c r="H827" s="68"/>
    </row>
    <row r="828" spans="1:8" ht="12.75">
      <c r="A828" s="59"/>
      <c r="B828" s="59"/>
      <c r="C828" s="59"/>
      <c r="D828" s="59"/>
      <c r="E828" s="67"/>
      <c r="F828" s="68"/>
      <c r="G828" s="68"/>
      <c r="H828" s="68"/>
    </row>
    <row r="829" spans="1:8" ht="12.75">
      <c r="A829" s="59"/>
      <c r="B829" s="59"/>
      <c r="C829" s="59"/>
      <c r="D829" s="59"/>
      <c r="E829" s="67"/>
      <c r="F829" s="68"/>
      <c r="G829" s="68"/>
      <c r="H829" s="68"/>
    </row>
    <row r="830" spans="1:8" ht="12.75">
      <c r="A830" s="59"/>
      <c r="B830" s="59"/>
      <c r="C830" s="59"/>
      <c r="D830" s="59"/>
      <c r="E830" s="67"/>
      <c r="F830" s="68"/>
      <c r="G830" s="68"/>
      <c r="H830" s="68"/>
    </row>
    <row r="831" spans="1:8" ht="12.75">
      <c r="A831" s="59"/>
      <c r="B831" s="59"/>
      <c r="C831" s="59"/>
      <c r="D831" s="59"/>
      <c r="E831" s="67"/>
      <c r="F831" s="68"/>
      <c r="G831" s="68"/>
      <c r="H831" s="68"/>
    </row>
    <row r="832" spans="1:8" ht="12.75">
      <c r="A832" s="59"/>
      <c r="B832" s="59"/>
      <c r="C832" s="59"/>
      <c r="D832" s="59"/>
      <c r="E832" s="67"/>
      <c r="F832" s="68"/>
      <c r="G832" s="68"/>
      <c r="H832" s="68"/>
    </row>
    <row r="833" spans="1:8" ht="12.75">
      <c r="A833" s="59"/>
      <c r="B833" s="59"/>
      <c r="C833" s="59"/>
      <c r="D833" s="59"/>
      <c r="E833" s="67"/>
      <c r="F833" s="68"/>
      <c r="G833" s="68"/>
      <c r="H833" s="68"/>
    </row>
    <row r="834" spans="1:8" ht="12.75">
      <c r="A834" s="59"/>
      <c r="B834" s="59"/>
      <c r="C834" s="59"/>
      <c r="D834" s="59"/>
      <c r="E834" s="67"/>
      <c r="F834" s="68"/>
      <c r="G834" s="68"/>
      <c r="H834" s="68"/>
    </row>
    <row r="835" spans="1:8" ht="12.75">
      <c r="A835" s="59"/>
      <c r="B835" s="59"/>
      <c r="C835" s="59"/>
      <c r="D835" s="59"/>
      <c r="E835" s="67"/>
      <c r="F835" s="68"/>
      <c r="G835" s="68"/>
      <c r="H835" s="68"/>
    </row>
    <row r="836" spans="1:8" ht="12.75">
      <c r="A836" s="59"/>
      <c r="B836" s="59"/>
      <c r="C836" s="59"/>
      <c r="D836" s="59"/>
      <c r="E836" s="67"/>
      <c r="F836" s="68"/>
      <c r="G836" s="68"/>
      <c r="H836" s="68"/>
    </row>
    <row r="837" spans="1:8" ht="12.75">
      <c r="A837" s="59"/>
      <c r="B837" s="59"/>
      <c r="C837" s="59"/>
      <c r="D837" s="59"/>
      <c r="E837" s="67"/>
      <c r="F837" s="68"/>
      <c r="G837" s="68"/>
      <c r="H837" s="68"/>
    </row>
    <row r="838" spans="1:8" ht="12.75">
      <c r="A838" s="59"/>
      <c r="B838" s="59"/>
      <c r="C838" s="59"/>
      <c r="D838" s="59"/>
      <c r="E838" s="67"/>
      <c r="F838" s="68"/>
      <c r="G838" s="68"/>
      <c r="H838" s="68"/>
    </row>
    <row r="839" spans="1:8" ht="12.75">
      <c r="A839" s="59"/>
      <c r="B839" s="59"/>
      <c r="C839" s="59"/>
      <c r="D839" s="59"/>
      <c r="E839" s="67"/>
      <c r="F839" s="68"/>
      <c r="G839" s="68"/>
      <c r="H839" s="68"/>
    </row>
    <row r="840" spans="1:8" ht="12.75">
      <c r="A840" s="59"/>
      <c r="B840" s="59"/>
      <c r="C840" s="59"/>
      <c r="D840" s="59"/>
      <c r="E840" s="67"/>
      <c r="F840" s="68"/>
      <c r="G840" s="68"/>
      <c r="H840" s="68"/>
    </row>
    <row r="841" spans="1:8" ht="12.75">
      <c r="A841" s="59"/>
      <c r="B841" s="59"/>
      <c r="C841" s="59"/>
      <c r="D841" s="59"/>
      <c r="E841" s="67"/>
      <c r="F841" s="68"/>
      <c r="G841" s="68"/>
      <c r="H841" s="68"/>
    </row>
    <row r="842" spans="1:8" ht="12.75">
      <c r="A842" s="59"/>
      <c r="B842" s="59"/>
      <c r="C842" s="59"/>
      <c r="D842" s="59"/>
      <c r="E842" s="67"/>
      <c r="F842" s="68"/>
      <c r="G842" s="68"/>
      <c r="H842" s="68"/>
    </row>
    <row r="843" spans="1:8" ht="12.75">
      <c r="A843" s="59"/>
      <c r="B843" s="59"/>
      <c r="C843" s="59"/>
      <c r="D843" s="59"/>
      <c r="E843" s="67"/>
      <c r="F843" s="68"/>
      <c r="G843" s="68"/>
      <c r="H843" s="68"/>
    </row>
    <row r="844" spans="1:8" ht="12.75">
      <c r="A844" s="59"/>
      <c r="B844" s="59"/>
      <c r="C844" s="59"/>
      <c r="D844" s="59"/>
      <c r="E844" s="67"/>
      <c r="F844" s="68"/>
      <c r="G844" s="68"/>
      <c r="H844" s="68"/>
    </row>
    <row r="845" spans="1:8" ht="12.75">
      <c r="A845" s="59"/>
      <c r="B845" s="59"/>
      <c r="C845" s="59"/>
      <c r="D845" s="59"/>
      <c r="E845" s="67"/>
      <c r="F845" s="68"/>
      <c r="G845" s="68"/>
      <c r="H845" s="68"/>
    </row>
    <row r="846" spans="1:8" ht="12.75">
      <c r="A846" s="59"/>
      <c r="B846" s="59"/>
      <c r="C846" s="59"/>
      <c r="D846" s="59"/>
      <c r="E846" s="67"/>
      <c r="F846" s="68"/>
      <c r="G846" s="68"/>
      <c r="H846" s="68"/>
    </row>
    <row r="847" spans="1:8" ht="12.75">
      <c r="A847" s="59"/>
      <c r="B847" s="59"/>
      <c r="C847" s="59"/>
      <c r="D847" s="59"/>
      <c r="E847" s="67"/>
      <c r="F847" s="68"/>
      <c r="G847" s="68"/>
      <c r="H847" s="68"/>
    </row>
    <row r="848" spans="1:8" ht="12.75">
      <c r="A848" s="59"/>
      <c r="B848" s="59"/>
      <c r="C848" s="59"/>
      <c r="D848" s="59"/>
      <c r="E848" s="67"/>
      <c r="F848" s="68"/>
      <c r="G848" s="68"/>
      <c r="H848" s="68"/>
    </row>
    <row r="849" spans="1:8" ht="12.75">
      <c r="A849" s="59"/>
      <c r="B849" s="59"/>
      <c r="C849" s="59"/>
      <c r="D849" s="59"/>
      <c r="E849" s="67"/>
      <c r="F849" s="68"/>
      <c r="G849" s="68"/>
      <c r="H849" s="68"/>
    </row>
    <row r="850" spans="1:8" ht="12.75">
      <c r="A850" s="59"/>
      <c r="B850" s="59"/>
      <c r="C850" s="59"/>
      <c r="D850" s="59"/>
      <c r="E850" s="67"/>
      <c r="F850" s="68"/>
      <c r="G850" s="68"/>
      <c r="H850" s="68"/>
    </row>
    <row r="851" spans="1:8" ht="12.75">
      <c r="A851" s="59"/>
      <c r="B851" s="59"/>
      <c r="C851" s="59"/>
      <c r="D851" s="59"/>
      <c r="E851" s="67"/>
      <c r="F851" s="68"/>
      <c r="G851" s="68"/>
      <c r="H851" s="68"/>
    </row>
    <row r="852" spans="1:8" ht="12.75">
      <c r="A852" s="59"/>
      <c r="B852" s="59"/>
      <c r="C852" s="59"/>
      <c r="D852" s="59"/>
      <c r="E852" s="67"/>
      <c r="F852" s="68"/>
      <c r="G852" s="68"/>
      <c r="H852" s="68"/>
    </row>
    <row r="853" spans="1:8" ht="12.75">
      <c r="A853" s="59"/>
      <c r="B853" s="59"/>
      <c r="C853" s="59"/>
      <c r="D853" s="59"/>
      <c r="E853" s="67"/>
      <c r="F853" s="68"/>
      <c r="G853" s="68"/>
      <c r="H853" s="68"/>
    </row>
    <row r="854" spans="1:8" ht="12.75">
      <c r="A854" s="59"/>
      <c r="B854" s="59"/>
      <c r="C854" s="59"/>
      <c r="D854" s="59"/>
      <c r="E854" s="67"/>
      <c r="F854" s="68"/>
      <c r="G854" s="68"/>
      <c r="H854" s="68"/>
    </row>
    <row r="855" spans="1:8" ht="12.75">
      <c r="A855" s="59"/>
      <c r="B855" s="59"/>
      <c r="C855" s="59"/>
      <c r="D855" s="59"/>
      <c r="E855" s="67"/>
      <c r="F855" s="68"/>
      <c r="G855" s="68"/>
      <c r="H855" s="68"/>
    </row>
    <row r="856" spans="1:8" ht="12.75">
      <c r="A856" s="59"/>
      <c r="B856" s="59"/>
      <c r="C856" s="59"/>
      <c r="D856" s="59"/>
      <c r="E856" s="67"/>
      <c r="F856" s="68"/>
      <c r="G856" s="68"/>
      <c r="H856" s="68"/>
    </row>
    <row r="857" spans="1:8" ht="12.75">
      <c r="A857" s="59"/>
      <c r="B857" s="59"/>
      <c r="C857" s="59"/>
      <c r="D857" s="59"/>
      <c r="E857" s="67"/>
      <c r="F857" s="68"/>
      <c r="G857" s="68"/>
      <c r="H857" s="68"/>
    </row>
    <row r="858" spans="1:8" ht="12.75">
      <c r="A858" s="59"/>
      <c r="B858" s="59"/>
      <c r="C858" s="59"/>
      <c r="D858" s="59"/>
      <c r="E858" s="67"/>
      <c r="F858" s="68"/>
      <c r="G858" s="68"/>
      <c r="H858" s="68"/>
    </row>
    <row r="859" spans="1:8" ht="12.75">
      <c r="A859" s="59"/>
      <c r="B859" s="59"/>
      <c r="C859" s="59"/>
      <c r="D859" s="59"/>
      <c r="E859" s="67"/>
      <c r="F859" s="68"/>
      <c r="G859" s="68"/>
      <c r="H859" s="68"/>
    </row>
    <row r="860" spans="1:8" ht="12.75">
      <c r="A860" s="59"/>
      <c r="B860" s="59"/>
      <c r="C860" s="59"/>
      <c r="D860" s="59"/>
      <c r="E860" s="67"/>
      <c r="F860" s="68"/>
      <c r="G860" s="68"/>
      <c r="H860" s="68"/>
    </row>
    <row r="861" spans="1:8" ht="12.75">
      <c r="A861" s="59"/>
      <c r="B861" s="59"/>
      <c r="C861" s="59"/>
      <c r="D861" s="59"/>
      <c r="E861" s="67"/>
      <c r="F861" s="68"/>
      <c r="G861" s="68"/>
      <c r="H861" s="68"/>
    </row>
    <row r="862" spans="1:8" ht="12.75">
      <c r="A862" s="59"/>
      <c r="B862" s="59"/>
      <c r="C862" s="59"/>
      <c r="D862" s="59"/>
      <c r="E862" s="67"/>
      <c r="F862" s="68"/>
      <c r="G862" s="68"/>
      <c r="H862" s="68"/>
    </row>
    <row r="863" spans="1:8" ht="12.75">
      <c r="A863" s="59"/>
      <c r="B863" s="59"/>
      <c r="C863" s="59"/>
      <c r="D863" s="59"/>
      <c r="E863" s="67"/>
      <c r="F863" s="68"/>
      <c r="G863" s="68"/>
      <c r="H863" s="68"/>
    </row>
    <row r="864" spans="1:8" ht="12.75">
      <c r="A864" s="59"/>
      <c r="B864" s="59"/>
      <c r="C864" s="59"/>
      <c r="D864" s="59"/>
      <c r="E864" s="67"/>
      <c r="F864" s="68"/>
      <c r="G864" s="68"/>
      <c r="H864" s="68"/>
    </row>
    <row r="865" spans="1:8" ht="12.75">
      <c r="A865" s="59"/>
      <c r="B865" s="59"/>
      <c r="C865" s="59"/>
      <c r="D865" s="59"/>
      <c r="E865" s="67"/>
      <c r="F865" s="68"/>
      <c r="G865" s="68"/>
      <c r="H865" s="68"/>
    </row>
    <row r="866" spans="1:8" ht="12.75">
      <c r="A866" s="59"/>
      <c r="B866" s="59"/>
      <c r="C866" s="59"/>
      <c r="D866" s="59"/>
      <c r="E866" s="67"/>
      <c r="F866" s="68"/>
      <c r="G866" s="68"/>
      <c r="H866" s="68"/>
    </row>
    <row r="867" spans="1:8" ht="12.75">
      <c r="A867" s="59"/>
      <c r="B867" s="59"/>
      <c r="C867" s="59"/>
      <c r="D867" s="59"/>
      <c r="E867" s="67"/>
      <c r="F867" s="68"/>
      <c r="G867" s="68"/>
      <c r="H867" s="68"/>
    </row>
    <row r="868" spans="1:8" ht="12.75">
      <c r="A868" s="59"/>
      <c r="B868" s="59"/>
      <c r="C868" s="59"/>
      <c r="D868" s="59"/>
      <c r="E868" s="67"/>
      <c r="F868" s="68"/>
      <c r="G868" s="68"/>
      <c r="H868" s="68"/>
    </row>
    <row r="869" spans="1:8" ht="12.75">
      <c r="A869" s="59"/>
      <c r="B869" s="59"/>
      <c r="C869" s="59"/>
      <c r="D869" s="59"/>
      <c r="E869" s="67"/>
      <c r="F869" s="68"/>
      <c r="G869" s="68"/>
      <c r="H869" s="68"/>
    </row>
    <row r="870" spans="1:8" ht="12.75">
      <c r="A870" s="59"/>
      <c r="B870" s="59"/>
      <c r="C870" s="59"/>
      <c r="D870" s="59"/>
      <c r="E870" s="67"/>
      <c r="F870" s="68"/>
      <c r="G870" s="68"/>
      <c r="H870" s="68"/>
    </row>
    <row r="871" spans="1:8" ht="12.75">
      <c r="A871" s="59"/>
      <c r="B871" s="59"/>
      <c r="C871" s="59"/>
      <c r="D871" s="59"/>
      <c r="E871" s="67"/>
      <c r="F871" s="68"/>
      <c r="G871" s="68"/>
      <c r="H871" s="68"/>
    </row>
    <row r="872" spans="1:8" ht="12.75">
      <c r="A872" s="59"/>
      <c r="B872" s="59"/>
      <c r="C872" s="59"/>
      <c r="D872" s="59"/>
      <c r="E872" s="67"/>
      <c r="F872" s="68"/>
      <c r="G872" s="68"/>
      <c r="H872" s="68"/>
    </row>
    <row r="873" spans="1:8" ht="12.75">
      <c r="A873" s="59"/>
      <c r="B873" s="59"/>
      <c r="C873" s="59"/>
      <c r="D873" s="59"/>
      <c r="E873" s="67"/>
      <c r="F873" s="68"/>
      <c r="G873" s="68"/>
      <c r="H873" s="68"/>
    </row>
    <row r="874" spans="1:8" ht="12.75">
      <c r="A874" s="59"/>
      <c r="B874" s="59"/>
      <c r="C874" s="59"/>
      <c r="D874" s="59"/>
      <c r="E874" s="67"/>
      <c r="F874" s="68"/>
      <c r="G874" s="68"/>
      <c r="H874" s="68"/>
    </row>
    <row r="875" spans="1:8" ht="12.75">
      <c r="A875" s="59"/>
      <c r="B875" s="59"/>
      <c r="C875" s="59"/>
      <c r="D875" s="59"/>
      <c r="E875" s="67"/>
      <c r="F875" s="68"/>
      <c r="G875" s="68"/>
      <c r="H875" s="68"/>
    </row>
    <row r="876" spans="1:8" ht="12.75">
      <c r="A876" s="59"/>
      <c r="B876" s="59"/>
      <c r="C876" s="59"/>
      <c r="D876" s="59"/>
      <c r="E876" s="67"/>
      <c r="F876" s="68"/>
      <c r="G876" s="68"/>
      <c r="H876" s="68"/>
    </row>
    <row r="877" spans="1:8" ht="12.75">
      <c r="A877" s="59"/>
      <c r="B877" s="59"/>
      <c r="C877" s="59"/>
      <c r="D877" s="59"/>
      <c r="E877" s="67"/>
      <c r="F877" s="68"/>
      <c r="G877" s="68"/>
      <c r="H877" s="68"/>
    </row>
    <row r="878" spans="1:8" ht="12.75">
      <c r="A878" s="59"/>
      <c r="B878" s="59"/>
      <c r="C878" s="59"/>
      <c r="D878" s="59"/>
      <c r="E878" s="67"/>
      <c r="F878" s="68"/>
      <c r="G878" s="68"/>
      <c r="H878" s="68"/>
    </row>
    <row r="879" spans="1:8" ht="12.75">
      <c r="A879" s="59"/>
      <c r="B879" s="59"/>
      <c r="C879" s="59"/>
      <c r="D879" s="59"/>
      <c r="E879" s="67"/>
      <c r="F879" s="68"/>
      <c r="G879" s="68"/>
      <c r="H879" s="68"/>
    </row>
    <row r="880" spans="1:8" ht="12.75">
      <c r="A880" s="59"/>
      <c r="B880" s="59"/>
      <c r="C880" s="59"/>
      <c r="D880" s="59"/>
      <c r="E880" s="67"/>
      <c r="F880" s="68"/>
      <c r="G880" s="68"/>
      <c r="H880" s="68"/>
    </row>
    <row r="881" spans="1:8" ht="12.75">
      <c r="A881" s="59"/>
      <c r="B881" s="59"/>
      <c r="C881" s="59"/>
      <c r="D881" s="59"/>
      <c r="E881" s="67"/>
      <c r="F881" s="68"/>
      <c r="G881" s="68"/>
      <c r="H881" s="68"/>
    </row>
    <row r="882" spans="1:8" ht="12.75">
      <c r="A882" s="59"/>
      <c r="B882" s="59"/>
      <c r="C882" s="59"/>
      <c r="D882" s="59"/>
      <c r="E882" s="67"/>
      <c r="F882" s="68"/>
      <c r="G882" s="68"/>
      <c r="H882" s="68"/>
    </row>
    <row r="883" spans="1:8" ht="12.75">
      <c r="A883" s="59"/>
      <c r="B883" s="59"/>
      <c r="C883" s="59"/>
      <c r="D883" s="59"/>
      <c r="E883" s="67"/>
      <c r="F883" s="68"/>
      <c r="G883" s="68"/>
      <c r="H883" s="68"/>
    </row>
    <row r="884" spans="1:8" ht="12.75">
      <c r="A884" s="59"/>
      <c r="B884" s="59"/>
      <c r="C884" s="59"/>
      <c r="D884" s="59"/>
      <c r="E884" s="67"/>
      <c r="F884" s="68"/>
      <c r="G884" s="68"/>
      <c r="H884" s="68"/>
    </row>
    <row r="885" spans="1:8" ht="12.75">
      <c r="A885" s="59"/>
      <c r="B885" s="59"/>
      <c r="C885" s="59"/>
      <c r="D885" s="59"/>
      <c r="E885" s="67"/>
      <c r="F885" s="68"/>
      <c r="G885" s="68"/>
      <c r="H885" s="68"/>
    </row>
    <row r="886" spans="1:8" ht="12.75">
      <c r="A886" s="59"/>
      <c r="B886" s="59"/>
      <c r="C886" s="59"/>
      <c r="D886" s="59"/>
      <c r="E886" s="67"/>
      <c r="F886" s="68"/>
      <c r="G886" s="68"/>
      <c r="H886" s="68"/>
    </row>
    <row r="887" spans="1:8" ht="12.75">
      <c r="A887" s="59"/>
      <c r="B887" s="59"/>
      <c r="C887" s="59"/>
      <c r="D887" s="59"/>
      <c r="E887" s="67"/>
      <c r="F887" s="68"/>
      <c r="G887" s="68"/>
      <c r="H887" s="68"/>
    </row>
    <row r="888" spans="1:8" ht="12.75">
      <c r="A888" s="59"/>
      <c r="B888" s="59"/>
      <c r="C888" s="59"/>
      <c r="D888" s="59"/>
      <c r="E888" s="67"/>
      <c r="F888" s="68"/>
      <c r="G888" s="68"/>
      <c r="H888" s="68"/>
    </row>
    <row r="889" spans="1:8" ht="12.75">
      <c r="A889" s="59"/>
      <c r="B889" s="59"/>
      <c r="C889" s="59"/>
      <c r="D889" s="59"/>
      <c r="E889" s="67"/>
      <c r="F889" s="68"/>
      <c r="G889" s="68"/>
      <c r="H889" s="68"/>
    </row>
    <row r="890" spans="1:8" ht="12.75">
      <c r="A890" s="59"/>
      <c r="B890" s="59"/>
      <c r="C890" s="59"/>
      <c r="D890" s="59"/>
      <c r="E890" s="67"/>
      <c r="F890" s="68"/>
      <c r="G890" s="68"/>
      <c r="H890" s="68"/>
    </row>
    <row r="891" spans="1:8" ht="12.75">
      <c r="A891" s="59"/>
      <c r="B891" s="59"/>
      <c r="C891" s="59"/>
      <c r="D891" s="59"/>
      <c r="E891" s="67"/>
      <c r="F891" s="68"/>
      <c r="G891" s="68"/>
      <c r="H891" s="68"/>
    </row>
    <row r="892" spans="1:8" ht="12.75">
      <c r="A892" s="59"/>
      <c r="B892" s="59"/>
      <c r="C892" s="59"/>
      <c r="D892" s="59"/>
      <c r="E892" s="67"/>
      <c r="F892" s="68"/>
      <c r="G892" s="68"/>
      <c r="H892" s="68"/>
    </row>
    <row r="893" spans="1:8" ht="12.75">
      <c r="A893" s="59"/>
      <c r="B893" s="59"/>
      <c r="C893" s="59"/>
      <c r="D893" s="59"/>
      <c r="E893" s="67"/>
      <c r="F893" s="68"/>
      <c r="G893" s="68"/>
      <c r="H893" s="68"/>
    </row>
    <row r="894" spans="1:8" ht="12.75">
      <c r="A894" s="59"/>
      <c r="B894" s="59"/>
      <c r="C894" s="59"/>
      <c r="D894" s="59"/>
      <c r="E894" s="67"/>
      <c r="F894" s="68"/>
      <c r="G894" s="68"/>
      <c r="H894" s="68"/>
    </row>
    <row r="895" spans="1:8" ht="12.75">
      <c r="A895" s="59"/>
      <c r="B895" s="59"/>
      <c r="C895" s="59"/>
      <c r="D895" s="59"/>
      <c r="E895" s="67"/>
      <c r="F895" s="68"/>
      <c r="G895" s="68"/>
      <c r="H895" s="68"/>
    </row>
    <row r="896" spans="1:8" ht="12.75">
      <c r="A896" s="59"/>
      <c r="B896" s="59"/>
      <c r="C896" s="59"/>
      <c r="D896" s="59"/>
      <c r="E896" s="67"/>
      <c r="F896" s="68"/>
      <c r="G896" s="68"/>
      <c r="H896" s="68"/>
    </row>
    <row r="897" spans="1:8" ht="12.75">
      <c r="A897" s="59"/>
      <c r="B897" s="59"/>
      <c r="C897" s="59"/>
      <c r="D897" s="59"/>
      <c r="E897" s="67"/>
      <c r="F897" s="68"/>
      <c r="G897" s="68"/>
      <c r="H897" s="68"/>
    </row>
    <row r="898" spans="1:8" ht="12.75">
      <c r="A898" s="59"/>
      <c r="B898" s="59"/>
      <c r="C898" s="59"/>
      <c r="D898" s="59"/>
      <c r="E898" s="67"/>
      <c r="F898" s="68"/>
      <c r="G898" s="68"/>
      <c r="H898" s="68"/>
    </row>
    <row r="899" spans="1:8" ht="12.75">
      <c r="A899" s="59"/>
      <c r="B899" s="59"/>
      <c r="C899" s="59"/>
      <c r="D899" s="59"/>
      <c r="E899" s="67"/>
      <c r="F899" s="68"/>
      <c r="G899" s="68"/>
      <c r="H899" s="68"/>
    </row>
    <row r="900" spans="1:8" ht="12.75">
      <c r="A900" s="59"/>
      <c r="B900" s="59"/>
      <c r="C900" s="59"/>
      <c r="D900" s="59"/>
      <c r="E900" s="67"/>
      <c r="F900" s="68"/>
      <c r="G900" s="68"/>
      <c r="H900" s="68"/>
    </row>
    <row r="901" spans="1:8" ht="12.75">
      <c r="A901" s="59"/>
      <c r="B901" s="59"/>
      <c r="C901" s="59"/>
      <c r="D901" s="59"/>
      <c r="E901" s="67"/>
      <c r="F901" s="68"/>
      <c r="G901" s="68"/>
      <c r="H901" s="68"/>
    </row>
    <row r="902" spans="1:8" ht="12.75">
      <c r="A902" s="59"/>
      <c r="B902" s="59"/>
      <c r="C902" s="59"/>
      <c r="D902" s="59"/>
      <c r="E902" s="67"/>
      <c r="F902" s="68"/>
      <c r="G902" s="68"/>
      <c r="H902" s="68"/>
    </row>
    <row r="903" spans="1:8" ht="12.75">
      <c r="A903" s="59"/>
      <c r="B903" s="59"/>
      <c r="C903" s="59"/>
      <c r="D903" s="59"/>
      <c r="E903" s="67"/>
      <c r="F903" s="68"/>
      <c r="G903" s="68"/>
      <c r="H903" s="68"/>
    </row>
    <row r="904" spans="1:8" ht="12.75">
      <c r="A904" s="59"/>
      <c r="B904" s="59"/>
      <c r="C904" s="59"/>
      <c r="D904" s="59"/>
      <c r="E904" s="67"/>
      <c r="F904" s="68"/>
      <c r="G904" s="68"/>
      <c r="H904" s="68"/>
    </row>
    <row r="905" spans="1:8" ht="12.75">
      <c r="A905" s="59"/>
      <c r="B905" s="59"/>
      <c r="C905" s="59"/>
      <c r="D905" s="59"/>
      <c r="E905" s="67"/>
      <c r="F905" s="68"/>
      <c r="G905" s="68"/>
      <c r="H905" s="68"/>
    </row>
    <row r="906" spans="1:8" ht="12.75">
      <c r="A906" s="59"/>
      <c r="B906" s="59"/>
      <c r="C906" s="59"/>
      <c r="D906" s="59"/>
      <c r="E906" s="67"/>
      <c r="F906" s="68"/>
      <c r="G906" s="68"/>
      <c r="H906" s="68"/>
    </row>
    <row r="907" spans="1:8" ht="12.75">
      <c r="A907" s="59"/>
      <c r="B907" s="59"/>
      <c r="C907" s="59"/>
      <c r="D907" s="59"/>
      <c r="E907" s="67"/>
      <c r="F907" s="68"/>
      <c r="G907" s="68"/>
      <c r="H907" s="68"/>
    </row>
    <row r="908" spans="1:8" ht="12.75">
      <c r="A908" s="59"/>
      <c r="B908" s="59"/>
      <c r="C908" s="59"/>
      <c r="D908" s="59"/>
      <c r="E908" s="67"/>
      <c r="F908" s="68"/>
      <c r="G908" s="68"/>
      <c r="H908" s="68"/>
    </row>
    <row r="909" spans="1:8" ht="12.75">
      <c r="A909" s="59"/>
      <c r="B909" s="59"/>
      <c r="C909" s="59"/>
      <c r="D909" s="59"/>
      <c r="E909" s="67"/>
      <c r="F909" s="68"/>
      <c r="G909" s="68"/>
      <c r="H909" s="68"/>
    </row>
    <row r="910" spans="1:8" ht="12.75">
      <c r="A910" s="59"/>
      <c r="B910" s="59"/>
      <c r="C910" s="59"/>
      <c r="D910" s="59"/>
      <c r="E910" s="67"/>
      <c r="F910" s="68"/>
      <c r="G910" s="68"/>
      <c r="H910" s="68"/>
    </row>
    <row r="911" spans="1:8" ht="12.75">
      <c r="A911" s="59"/>
      <c r="B911" s="59"/>
      <c r="C911" s="59"/>
      <c r="D911" s="59"/>
      <c r="E911" s="67"/>
      <c r="F911" s="68"/>
      <c r="G911" s="68"/>
      <c r="H911" s="68"/>
    </row>
    <row r="912" spans="1:8" ht="12.75">
      <c r="A912" s="59"/>
      <c r="B912" s="59"/>
      <c r="C912" s="59"/>
      <c r="D912" s="59"/>
      <c r="E912" s="67"/>
      <c r="F912" s="68"/>
      <c r="G912" s="68"/>
      <c r="H912" s="68"/>
    </row>
    <row r="913" spans="1:8" ht="12.75">
      <c r="A913" s="59"/>
      <c r="B913" s="59"/>
      <c r="C913" s="59"/>
      <c r="D913" s="59"/>
      <c r="E913" s="67"/>
      <c r="F913" s="68"/>
      <c r="G913" s="68"/>
      <c r="H913" s="68"/>
    </row>
    <row r="914" spans="1:8" ht="12.75">
      <c r="A914" s="59"/>
      <c r="B914" s="59"/>
      <c r="C914" s="59"/>
      <c r="D914" s="59"/>
      <c r="E914" s="67"/>
      <c r="F914" s="68"/>
      <c r="G914" s="68"/>
      <c r="H914" s="68"/>
    </row>
    <row r="915" spans="1:8" ht="12.75">
      <c r="A915" s="59"/>
      <c r="B915" s="59"/>
      <c r="C915" s="59"/>
      <c r="D915" s="59"/>
      <c r="E915" s="67"/>
      <c r="F915" s="68"/>
      <c r="G915" s="68"/>
      <c r="H915" s="68"/>
    </row>
    <row r="916" spans="1:8" ht="12.75">
      <c r="A916" s="59"/>
      <c r="B916" s="59"/>
      <c r="C916" s="59"/>
      <c r="D916" s="59"/>
      <c r="E916" s="67"/>
      <c r="F916" s="68"/>
      <c r="G916" s="68"/>
      <c r="H916" s="68"/>
    </row>
    <row r="917" spans="1:8" ht="12.75">
      <c r="A917" s="59"/>
      <c r="B917" s="59"/>
      <c r="C917" s="59"/>
      <c r="D917" s="59"/>
      <c r="E917" s="67"/>
      <c r="F917" s="68"/>
      <c r="G917" s="68"/>
      <c r="H917" s="68"/>
    </row>
    <row r="918" spans="1:8" ht="12.75">
      <c r="A918" s="59"/>
      <c r="B918" s="59"/>
      <c r="C918" s="59"/>
      <c r="D918" s="59"/>
      <c r="E918" s="67"/>
      <c r="F918" s="68"/>
      <c r="G918" s="68"/>
      <c r="H918" s="68"/>
    </row>
    <row r="919" spans="1:8" ht="12.75">
      <c r="A919" s="59"/>
      <c r="B919" s="59"/>
      <c r="C919" s="59"/>
      <c r="D919" s="59"/>
      <c r="E919" s="67"/>
      <c r="F919" s="68"/>
      <c r="G919" s="68"/>
      <c r="H919" s="68"/>
    </row>
    <row r="920" spans="1:8" ht="12.75">
      <c r="A920" s="59"/>
      <c r="B920" s="59"/>
      <c r="C920" s="59"/>
      <c r="D920" s="59"/>
      <c r="E920" s="67"/>
      <c r="F920" s="68"/>
      <c r="G920" s="68"/>
      <c r="H920" s="68"/>
    </row>
    <row r="921" spans="1:8" ht="12.75">
      <c r="A921" s="59"/>
      <c r="B921" s="59"/>
      <c r="C921" s="59"/>
      <c r="D921" s="59"/>
      <c r="E921" s="67"/>
      <c r="F921" s="68"/>
      <c r="G921" s="68"/>
      <c r="H921" s="68"/>
    </row>
    <row r="922" spans="1:8" ht="12.75">
      <c r="A922" s="59"/>
      <c r="B922" s="59"/>
      <c r="C922" s="59"/>
      <c r="D922" s="59"/>
      <c r="E922" s="67"/>
      <c r="F922" s="68"/>
      <c r="G922" s="68"/>
      <c r="H922" s="68"/>
    </row>
    <row r="923" spans="1:8" ht="12.75">
      <c r="A923" s="59"/>
      <c r="B923" s="59"/>
      <c r="C923" s="59"/>
      <c r="D923" s="59"/>
      <c r="E923" s="67"/>
      <c r="F923" s="68"/>
      <c r="G923" s="68"/>
      <c r="H923" s="68"/>
    </row>
    <row r="924" spans="1:8" ht="12.75">
      <c r="A924" s="59"/>
      <c r="B924" s="59"/>
      <c r="C924" s="59"/>
      <c r="D924" s="59"/>
      <c r="E924" s="67"/>
      <c r="F924" s="68"/>
      <c r="G924" s="68"/>
      <c r="H924" s="68"/>
    </row>
    <row r="925" spans="1:8" ht="12.75">
      <c r="A925" s="59"/>
      <c r="B925" s="59"/>
      <c r="C925" s="59"/>
      <c r="D925" s="59"/>
      <c r="E925" s="67"/>
      <c r="F925" s="68"/>
      <c r="G925" s="68"/>
      <c r="H925" s="68"/>
    </row>
    <row r="926" spans="1:8" ht="12.75">
      <c r="A926" s="59"/>
      <c r="B926" s="59"/>
      <c r="C926" s="59"/>
      <c r="D926" s="59"/>
      <c r="E926" s="67"/>
      <c r="F926" s="68"/>
      <c r="G926" s="68"/>
      <c r="H926" s="68"/>
    </row>
    <row r="927" spans="1:8" ht="12.75">
      <c r="A927" s="59"/>
      <c r="B927" s="59"/>
      <c r="C927" s="59"/>
      <c r="D927" s="59"/>
      <c r="E927" s="67"/>
      <c r="F927" s="68"/>
      <c r="G927" s="68"/>
      <c r="H927" s="68"/>
    </row>
    <row r="928" spans="1:8" ht="12.75">
      <c r="A928" s="59"/>
      <c r="B928" s="59"/>
      <c r="C928" s="59"/>
      <c r="D928" s="59"/>
      <c r="E928" s="67"/>
      <c r="F928" s="68"/>
      <c r="G928" s="68"/>
      <c r="H928" s="68"/>
    </row>
    <row r="929" spans="1:8" ht="12.75">
      <c r="A929" s="59"/>
      <c r="B929" s="59"/>
      <c r="C929" s="59"/>
      <c r="D929" s="59"/>
      <c r="E929" s="67"/>
      <c r="F929" s="68"/>
      <c r="G929" s="68"/>
      <c r="H929" s="68"/>
    </row>
    <row r="930" spans="1:8" ht="12.75">
      <c r="A930" s="59"/>
      <c r="B930" s="59"/>
      <c r="C930" s="59"/>
      <c r="D930" s="59"/>
      <c r="E930" s="67"/>
      <c r="F930" s="68"/>
      <c r="G930" s="68"/>
      <c r="H930" s="68"/>
    </row>
    <row r="931" spans="1:8" ht="12.75">
      <c r="A931" s="59"/>
      <c r="B931" s="59"/>
      <c r="C931" s="59"/>
      <c r="D931" s="59"/>
      <c r="E931" s="67"/>
      <c r="F931" s="68"/>
      <c r="G931" s="68"/>
      <c r="H931" s="68"/>
    </row>
    <row r="932" spans="1:8" ht="12.75">
      <c r="A932" s="59"/>
      <c r="B932" s="59"/>
      <c r="C932" s="59"/>
      <c r="D932" s="59"/>
      <c r="E932" s="67"/>
      <c r="F932" s="68"/>
      <c r="G932" s="68"/>
      <c r="H932" s="68"/>
    </row>
    <row r="933" spans="1:8" ht="12.75">
      <c r="A933" s="59"/>
      <c r="B933" s="59"/>
      <c r="C933" s="59"/>
      <c r="D933" s="59"/>
      <c r="E933" s="67"/>
      <c r="F933" s="68"/>
      <c r="G933" s="68"/>
      <c r="H933" s="68"/>
    </row>
    <row r="934" spans="1:8" ht="12.75">
      <c r="A934" s="59"/>
      <c r="B934" s="59"/>
      <c r="C934" s="59"/>
      <c r="D934" s="59"/>
      <c r="E934" s="67"/>
      <c r="F934" s="68"/>
      <c r="G934" s="68"/>
      <c r="H934" s="68"/>
    </row>
    <row r="935" spans="1:8" ht="12.75">
      <c r="A935" s="59"/>
      <c r="B935" s="59"/>
      <c r="C935" s="59"/>
      <c r="D935" s="59"/>
      <c r="E935" s="67"/>
      <c r="F935" s="68"/>
      <c r="G935" s="68"/>
      <c r="H935" s="68"/>
    </row>
    <row r="936" spans="1:8" ht="12.75">
      <c r="A936" s="59"/>
      <c r="B936" s="59"/>
      <c r="C936" s="59"/>
      <c r="D936" s="59"/>
      <c r="E936" s="67"/>
      <c r="F936" s="68"/>
      <c r="G936" s="68"/>
      <c r="H936" s="68"/>
    </row>
    <row r="937" spans="1:8" ht="12.75">
      <c r="A937" s="59"/>
      <c r="B937" s="59"/>
      <c r="C937" s="59"/>
      <c r="D937" s="59"/>
      <c r="E937" s="67"/>
      <c r="F937" s="68"/>
      <c r="G937" s="68"/>
      <c r="H937" s="68"/>
    </row>
    <row r="938" spans="1:8" ht="12.75">
      <c r="A938" s="59"/>
      <c r="B938" s="59"/>
      <c r="C938" s="59"/>
      <c r="D938" s="59"/>
      <c r="E938" s="67"/>
      <c r="F938" s="68"/>
      <c r="G938" s="68"/>
      <c r="H938" s="68"/>
    </row>
    <row r="939" spans="1:8" ht="12.75">
      <c r="A939" s="59"/>
      <c r="B939" s="59"/>
      <c r="C939" s="59"/>
      <c r="D939" s="59"/>
      <c r="E939" s="67"/>
      <c r="F939" s="68"/>
      <c r="G939" s="68"/>
      <c r="H939" s="68"/>
    </row>
    <row r="940" spans="1:8" ht="12.75">
      <c r="A940" s="59"/>
      <c r="B940" s="59"/>
      <c r="C940" s="59"/>
      <c r="D940" s="59"/>
      <c r="E940" s="67"/>
      <c r="F940" s="68"/>
      <c r="G940" s="68"/>
      <c r="H940" s="68"/>
    </row>
    <row r="941" spans="1:8" ht="12.75">
      <c r="A941" s="59"/>
      <c r="B941" s="59"/>
      <c r="C941" s="59"/>
      <c r="D941" s="59"/>
      <c r="E941" s="67"/>
      <c r="F941" s="68"/>
      <c r="G941" s="68"/>
      <c r="H941" s="68"/>
    </row>
    <row r="942" spans="1:8" ht="12.75">
      <c r="A942" s="59"/>
      <c r="B942" s="59"/>
      <c r="C942" s="59"/>
      <c r="D942" s="59"/>
      <c r="E942" s="67"/>
      <c r="F942" s="68"/>
      <c r="G942" s="68"/>
      <c r="H942" s="68"/>
    </row>
    <row r="943" spans="1:8" ht="12.75">
      <c r="A943" s="59"/>
      <c r="B943" s="59"/>
      <c r="C943" s="59"/>
      <c r="D943" s="59"/>
      <c r="E943" s="67"/>
      <c r="F943" s="68"/>
      <c r="G943" s="68"/>
      <c r="H943" s="68"/>
    </row>
    <row r="944" spans="1:8" ht="12.75">
      <c r="A944" s="59"/>
      <c r="B944" s="59"/>
      <c r="C944" s="59"/>
      <c r="D944" s="59"/>
      <c r="E944" s="67"/>
      <c r="F944" s="68"/>
      <c r="G944" s="68"/>
      <c r="H944" s="68"/>
    </row>
    <row r="945" spans="1:8" ht="12.75">
      <c r="A945" s="59"/>
      <c r="B945" s="59"/>
      <c r="C945" s="59"/>
      <c r="D945" s="59"/>
      <c r="E945" s="67"/>
      <c r="F945" s="68"/>
      <c r="G945" s="68"/>
      <c r="H945" s="68"/>
    </row>
    <row r="946" spans="1:8" ht="12.75">
      <c r="A946" s="59"/>
      <c r="B946" s="59"/>
      <c r="C946" s="59"/>
      <c r="D946" s="59"/>
      <c r="E946" s="67"/>
      <c r="F946" s="68"/>
      <c r="G946" s="68"/>
      <c r="H946" s="68"/>
    </row>
    <row r="947" spans="1:8" ht="12.75">
      <c r="A947" s="59"/>
      <c r="B947" s="59"/>
      <c r="C947" s="59"/>
      <c r="D947" s="59"/>
      <c r="E947" s="67"/>
      <c r="F947" s="68"/>
      <c r="G947" s="68"/>
      <c r="H947" s="68"/>
    </row>
    <row r="948" spans="1:8" ht="12.75">
      <c r="A948" s="59"/>
      <c r="B948" s="59"/>
      <c r="C948" s="59"/>
      <c r="D948" s="59"/>
      <c r="E948" s="67"/>
      <c r="F948" s="68"/>
      <c r="G948" s="68"/>
      <c r="H948" s="68"/>
    </row>
    <row r="949" spans="1:8" ht="12.75">
      <c r="A949" s="59"/>
      <c r="B949" s="59"/>
      <c r="C949" s="59"/>
      <c r="D949" s="59"/>
      <c r="E949" s="67"/>
      <c r="F949" s="68"/>
      <c r="G949" s="68"/>
      <c r="H949" s="68"/>
    </row>
    <row r="950" spans="1:8" ht="12.75">
      <c r="A950" s="59"/>
      <c r="B950" s="59"/>
      <c r="C950" s="59"/>
      <c r="D950" s="59"/>
      <c r="E950" s="67"/>
      <c r="F950" s="68"/>
      <c r="G950" s="68"/>
      <c r="H950" s="68"/>
    </row>
    <row r="951" spans="1:8" ht="12.75">
      <c r="A951" s="59"/>
      <c r="B951" s="59"/>
      <c r="C951" s="59"/>
      <c r="D951" s="59"/>
      <c r="E951" s="67"/>
      <c r="F951" s="68"/>
      <c r="G951" s="68"/>
      <c r="H951" s="68"/>
    </row>
    <row r="952" spans="1:8" ht="12.75">
      <c r="A952" s="59"/>
      <c r="B952" s="59"/>
      <c r="C952" s="59"/>
      <c r="D952" s="59"/>
      <c r="E952" s="67"/>
      <c r="F952" s="68"/>
      <c r="G952" s="68"/>
      <c r="H952" s="68"/>
    </row>
    <row r="953" spans="1:8" ht="12.75">
      <c r="A953" s="59"/>
      <c r="B953" s="59"/>
      <c r="C953" s="59"/>
      <c r="D953" s="59"/>
      <c r="E953" s="67"/>
      <c r="F953" s="68"/>
      <c r="G953" s="68"/>
      <c r="H953" s="68"/>
    </row>
    <row r="954" spans="1:8" ht="12.75">
      <c r="A954" s="59"/>
      <c r="B954" s="59"/>
      <c r="C954" s="59"/>
      <c r="D954" s="59"/>
      <c r="E954" s="67"/>
      <c r="F954" s="68"/>
      <c r="G954" s="68"/>
      <c r="H954" s="68"/>
    </row>
    <row r="955" spans="1:8" ht="12.75">
      <c r="A955" s="59"/>
      <c r="B955" s="59"/>
      <c r="C955" s="59"/>
      <c r="D955" s="59"/>
      <c r="E955" s="67"/>
      <c r="F955" s="68"/>
      <c r="G955" s="68"/>
      <c r="H955" s="68"/>
    </row>
    <row r="956" spans="1:8" ht="12.75">
      <c r="A956" s="59"/>
      <c r="B956" s="59"/>
      <c r="C956" s="59"/>
      <c r="D956" s="59"/>
      <c r="E956" s="67"/>
      <c r="F956" s="68"/>
      <c r="G956" s="68"/>
      <c r="H956" s="68"/>
    </row>
    <row r="957" spans="1:8" ht="12.75">
      <c r="A957" s="59"/>
      <c r="B957" s="59"/>
      <c r="C957" s="59"/>
      <c r="D957" s="59"/>
      <c r="E957" s="67"/>
      <c r="F957" s="68"/>
      <c r="G957" s="68"/>
      <c r="H957" s="68"/>
    </row>
    <row r="958" spans="1:8" ht="12.75">
      <c r="A958" s="59"/>
      <c r="B958" s="59"/>
      <c r="C958" s="59"/>
      <c r="D958" s="59"/>
      <c r="E958" s="67"/>
      <c r="F958" s="68"/>
      <c r="G958" s="68"/>
      <c r="H958" s="68"/>
    </row>
    <row r="959" spans="1:8" ht="12.75">
      <c r="A959" s="59"/>
      <c r="B959" s="59"/>
      <c r="C959" s="59"/>
      <c r="D959" s="59"/>
      <c r="E959" s="67"/>
      <c r="F959" s="68"/>
      <c r="G959" s="68"/>
      <c r="H959" s="68"/>
    </row>
    <row r="960" spans="1:8" ht="12.75">
      <c r="A960" s="59"/>
      <c r="B960" s="59"/>
      <c r="C960" s="59"/>
      <c r="D960" s="59"/>
      <c r="E960" s="67"/>
      <c r="F960" s="68"/>
      <c r="G960" s="68"/>
      <c r="H960" s="68"/>
    </row>
    <row r="961" spans="1:8" ht="12.75">
      <c r="A961" s="59"/>
      <c r="B961" s="59"/>
      <c r="C961" s="59"/>
      <c r="D961" s="59"/>
      <c r="E961" s="67"/>
      <c r="F961" s="68"/>
      <c r="G961" s="68"/>
      <c r="H961" s="68"/>
    </row>
    <row r="962" spans="1:8" ht="12.75">
      <c r="A962" s="59"/>
      <c r="B962" s="59"/>
      <c r="C962" s="59"/>
      <c r="D962" s="59"/>
      <c r="E962" s="67"/>
      <c r="F962" s="68"/>
      <c r="G962" s="68"/>
      <c r="H962" s="68"/>
    </row>
    <row r="963" spans="1:8" ht="12.75">
      <c r="A963" s="59"/>
      <c r="B963" s="59"/>
      <c r="C963" s="59"/>
      <c r="D963" s="59"/>
      <c r="E963" s="67"/>
      <c r="F963" s="68"/>
      <c r="G963" s="68"/>
      <c r="H963" s="68"/>
    </row>
    <row r="964" spans="1:8" ht="12.75">
      <c r="A964" s="59"/>
      <c r="B964" s="59"/>
      <c r="C964" s="59"/>
      <c r="D964" s="59"/>
      <c r="E964" s="67"/>
      <c r="F964" s="68"/>
      <c r="G964" s="68"/>
      <c r="H964" s="68"/>
    </row>
    <row r="965" spans="1:8" ht="12.75">
      <c r="A965" s="59"/>
      <c r="B965" s="59"/>
      <c r="C965" s="59"/>
      <c r="D965" s="59"/>
      <c r="E965" s="67"/>
      <c r="F965" s="68"/>
      <c r="G965" s="68"/>
      <c r="H965" s="68"/>
    </row>
    <row r="966" spans="1:8" ht="12.75">
      <c r="A966" s="59"/>
      <c r="B966" s="59"/>
      <c r="C966" s="59"/>
      <c r="D966" s="59"/>
      <c r="E966" s="67"/>
      <c r="F966" s="68"/>
      <c r="G966" s="68"/>
      <c r="H966" s="68"/>
    </row>
    <row r="967" spans="1:8" ht="12.75">
      <c r="A967" s="59"/>
      <c r="B967" s="59"/>
      <c r="C967" s="59"/>
      <c r="D967" s="59"/>
      <c r="E967" s="67"/>
      <c r="F967" s="68"/>
      <c r="G967" s="68"/>
      <c r="H967" s="68"/>
    </row>
    <row r="968" spans="1:8" ht="12.75">
      <c r="A968" s="59"/>
      <c r="B968" s="59"/>
      <c r="C968" s="59"/>
      <c r="D968" s="59"/>
      <c r="E968" s="67"/>
      <c r="F968" s="68"/>
      <c r="G968" s="68"/>
      <c r="H968" s="68"/>
    </row>
    <row r="969" spans="1:8" ht="12.75">
      <c r="A969" s="59"/>
      <c r="B969" s="59"/>
      <c r="C969" s="59"/>
      <c r="D969" s="59"/>
      <c r="E969" s="67"/>
      <c r="F969" s="68"/>
      <c r="G969" s="68"/>
      <c r="H969" s="68"/>
    </row>
    <row r="970" spans="1:8" ht="12.75">
      <c r="A970" s="59"/>
      <c r="B970" s="59"/>
      <c r="C970" s="59"/>
      <c r="D970" s="59"/>
      <c r="E970" s="67"/>
      <c r="F970" s="68"/>
      <c r="G970" s="68"/>
      <c r="H970" s="68"/>
    </row>
    <row r="971" spans="1:8" ht="12.75">
      <c r="A971" s="59"/>
      <c r="B971" s="59"/>
      <c r="C971" s="59"/>
      <c r="D971" s="59"/>
      <c r="E971" s="67"/>
      <c r="F971" s="68"/>
      <c r="G971" s="68"/>
      <c r="H971" s="68"/>
    </row>
    <row r="972" spans="1:8" ht="12.75">
      <c r="A972" s="59"/>
      <c r="B972" s="59"/>
      <c r="C972" s="59"/>
      <c r="D972" s="59"/>
      <c r="E972" s="67"/>
      <c r="F972" s="68"/>
      <c r="G972" s="68"/>
      <c r="H972" s="68"/>
    </row>
    <row r="973" spans="1:8" ht="12.75">
      <c r="A973" s="59"/>
      <c r="B973" s="59"/>
      <c r="C973" s="59"/>
      <c r="D973" s="59"/>
      <c r="E973" s="67"/>
      <c r="F973" s="68"/>
      <c r="G973" s="68"/>
      <c r="H973" s="68"/>
    </row>
    <row r="974" spans="1:8" ht="12.75">
      <c r="A974" s="59"/>
      <c r="B974" s="59"/>
      <c r="C974" s="59"/>
      <c r="D974" s="59"/>
      <c r="E974" s="67"/>
      <c r="F974" s="68"/>
      <c r="G974" s="68"/>
      <c r="H974" s="68"/>
    </row>
    <row r="975" spans="1:8" ht="12.75">
      <c r="A975" s="59"/>
      <c r="B975" s="59"/>
      <c r="C975" s="59"/>
      <c r="D975" s="59"/>
      <c r="E975" s="67"/>
      <c r="F975" s="68"/>
      <c r="G975" s="68"/>
      <c r="H975" s="68"/>
    </row>
    <row r="976" spans="1:8" ht="12.75">
      <c r="A976" s="59"/>
      <c r="B976" s="59"/>
      <c r="C976" s="59"/>
      <c r="D976" s="59"/>
      <c r="E976" s="67"/>
      <c r="F976" s="68"/>
      <c r="G976" s="68"/>
      <c r="H976" s="68"/>
    </row>
    <row r="977" spans="1:8" ht="12.75">
      <c r="A977" s="59"/>
      <c r="B977" s="59"/>
      <c r="C977" s="59"/>
      <c r="D977" s="59"/>
      <c r="E977" s="67"/>
      <c r="F977" s="68"/>
      <c r="G977" s="68"/>
      <c r="H977" s="68"/>
    </row>
    <row r="978" spans="1:8" ht="12.75">
      <c r="A978" s="59"/>
      <c r="B978" s="59"/>
      <c r="C978" s="59"/>
      <c r="D978" s="59"/>
      <c r="E978" s="67"/>
      <c r="F978" s="68"/>
      <c r="G978" s="68"/>
      <c r="H978" s="68"/>
    </row>
    <row r="979" spans="1:8" ht="12.75">
      <c r="A979" s="59"/>
      <c r="B979" s="59"/>
      <c r="C979" s="59"/>
      <c r="D979" s="59"/>
      <c r="E979" s="67"/>
      <c r="F979" s="68"/>
      <c r="G979" s="68"/>
      <c r="H979" s="68"/>
    </row>
    <row r="980" spans="1:8" ht="12.75">
      <c r="A980" s="59"/>
      <c r="B980" s="59"/>
      <c r="C980" s="59"/>
      <c r="D980" s="59"/>
      <c r="E980" s="67"/>
      <c r="F980" s="68"/>
      <c r="G980" s="68"/>
      <c r="H980" s="68"/>
    </row>
    <row r="981" spans="1:8" ht="12.75">
      <c r="A981" s="59"/>
      <c r="B981" s="59"/>
      <c r="C981" s="59"/>
      <c r="D981" s="59"/>
      <c r="E981" s="67"/>
      <c r="F981" s="68"/>
      <c r="G981" s="68"/>
      <c r="H981" s="68"/>
    </row>
    <row r="982" spans="1:8" ht="12.75">
      <c r="A982" s="59"/>
      <c r="B982" s="59"/>
      <c r="C982" s="59"/>
      <c r="D982" s="59"/>
      <c r="E982" s="67"/>
      <c r="F982" s="68"/>
      <c r="G982" s="68"/>
      <c r="H982" s="68"/>
    </row>
    <row r="983" spans="1:8" ht="12.75">
      <c r="A983" s="59"/>
      <c r="B983" s="59"/>
      <c r="C983" s="59"/>
      <c r="D983" s="59"/>
      <c r="E983" s="67"/>
      <c r="F983" s="68"/>
      <c r="G983" s="68"/>
      <c r="H983" s="68"/>
    </row>
    <row r="984" spans="1:8" ht="12.75">
      <c r="A984" s="59"/>
      <c r="B984" s="59"/>
      <c r="C984" s="59"/>
      <c r="D984" s="59"/>
      <c r="E984" s="67"/>
      <c r="F984" s="68"/>
      <c r="G984" s="68"/>
      <c r="H984" s="68"/>
    </row>
    <row r="985" spans="1:8" ht="12.75">
      <c r="A985" s="59"/>
      <c r="B985" s="59"/>
      <c r="C985" s="59"/>
      <c r="D985" s="59"/>
      <c r="E985" s="67"/>
      <c r="F985" s="68"/>
      <c r="G985" s="68"/>
      <c r="H985" s="68"/>
    </row>
    <row r="986" spans="1:8" ht="12.75">
      <c r="A986" s="59"/>
      <c r="B986" s="59"/>
      <c r="C986" s="59"/>
      <c r="D986" s="59"/>
      <c r="E986" s="67"/>
      <c r="F986" s="68"/>
      <c r="G986" s="68"/>
      <c r="H986" s="68"/>
    </row>
    <row r="987" spans="1:8" ht="12.75">
      <c r="A987" s="59"/>
      <c r="B987" s="59"/>
      <c r="C987" s="59"/>
      <c r="D987" s="59"/>
      <c r="E987" s="67"/>
      <c r="F987" s="68"/>
      <c r="G987" s="68"/>
      <c r="H987" s="68"/>
    </row>
    <row r="988" spans="1:8" ht="12.75">
      <c r="A988" s="59"/>
      <c r="B988" s="59"/>
      <c r="C988" s="59"/>
      <c r="D988" s="59"/>
      <c r="E988" s="67"/>
      <c r="F988" s="68"/>
      <c r="G988" s="68"/>
      <c r="H988" s="68"/>
    </row>
    <row r="989" spans="1:8" ht="12.75">
      <c r="A989" s="59"/>
      <c r="B989" s="59"/>
      <c r="C989" s="59"/>
      <c r="D989" s="59"/>
      <c r="E989" s="67"/>
      <c r="F989" s="68"/>
      <c r="G989" s="68"/>
      <c r="H989" s="68"/>
    </row>
    <row r="990" spans="1:8" ht="12.75">
      <c r="A990" s="59"/>
      <c r="B990" s="59"/>
      <c r="C990" s="59"/>
      <c r="D990" s="59"/>
      <c r="E990" s="67"/>
      <c r="F990" s="68"/>
      <c r="G990" s="68"/>
      <c r="H990" s="68"/>
    </row>
    <row r="991" spans="1:8" ht="12.75">
      <c r="A991" s="59"/>
      <c r="B991" s="59"/>
      <c r="C991" s="59"/>
      <c r="D991" s="59"/>
      <c r="E991" s="67"/>
      <c r="F991" s="68"/>
      <c r="G991" s="68"/>
      <c r="H991" s="68"/>
    </row>
    <row r="992" spans="1:8" ht="12.75">
      <c r="A992" s="59"/>
      <c r="B992" s="59"/>
      <c r="C992" s="59"/>
      <c r="D992" s="59"/>
      <c r="E992" s="67"/>
      <c r="F992" s="68"/>
      <c r="G992" s="68"/>
      <c r="H992" s="68"/>
    </row>
    <row r="993" spans="1:8" ht="12.75">
      <c r="A993" s="59"/>
      <c r="B993" s="59"/>
      <c r="C993" s="59"/>
      <c r="D993" s="59"/>
      <c r="E993" s="67"/>
      <c r="F993" s="68"/>
      <c r="G993" s="68"/>
      <c r="H993" s="68"/>
    </row>
    <row r="994" spans="1:8" ht="12.75">
      <c r="A994" s="59"/>
      <c r="B994" s="59"/>
      <c r="C994" s="59"/>
      <c r="D994" s="59"/>
      <c r="E994" s="67"/>
      <c r="F994" s="68"/>
      <c r="G994" s="68"/>
      <c r="H994" s="68"/>
    </row>
    <row r="995" spans="1:8" ht="12.75">
      <c r="A995" s="59"/>
      <c r="B995" s="59"/>
      <c r="C995" s="59"/>
      <c r="D995" s="59"/>
      <c r="E995" s="67"/>
      <c r="F995" s="68"/>
      <c r="G995" s="68"/>
      <c r="H995" s="68"/>
    </row>
    <row r="996" spans="1:8" ht="12.75">
      <c r="A996" s="59"/>
      <c r="B996" s="59"/>
      <c r="C996" s="59"/>
      <c r="D996" s="59"/>
      <c r="E996" s="67"/>
      <c r="F996" s="68"/>
      <c r="G996" s="68"/>
      <c r="H996" s="68"/>
    </row>
    <row r="997" spans="1:8" ht="12.75">
      <c r="A997" s="59"/>
      <c r="B997" s="59"/>
      <c r="C997" s="59"/>
      <c r="D997" s="59"/>
      <c r="E997" s="67"/>
      <c r="F997" s="68"/>
      <c r="G997" s="68"/>
      <c r="H997" s="68"/>
    </row>
    <row r="998" spans="1:8" ht="12.75">
      <c r="A998" s="59"/>
      <c r="B998" s="59"/>
      <c r="C998" s="59"/>
      <c r="D998" s="59"/>
      <c r="E998" s="67"/>
      <c r="F998" s="68"/>
      <c r="G998" s="68"/>
      <c r="H998" s="68"/>
    </row>
    <row r="999" spans="1:8" ht="12.75">
      <c r="A999" s="59"/>
      <c r="B999" s="59"/>
      <c r="C999" s="59"/>
      <c r="D999" s="59"/>
      <c r="E999" s="67"/>
      <c r="F999" s="68"/>
      <c r="G999" s="68"/>
      <c r="H999" s="68"/>
    </row>
    <row r="1000" spans="1:8" ht="12.75">
      <c r="A1000" s="59"/>
      <c r="B1000" s="59"/>
      <c r="C1000" s="59"/>
      <c r="D1000" s="59"/>
      <c r="E1000" s="67"/>
      <c r="F1000" s="68"/>
      <c r="G1000" s="68"/>
      <c r="H1000" s="68"/>
    </row>
    <row r="1001" spans="1:8" ht="12.75">
      <c r="A1001" s="59"/>
      <c r="B1001" s="59"/>
      <c r="C1001" s="59"/>
      <c r="D1001" s="59"/>
      <c r="E1001" s="67"/>
      <c r="F1001" s="68"/>
      <c r="G1001" s="68"/>
      <c r="H1001" s="68"/>
    </row>
    <row r="1002" spans="1:8" ht="12.75">
      <c r="A1002" s="59"/>
      <c r="B1002" s="59"/>
      <c r="C1002" s="59"/>
      <c r="D1002" s="59"/>
      <c r="E1002" s="67"/>
      <c r="F1002" s="68"/>
      <c r="G1002" s="68"/>
      <c r="H1002" s="68"/>
    </row>
    <row r="1003" spans="1:8" ht="12.75">
      <c r="A1003" s="59"/>
      <c r="B1003" s="59"/>
      <c r="C1003" s="59"/>
      <c r="D1003" s="59"/>
      <c r="E1003" s="67"/>
      <c r="F1003" s="68"/>
      <c r="G1003" s="68"/>
      <c r="H1003" s="68"/>
    </row>
  </sheetData>
  <mergeCells count="1">
    <mergeCell ref="A1:H1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996"/>
  <sheetViews>
    <sheetView workbookViewId="0">
      <selection activeCell="C4" sqref="C4"/>
    </sheetView>
  </sheetViews>
  <sheetFormatPr baseColWidth="10" defaultColWidth="12.5703125" defaultRowHeight="15.75" customHeight="1"/>
  <cols>
    <col min="1" max="1" width="3.28515625" customWidth="1"/>
    <col min="2" max="4" width="43.28515625" customWidth="1"/>
    <col min="5" max="5" width="38.7109375" customWidth="1"/>
    <col min="6" max="6" width="15.42578125" customWidth="1"/>
    <col min="7" max="8" width="43.28515625" hidden="1" customWidth="1"/>
    <col min="9" max="9" width="26.28515625" customWidth="1"/>
  </cols>
  <sheetData>
    <row r="1" spans="2:9" ht="12.75">
      <c r="B1" s="59"/>
      <c r="C1" s="59"/>
      <c r="D1" s="59"/>
      <c r="E1" s="59"/>
      <c r="F1" s="59"/>
      <c r="G1" s="59"/>
      <c r="H1" s="59"/>
      <c r="I1" s="59"/>
    </row>
    <row r="2" spans="2:9" ht="23.25">
      <c r="B2" s="79"/>
      <c r="C2" s="78"/>
      <c r="D2" s="78"/>
      <c r="E2" s="78"/>
      <c r="F2" s="78"/>
      <c r="G2" s="78"/>
      <c r="H2" s="78"/>
      <c r="I2" s="78"/>
    </row>
    <row r="3" spans="2:9" ht="12.75">
      <c r="B3" s="69"/>
      <c r="C3" s="80"/>
      <c r="D3" s="78"/>
      <c r="E3" s="78"/>
      <c r="F3" s="78"/>
      <c r="G3" s="69"/>
      <c r="H3" s="69"/>
      <c r="I3" s="69"/>
    </row>
    <row r="4" spans="2:9" ht="20.25" customHeight="1">
      <c r="B4" s="70"/>
      <c r="C4" s="71" t="s">
        <v>831</v>
      </c>
      <c r="G4" s="69"/>
      <c r="H4" s="69"/>
      <c r="I4" s="69"/>
    </row>
    <row r="5" spans="2:9" ht="12.75">
      <c r="B5" s="69"/>
      <c r="C5" s="72"/>
      <c r="D5" s="72"/>
      <c r="E5" s="69"/>
      <c r="F5" s="69"/>
      <c r="G5" s="69"/>
      <c r="H5" s="69"/>
      <c r="I5" s="69"/>
    </row>
    <row r="6" spans="2:9" ht="12.75">
      <c r="B6" s="59"/>
      <c r="C6" s="59"/>
      <c r="D6" s="59"/>
      <c r="E6" s="59"/>
      <c r="F6" s="59"/>
      <c r="G6" s="59"/>
      <c r="H6" s="59"/>
      <c r="I6" s="59"/>
    </row>
    <row r="7" spans="2:9" ht="26.25" customHeight="1">
      <c r="B7" s="73" t="s">
        <v>0</v>
      </c>
      <c r="C7" s="73" t="s">
        <v>1</v>
      </c>
      <c r="D7" s="73" t="s">
        <v>2</v>
      </c>
      <c r="E7" s="73" t="s">
        <v>3</v>
      </c>
      <c r="F7" s="73" t="s">
        <v>4</v>
      </c>
      <c r="G7" s="74" t="s">
        <v>5</v>
      </c>
      <c r="H7" s="74" t="s">
        <v>6</v>
      </c>
      <c r="I7" s="74" t="s">
        <v>7</v>
      </c>
    </row>
    <row r="8" spans="2:9" ht="27" customHeight="1">
      <c r="B8" s="73" t="str">
        <f ca="1">IFERROR(__xludf.DUMMYFUNCTION("FILTER(Arancel,(REGEXMATCH(Arancel[PRESENTACIÓN], ""(?i)""&amp;C3))+(REGEXMATCH(Arancel[NOMBRE COMERCIAL], ""(?i)""&amp;C3)))"),"ACETAMINOFEN 120MG/5ML")</f>
        <v>ACETAMINOFEN 120MG/5ML</v>
      </c>
      <c r="C8" s="73" t="str">
        <f ca="1">IFERROR(__xludf.DUMMYFUNCTION("""COMPUTED_VALUE"""),"SUSPENCIÒN 60ML")</f>
        <v>SUSPENCIÒN 60ML</v>
      </c>
      <c r="D8" s="73" t="str">
        <f ca="1">IFERROR(__xludf.DUMMYFUNCTION("""COMPUTED_VALUE"""),"ACETAMINOFEN")</f>
        <v>ACETAMINOFEN</v>
      </c>
      <c r="E8" s="73" t="str">
        <f ca="1">IFERROR(__xludf.DUMMYFUNCTION("""COMPUTED_VALUE"""),"INFASA")</f>
        <v>INFASA</v>
      </c>
      <c r="F8" s="75">
        <f ca="1">IFERROR(__xludf.DUMMYFUNCTION("""COMPUTED_VALUE"""),45895)</f>
        <v>45895</v>
      </c>
      <c r="G8" s="74">
        <f ca="1">IFERROR(__xludf.DUMMYFUNCTION("""COMPUTED_VALUE"""),16.8)</f>
        <v>16.8</v>
      </c>
      <c r="H8" s="74">
        <f ca="1">IFERROR(__xludf.DUMMYFUNCTION("""COMPUTED_VALUE"""),23.52)</f>
        <v>23.52</v>
      </c>
      <c r="I8" s="74">
        <f ca="1">IFERROR(__xludf.DUMMYFUNCTION("""COMPUTED_VALUE"""),25)</f>
        <v>25</v>
      </c>
    </row>
    <row r="9" spans="2:9" ht="27" customHeight="1">
      <c r="B9" s="73" t="str">
        <f ca="1">IFERROR(__xludf.DUMMYFUNCTION("""COMPUTED_VALUE"""),"ADENURIC 80MG.")</f>
        <v>ADENURIC 80MG.</v>
      </c>
      <c r="C9" s="73" t="str">
        <f ca="1">IFERROR(__xludf.DUMMYFUNCTION("""COMPUTED_VALUE"""),"CAJA 20 TABLETAS")</f>
        <v>CAJA 20 TABLETAS</v>
      </c>
      <c r="D9" s="73" t="str">
        <f ca="1">IFERROR(__xludf.DUMMYFUNCTION("""COMPUTED_VALUE"""),"FEBUXOSTAT")</f>
        <v>FEBUXOSTAT</v>
      </c>
      <c r="E9" s="73" t="str">
        <f ca="1">IFERROR(__xludf.DUMMYFUNCTION("""COMPUTED_VALUE"""),"MENARINI")</f>
        <v>MENARINI</v>
      </c>
      <c r="F9" s="75">
        <f ca="1">IFERROR(__xludf.DUMMYFUNCTION("""COMPUTED_VALUE"""),46017)</f>
        <v>46017</v>
      </c>
      <c r="G9" s="74">
        <f ca="1">IFERROR(__xludf.DUMMYFUNCTION("""COMPUTED_VALUE"""),234.15)</f>
        <v>234.15</v>
      </c>
      <c r="H9" s="74">
        <f ca="1">IFERROR(__xludf.DUMMYFUNCTION("""COMPUTED_VALUE"""),327.81)</f>
        <v>327.81</v>
      </c>
      <c r="I9" s="74">
        <f ca="1">IFERROR(__xludf.DUMMYFUNCTION("""COMPUTED_VALUE"""),330)</f>
        <v>330</v>
      </c>
    </row>
    <row r="10" spans="2:9" ht="27" customHeight="1">
      <c r="B10" s="73" t="str">
        <f ca="1">IFERROR(__xludf.DUMMYFUNCTION("""COMPUTED_VALUE"""),"ADRENALINA /EPINEFRINA")</f>
        <v>ADRENALINA /EPINEFRINA</v>
      </c>
      <c r="C10" s="73" t="str">
        <f ca="1">IFERROR(__xludf.DUMMYFUNCTION("""COMPUTED_VALUE"""),"AMPOLLA")</f>
        <v>AMPOLLA</v>
      </c>
      <c r="D10" s="73" t="str">
        <f ca="1">IFERROR(__xludf.DUMMYFUNCTION("""COMPUTED_VALUE"""),"ADRENALINA C/EPINEFRINA")</f>
        <v>ADRENALINA C/EPINEFRINA</v>
      </c>
      <c r="E10" s="73" t="str">
        <f ca="1">IFERROR(__xludf.DUMMYFUNCTION("""COMPUTED_VALUE"""),"VIJOSA")</f>
        <v>VIJOSA</v>
      </c>
      <c r="F10" s="75">
        <f ca="1">IFERROR(__xludf.DUMMYFUNCTION("""COMPUTED_VALUE"""),45835)</f>
        <v>45835</v>
      </c>
      <c r="G10" s="74">
        <f ca="1">IFERROR(__xludf.DUMMYFUNCTION("""COMPUTED_VALUE"""),12.65)</f>
        <v>12.65</v>
      </c>
      <c r="H10" s="74">
        <f ca="1">IFERROR(__xludf.DUMMYFUNCTION("""COMPUTED_VALUE"""),17.71)</f>
        <v>17.71</v>
      </c>
      <c r="I10" s="74">
        <f ca="1">IFERROR(__xludf.DUMMYFUNCTION("""COMPUTED_VALUE"""),25)</f>
        <v>25</v>
      </c>
    </row>
    <row r="11" spans="2:9" ht="27" customHeight="1">
      <c r="B11" s="73" t="str">
        <f ca="1">IFERROR(__xludf.DUMMYFUNCTION("""COMPUTED_VALUE"""),"AERO OM")</f>
        <v>AERO OM</v>
      </c>
      <c r="C11" s="73" t="str">
        <f ca="1">IFERROR(__xludf.DUMMYFUNCTION("""COMPUTED_VALUE"""),"BLISTER 10 TABLETAS")</f>
        <v>BLISTER 10 TABLETAS</v>
      </c>
      <c r="D11" s="73" t="str">
        <f ca="1">IFERROR(__xludf.DUMMYFUNCTION("""COMPUTED_VALUE"""),"SIMETICONA 40MG.")</f>
        <v>SIMETICONA 40MG.</v>
      </c>
      <c r="E11" s="73" t="str">
        <f ca="1">IFERROR(__xludf.DUMMYFUNCTION("""COMPUTED_VALUE"""),"RESCO")</f>
        <v>RESCO</v>
      </c>
      <c r="F11" s="75">
        <f ca="1">IFERROR(__xludf.DUMMYFUNCTION("""COMPUTED_VALUE"""),45865)</f>
        <v>45865</v>
      </c>
      <c r="G11" s="74">
        <f ca="1">IFERROR(__xludf.DUMMYFUNCTION("""COMPUTED_VALUE"""),16.83)</f>
        <v>16.829999999999998</v>
      </c>
      <c r="H11" s="74">
        <f ca="1">IFERROR(__xludf.DUMMYFUNCTION("""COMPUTED_VALUE"""),23.5619999999999)</f>
        <v>23.561999999999902</v>
      </c>
      <c r="I11" s="74">
        <f ca="1">IFERROR(__xludf.DUMMYFUNCTION("""COMPUTED_VALUE"""),30)</f>
        <v>30</v>
      </c>
    </row>
    <row r="12" spans="2:9" ht="27" customHeight="1">
      <c r="B12" s="73" t="str">
        <f ca="1">IFERROR(__xludf.DUMMYFUNCTION("""COMPUTED_VALUE"""),"AERO OM ORAL")</f>
        <v>AERO OM ORAL</v>
      </c>
      <c r="C12" s="73" t="str">
        <f ca="1">IFERROR(__xludf.DUMMYFUNCTION("""COMPUTED_VALUE"""),"GOTAS")</f>
        <v>GOTAS</v>
      </c>
      <c r="D12" s="73" t="str">
        <f ca="1">IFERROR(__xludf.DUMMYFUNCTION("""COMPUTED_VALUE"""),"SIMETICONA 100MG/ML")</f>
        <v>SIMETICONA 100MG/ML</v>
      </c>
      <c r="E12" s="73" t="str">
        <f ca="1">IFERROR(__xludf.DUMMYFUNCTION("""COMPUTED_VALUE"""),"RESCO")</f>
        <v>RESCO</v>
      </c>
      <c r="F12" s="75">
        <f ca="1">IFERROR(__xludf.DUMMYFUNCTION("""COMPUTED_VALUE"""),45957)</f>
        <v>45957</v>
      </c>
      <c r="G12" s="74">
        <f ca="1">IFERROR(__xludf.DUMMYFUNCTION("""COMPUTED_VALUE"""),51.84)</f>
        <v>51.84</v>
      </c>
      <c r="H12" s="74">
        <f ca="1">IFERROR(__xludf.DUMMYFUNCTION("""COMPUTED_VALUE"""),72.576)</f>
        <v>72.575999999999993</v>
      </c>
      <c r="I12" s="74">
        <f ca="1">IFERROR(__xludf.DUMMYFUNCTION("""COMPUTED_VALUE"""),75)</f>
        <v>75</v>
      </c>
    </row>
    <row r="13" spans="2:9" ht="27" customHeight="1">
      <c r="B13" s="73" t="str">
        <f ca="1">IFERROR(__xludf.DUMMYFUNCTION("""COMPUTED_VALUE"""),"ALAMO 16")</f>
        <v>ALAMO 16</v>
      </c>
      <c r="C13" s="73" t="str">
        <f ca="1">IFERROR(__xludf.DUMMYFUNCTION("""COMPUTED_VALUE"""),"CAJA 30 TABLETAS")</f>
        <v>CAJA 30 TABLETAS</v>
      </c>
      <c r="D13" s="73" t="str">
        <f ca="1">IFERROR(__xludf.DUMMYFUNCTION("""COMPUTED_VALUE"""),"CANDESARTÀN")</f>
        <v>CANDESARTÀN</v>
      </c>
      <c r="E13" s="73" t="str">
        <f ca="1">IFERROR(__xludf.DUMMYFUNCTION("""COMPUTED_VALUE"""),"PHARMEDIC")</f>
        <v>PHARMEDIC</v>
      </c>
      <c r="F13" s="75">
        <f ca="1">IFERROR(__xludf.DUMMYFUNCTION("""COMPUTED_VALUE"""),45896)</f>
        <v>45896</v>
      </c>
      <c r="G13" s="74">
        <f ca="1">IFERROR(__xludf.DUMMYFUNCTION("""COMPUTED_VALUE"""),138)</f>
        <v>138</v>
      </c>
      <c r="H13" s="74">
        <f ca="1">IFERROR(__xludf.DUMMYFUNCTION("""COMPUTED_VALUE"""),193.2)</f>
        <v>193.2</v>
      </c>
      <c r="I13" s="74">
        <f ca="1">IFERROR(__xludf.DUMMYFUNCTION("""COMPUTED_VALUE"""),195)</f>
        <v>195</v>
      </c>
    </row>
    <row r="14" spans="2:9" ht="27" customHeight="1">
      <c r="B14" s="73" t="str">
        <f ca="1">IFERROR(__xludf.DUMMYFUNCTION("""COMPUTED_VALUE"""),"ALBUGENOL-TR")</f>
        <v>ALBUGENOL-TR</v>
      </c>
      <c r="C14" s="73" t="str">
        <f ca="1">IFERROR(__xludf.DUMMYFUNCTION("""COMPUTED_VALUE"""),"AEROSOL PARA INHALAR")</f>
        <v>AEROSOL PARA INHALAR</v>
      </c>
      <c r="D14" s="73" t="str">
        <f ca="1">IFERROR(__xludf.DUMMYFUNCTION("""COMPUTED_VALUE"""),"SALBUTAMOL 120 MCG./ BROMURO DE IPATROPIUM 20 MCG.")</f>
        <v>SALBUTAMOL 120 MCG./ BROMURO DE IPATROPIUM 20 MCG.</v>
      </c>
      <c r="E14" s="73" t="str">
        <f ca="1">IFERROR(__xludf.DUMMYFUNCTION("""COMPUTED_VALUE"""),"GENERIX Hadalabs")</f>
        <v>GENERIX Hadalabs</v>
      </c>
      <c r="F14" s="75">
        <f ca="1">IFERROR(__xludf.DUMMYFUNCTION("""COMPUTED_VALUE"""),45865)</f>
        <v>45865</v>
      </c>
      <c r="G14" s="74">
        <f ca="1">IFERROR(__xludf.DUMMYFUNCTION("""COMPUTED_VALUE"""),115.2)</f>
        <v>115.2</v>
      </c>
      <c r="H14" s="74">
        <f ca="1">IFERROR(__xludf.DUMMYFUNCTION("""COMPUTED_VALUE"""),161.28)</f>
        <v>161.28</v>
      </c>
      <c r="I14" s="74">
        <f ca="1">IFERROR(__xludf.DUMMYFUNCTION("""COMPUTED_VALUE"""),170)</f>
        <v>170</v>
      </c>
    </row>
    <row r="15" spans="2:9" ht="27" customHeight="1">
      <c r="B15" s="73" t="str">
        <f ca="1">IFERROR(__xludf.DUMMYFUNCTION("""COMPUTED_VALUE"""),"ALBUMINA HUMANA")</f>
        <v>ALBUMINA HUMANA</v>
      </c>
      <c r="C15" s="73" t="str">
        <f ca="1">IFERROR(__xludf.DUMMYFUNCTION("""COMPUTED_VALUE"""),"FRASCO IV 50ML")</f>
        <v>FRASCO IV 50ML</v>
      </c>
      <c r="D15" s="73" t="str">
        <f ca="1">IFERROR(__xludf.DUMMYFUNCTION("""COMPUTED_VALUE"""),"ALBUMINA HUMANA")</f>
        <v>ALBUMINA HUMANA</v>
      </c>
      <c r="E15" s="73" t="str">
        <f ca="1">IFERROR(__xludf.DUMMYFUNCTION("""COMPUTED_VALUE"""),"INSUMEDIC GT")</f>
        <v>INSUMEDIC GT</v>
      </c>
      <c r="F15" s="75">
        <f ca="1">IFERROR(__xludf.DUMMYFUNCTION("""COMPUTED_VALUE"""),46017)</f>
        <v>46017</v>
      </c>
      <c r="G15" s="74">
        <f ca="1">IFERROR(__xludf.DUMMYFUNCTION("""COMPUTED_VALUE"""),375)</f>
        <v>375</v>
      </c>
      <c r="H15" s="74">
        <f ca="1">IFERROR(__xludf.DUMMYFUNCTION("""COMPUTED_VALUE"""),525)</f>
        <v>525</v>
      </c>
      <c r="I15" s="74">
        <f ca="1">IFERROR(__xludf.DUMMYFUNCTION("""COMPUTED_VALUE"""),530)</f>
        <v>530</v>
      </c>
    </row>
    <row r="16" spans="2:9" ht="27" customHeight="1">
      <c r="B16" s="73" t="str">
        <f ca="1">IFERROR(__xludf.DUMMYFUNCTION("""COMPUTED_VALUE"""),"ALCET 5")</f>
        <v>ALCET 5</v>
      </c>
      <c r="C16" s="73" t="str">
        <f ca="1">IFERROR(__xludf.DUMMYFUNCTION("""COMPUTED_VALUE"""),"CAJA 10 TAB.")</f>
        <v>CAJA 10 TAB.</v>
      </c>
      <c r="D16" s="73" t="str">
        <f ca="1">IFERROR(__xludf.DUMMYFUNCTION("""COMPUTED_VALUE"""),"LEVOCETIRIZINA 5MG.")</f>
        <v>LEVOCETIRIZINA 5MG.</v>
      </c>
      <c r="E16" s="73" t="str">
        <f ca="1">IFERROR(__xludf.DUMMYFUNCTION("""COMPUTED_VALUE"""),"PRISM")</f>
        <v>PRISM</v>
      </c>
      <c r="F16" s="75">
        <f ca="1">IFERROR(__xludf.DUMMYFUNCTION("""COMPUTED_VALUE"""),45956)</f>
        <v>45956</v>
      </c>
      <c r="G16" s="74">
        <f ca="1">IFERROR(__xludf.DUMMYFUNCTION("""COMPUTED_VALUE"""),75.09)</f>
        <v>75.09</v>
      </c>
      <c r="H16" s="74">
        <f ca="1">IFERROR(__xludf.DUMMYFUNCTION("""COMPUTED_VALUE"""),105.126)</f>
        <v>105.126</v>
      </c>
      <c r="I16" s="74">
        <f ca="1">IFERROR(__xludf.DUMMYFUNCTION("""COMPUTED_VALUE"""),105)</f>
        <v>105</v>
      </c>
    </row>
    <row r="17" spans="2:9" ht="27" customHeight="1">
      <c r="B17" s="73" t="str">
        <f ca="1">IFERROR(__xludf.DUMMYFUNCTION("""COMPUTED_VALUE"""),"AMIKASINA")</f>
        <v>AMIKASINA</v>
      </c>
      <c r="C17" s="73" t="str">
        <f ca="1">IFERROR(__xludf.DUMMYFUNCTION("""COMPUTED_VALUE"""),"AMPOLLA")</f>
        <v>AMPOLLA</v>
      </c>
      <c r="D17" s="73" t="str">
        <f ca="1">IFERROR(__xludf.DUMMYFUNCTION("""COMPUTED_VALUE"""),"AMIKASINA 500MG")</f>
        <v>AMIKASINA 500MG</v>
      </c>
      <c r="E17" s="73" t="str">
        <f ca="1">IFERROR(__xludf.DUMMYFUNCTION("""COMPUTED_VALUE"""),"VITALIS")</f>
        <v>VITALIS</v>
      </c>
      <c r="F17" s="75">
        <f ca="1">IFERROR(__xludf.DUMMYFUNCTION("""COMPUTED_VALUE"""),46018)</f>
        <v>46018</v>
      </c>
      <c r="G17" s="74">
        <f ca="1">IFERROR(__xludf.DUMMYFUNCTION("""COMPUTED_VALUE"""),5)</f>
        <v>5</v>
      </c>
      <c r="H17" s="74">
        <f ca="1">IFERROR(__xludf.DUMMYFUNCTION("""COMPUTED_VALUE"""),7)</f>
        <v>7</v>
      </c>
      <c r="I17" s="74">
        <f ca="1">IFERROR(__xludf.DUMMYFUNCTION("""COMPUTED_VALUE"""),40)</f>
        <v>40</v>
      </c>
    </row>
    <row r="18" spans="2:9" ht="27" customHeight="1">
      <c r="B18" s="73" t="str">
        <f ca="1">IFERROR(__xludf.DUMMYFUNCTION("""COMPUTED_VALUE"""),"AMINOFILINA")</f>
        <v>AMINOFILINA</v>
      </c>
      <c r="C18" s="73" t="str">
        <f ca="1">IFERROR(__xludf.DUMMYFUNCTION("""COMPUTED_VALUE"""),"AMPOLLA")</f>
        <v>AMPOLLA</v>
      </c>
      <c r="D18" s="73" t="str">
        <f ca="1">IFERROR(__xludf.DUMMYFUNCTION("""COMPUTED_VALUE"""),"AMINOFILINA 250MG.")</f>
        <v>AMINOFILINA 250MG.</v>
      </c>
      <c r="E18" s="73" t="str">
        <f ca="1">IFERROR(__xludf.DUMMYFUNCTION("""COMPUTED_VALUE"""),"BONIN/QUALITY")</f>
        <v>BONIN/QUALITY</v>
      </c>
      <c r="F18" s="75">
        <f ca="1">IFERROR(__xludf.DUMMYFUNCTION("""COMPUTED_VALUE"""),45803)</f>
        <v>45803</v>
      </c>
      <c r="G18" s="74">
        <f ca="1">IFERROR(__xludf.DUMMYFUNCTION("""COMPUTED_VALUE"""),6)</f>
        <v>6</v>
      </c>
      <c r="H18" s="74">
        <f ca="1">IFERROR(__xludf.DUMMYFUNCTION("""COMPUTED_VALUE"""),8.4)</f>
        <v>8.4</v>
      </c>
      <c r="I18" s="74">
        <f ca="1">IFERROR(__xludf.DUMMYFUNCTION("""COMPUTED_VALUE"""),40)</f>
        <v>40</v>
      </c>
    </row>
    <row r="19" spans="2:9" ht="27" customHeight="1">
      <c r="B19" s="73" t="str">
        <f ca="1">IFERROR(__xludf.DUMMYFUNCTION("""COMPUTED_VALUE"""),"AMIODARONA ATLANSIL")</f>
        <v>AMIODARONA ATLANSIL</v>
      </c>
      <c r="C19" s="73" t="str">
        <f ca="1">IFERROR(__xludf.DUMMYFUNCTION("""COMPUTED_VALUE"""),"AMPOLLA")</f>
        <v>AMPOLLA</v>
      </c>
      <c r="D19" s="73" t="str">
        <f ca="1">IFERROR(__xludf.DUMMYFUNCTION("""COMPUTED_VALUE"""),"AMIODARONA CLORHIDRATO")</f>
        <v>AMIODARONA CLORHIDRATO</v>
      </c>
      <c r="E19" s="73" t="str">
        <f ca="1">IFERROR(__xludf.DUMMYFUNCTION("""COMPUTED_VALUE"""),"INSUMEDIC GT")</f>
        <v>INSUMEDIC GT</v>
      </c>
      <c r="F19" s="75">
        <f ca="1">IFERROR(__xludf.DUMMYFUNCTION("""COMPUTED_VALUE"""),45803)</f>
        <v>45803</v>
      </c>
      <c r="G19" s="74">
        <f ca="1">IFERROR(__xludf.DUMMYFUNCTION("""COMPUTED_VALUE"""),78)</f>
        <v>78</v>
      </c>
      <c r="H19" s="74">
        <f ca="1">IFERROR(__xludf.DUMMYFUNCTION("""COMPUTED_VALUE"""),109.2)</f>
        <v>109.2</v>
      </c>
      <c r="I19" s="74">
        <f ca="1">IFERROR(__xludf.DUMMYFUNCTION("""COMPUTED_VALUE"""),150)</f>
        <v>150</v>
      </c>
    </row>
    <row r="20" spans="2:9" ht="27" customHeight="1">
      <c r="B20" s="73" t="str">
        <f ca="1">IFERROR(__xludf.DUMMYFUNCTION("""COMPUTED_VALUE"""),"AMPICILINA + SULBACTAM")</f>
        <v>AMPICILINA + SULBACTAM</v>
      </c>
      <c r="C20" s="73" t="str">
        <f ca="1">IFERROR(__xludf.DUMMYFUNCTION("""COMPUTED_VALUE"""),"FRASCO INYECTABLE")</f>
        <v>FRASCO INYECTABLE</v>
      </c>
      <c r="D20" s="73" t="str">
        <f ca="1">IFERROR(__xludf.DUMMYFUNCTION("""COMPUTED_VALUE"""),"AMPICILINA + SULBACTAM 1.5G")</f>
        <v>AMPICILINA + SULBACTAM 1.5G</v>
      </c>
      <c r="E20" s="73" t="str">
        <f ca="1">IFERROR(__xludf.DUMMYFUNCTION("""COMPUTED_VALUE"""),"VITALIS/DISSA")</f>
        <v>VITALIS/DISSA</v>
      </c>
      <c r="F20" s="75">
        <f ca="1">IFERROR(__xludf.DUMMYFUNCTION("""COMPUTED_VALUE"""),45775)</f>
        <v>45775</v>
      </c>
      <c r="G20" s="74">
        <f ca="1">IFERROR(__xludf.DUMMYFUNCTION("""COMPUTED_VALUE"""),7.13)</f>
        <v>7.13</v>
      </c>
      <c r="H20" s="74">
        <f ca="1">IFERROR(__xludf.DUMMYFUNCTION("""COMPUTED_VALUE"""),9.982)</f>
        <v>9.9819999999999993</v>
      </c>
      <c r="I20" s="74">
        <f ca="1">IFERROR(__xludf.DUMMYFUNCTION("""COMPUTED_VALUE"""),70)</f>
        <v>70</v>
      </c>
    </row>
    <row r="21" spans="2:9" ht="27" customHeight="1">
      <c r="B21" s="73" t="str">
        <f ca="1">IFERROR(__xludf.DUMMYFUNCTION("""COMPUTED_VALUE"""),"ANGINOVAG")</f>
        <v>ANGINOVAG</v>
      </c>
      <c r="C21" s="73" t="str">
        <f ca="1">IFERROR(__xludf.DUMMYFUNCTION("""COMPUTED_VALUE"""),"SPRAY BUCAL")</f>
        <v>SPRAY BUCAL</v>
      </c>
      <c r="D21" s="73" t="str">
        <f ca="1">IFERROR(__xludf.DUMMYFUNCTION("""COMPUTED_VALUE"""),"decualinio cloruro, enoxolona, acetato de hidrocortisona , tirotricina y lidocaína clorhidrato.")</f>
        <v>decualinio cloruro, enoxolona, acetato de hidrocortisona , tirotricina y lidocaína clorhidrato.</v>
      </c>
      <c r="E21" s="73" t="str">
        <f ca="1">IFERROR(__xludf.DUMMYFUNCTION("""COMPUTED_VALUE"""),"FERRER")</f>
        <v>FERRER</v>
      </c>
      <c r="F21" s="75">
        <f ca="1">IFERROR(__xludf.DUMMYFUNCTION("""COMPUTED_VALUE"""),45805)</f>
        <v>45805</v>
      </c>
      <c r="G21" s="74">
        <f ca="1">IFERROR(__xludf.DUMMYFUNCTION("""COMPUTED_VALUE"""),85)</f>
        <v>85</v>
      </c>
      <c r="H21" s="74">
        <f ca="1">IFERROR(__xludf.DUMMYFUNCTION("""COMPUTED_VALUE"""),119)</f>
        <v>119</v>
      </c>
      <c r="I21" s="74">
        <f ca="1">IFERROR(__xludf.DUMMYFUNCTION("""COMPUTED_VALUE"""),120)</f>
        <v>120</v>
      </c>
    </row>
    <row r="22" spans="2:9" ht="27" customHeight="1">
      <c r="B22" s="73" t="str">
        <f ca="1">IFERROR(__xludf.DUMMYFUNCTION("""COMPUTED_VALUE"""),"ARTROSIL 5")</f>
        <v>ARTROSIL 5</v>
      </c>
      <c r="C22" s="73" t="str">
        <f ca="1">IFERROR(__xludf.DUMMYFUNCTION("""COMPUTED_VALUE"""),"CAJA 30 SOBRES")</f>
        <v>CAJA 30 SOBRES</v>
      </c>
      <c r="D22" s="73" t="str">
        <f ca="1">IFERROR(__xludf.DUMMYFUNCTION("""COMPUTED_VALUE"""),"GLUCOSAMINA, CONDROITINA, COLÁGENO, ÁCIDO IALURÓNICO, ÁCIDO ASCÓRBICO")</f>
        <v>GLUCOSAMINA, CONDROITINA, COLÁGENO, ÁCIDO IALURÓNICO, ÁCIDO ASCÓRBICO</v>
      </c>
      <c r="E22" s="73" t="str">
        <f ca="1">IFERROR(__xludf.DUMMYFUNCTION("""COMPUTED_VALUE"""),"PHARMALAT")</f>
        <v>PHARMALAT</v>
      </c>
      <c r="F22" s="75">
        <f ca="1">IFERROR(__xludf.DUMMYFUNCTION("""COMPUTED_VALUE"""),45987)</f>
        <v>45987</v>
      </c>
      <c r="G22" s="74">
        <f ca="1">IFERROR(__xludf.DUMMYFUNCTION("""COMPUTED_VALUE"""),395)</f>
        <v>395</v>
      </c>
      <c r="H22" s="74">
        <f ca="1">IFERROR(__xludf.DUMMYFUNCTION("""COMPUTED_VALUE"""),553)</f>
        <v>553</v>
      </c>
      <c r="I22" s="74">
        <f ca="1">IFERROR(__xludf.DUMMYFUNCTION("""COMPUTED_VALUE"""),560)</f>
        <v>560</v>
      </c>
    </row>
    <row r="23" spans="2:9" ht="27" customHeight="1">
      <c r="B23" s="73" t="str">
        <f ca="1">IFERROR(__xludf.DUMMYFUNCTION("""COMPUTED_VALUE"""),"ASCORBOL")</f>
        <v>ASCORBOL</v>
      </c>
      <c r="C23" s="73" t="str">
        <f ca="1">IFERROR(__xludf.DUMMYFUNCTION("""COMPUTED_VALUE"""),"AMPOLLA")</f>
        <v>AMPOLLA</v>
      </c>
      <c r="D23" s="73" t="str">
        <f ca="1">IFERROR(__xludf.DUMMYFUNCTION("""COMPUTED_VALUE"""),"VITAMINA C")</f>
        <v>VITAMINA C</v>
      </c>
      <c r="E23" s="73" t="str">
        <f ca="1">IFERROR(__xludf.DUMMYFUNCTION("""COMPUTED_VALUE"""),"DIPROFARM")</f>
        <v>DIPROFARM</v>
      </c>
      <c r="F23" s="75">
        <f ca="1">IFERROR(__xludf.DUMMYFUNCTION("""COMPUTED_VALUE"""),45804)</f>
        <v>45804</v>
      </c>
      <c r="G23" s="74">
        <f ca="1">IFERROR(__xludf.DUMMYFUNCTION("""COMPUTED_VALUE"""),5.82)</f>
        <v>5.82</v>
      </c>
      <c r="H23" s="74">
        <f ca="1">IFERROR(__xludf.DUMMYFUNCTION("""COMPUTED_VALUE"""),8.148)</f>
        <v>8.1479999999999997</v>
      </c>
      <c r="I23" s="74">
        <f ca="1">IFERROR(__xludf.DUMMYFUNCTION("""COMPUTED_VALUE"""),30)</f>
        <v>30</v>
      </c>
    </row>
    <row r="24" spans="2:9" ht="27" customHeight="1">
      <c r="B24" s="73" t="str">
        <f ca="1">IFERROR(__xludf.DUMMYFUNCTION("""COMPUTED_VALUE"""),"ATOR-DEL 20")</f>
        <v>ATOR-DEL 20</v>
      </c>
      <c r="C24" s="73" t="str">
        <f ca="1">IFERROR(__xludf.DUMMYFUNCTION("""COMPUTED_VALUE"""),"CAJA 30 TABLETAS")</f>
        <v>CAJA 30 TABLETAS</v>
      </c>
      <c r="D24" s="73" t="str">
        <f ca="1">IFERROR(__xludf.DUMMYFUNCTION("""COMPUTED_VALUE"""),"ATORVASTATINA 20MG.")</f>
        <v>ATORVASTATINA 20MG.</v>
      </c>
      <c r="E24" s="73" t="str">
        <f ca="1">IFERROR(__xludf.DUMMYFUNCTION("""COMPUTED_VALUE"""),"PHARMADEL")</f>
        <v>PHARMADEL</v>
      </c>
      <c r="F24" s="75">
        <f ca="1">IFERROR(__xludf.DUMMYFUNCTION("""COMPUTED_VALUE"""),45927)</f>
        <v>45927</v>
      </c>
      <c r="G24" s="74">
        <f ca="1">IFERROR(__xludf.DUMMYFUNCTION("""COMPUTED_VALUE"""),90)</f>
        <v>90</v>
      </c>
      <c r="H24" s="74">
        <f ca="1">IFERROR(__xludf.DUMMYFUNCTION("""COMPUTED_VALUE"""),126)</f>
        <v>126</v>
      </c>
      <c r="I24" s="74">
        <f ca="1">IFERROR(__xludf.DUMMYFUNCTION("""COMPUTED_VALUE"""),140)</f>
        <v>140</v>
      </c>
    </row>
    <row r="25" spans="2:9" ht="27" customHeight="1">
      <c r="B25" s="73" t="str">
        <f ca="1">IFERROR(__xludf.DUMMYFUNCTION("""COMPUTED_VALUE"""),"AZITROMICINA 500MG")</f>
        <v>AZITROMICINA 500MG</v>
      </c>
      <c r="C25" s="73" t="str">
        <f ca="1">IFERROR(__xludf.DUMMYFUNCTION("""COMPUTED_VALUE"""),"BLISTER 5 TABLETAS")</f>
        <v>BLISTER 5 TABLETAS</v>
      </c>
      <c r="D25" s="73" t="str">
        <f ca="1">IFERROR(__xludf.DUMMYFUNCTION("""COMPUTED_VALUE"""),"AZITROMICINA")</f>
        <v>AZITROMICINA</v>
      </c>
      <c r="E25" s="73" t="str">
        <f ca="1">IFERROR(__xludf.DUMMYFUNCTION("""COMPUTED_VALUE"""),"INFASA")</f>
        <v>INFASA</v>
      </c>
      <c r="F25" s="75">
        <f ca="1">IFERROR(__xludf.DUMMYFUNCTION("""COMPUTED_VALUE"""),45927)</f>
        <v>45927</v>
      </c>
      <c r="G25" s="74">
        <f ca="1">IFERROR(__xludf.DUMMYFUNCTION("""COMPUTED_VALUE"""),33)</f>
        <v>33</v>
      </c>
      <c r="H25" s="74">
        <f ca="1">IFERROR(__xludf.DUMMYFUNCTION("""COMPUTED_VALUE"""),46.2)</f>
        <v>46.2</v>
      </c>
      <c r="I25" s="74">
        <f ca="1">IFERROR(__xludf.DUMMYFUNCTION("""COMPUTED_VALUE"""),45)</f>
        <v>45</v>
      </c>
    </row>
    <row r="26" spans="2:9" ht="27" customHeight="1">
      <c r="B26" s="73" t="str">
        <f ca="1">IFERROR(__xludf.DUMMYFUNCTION("""COMPUTED_VALUE"""),"BAC-CLOR")</f>
        <v>BAC-CLOR</v>
      </c>
      <c r="C26" s="73" t="str">
        <f ca="1">IFERROR(__xludf.DUMMYFUNCTION("""COMPUTED_VALUE"""),"SUSPENCIÒN")</f>
        <v>SUSPENCIÒN</v>
      </c>
      <c r="D26" s="73" t="str">
        <f ca="1">IFERROR(__xludf.DUMMYFUNCTION("""COMPUTED_VALUE"""),"CEFIXIMA 100MG.")</f>
        <v>CEFIXIMA 100MG.</v>
      </c>
      <c r="E26" s="73" t="str">
        <f ca="1">IFERROR(__xludf.DUMMYFUNCTION("""COMPUTED_VALUE"""),"PHARMADEL")</f>
        <v>PHARMADEL</v>
      </c>
      <c r="F26" s="75">
        <f ca="1">IFERROR(__xludf.DUMMYFUNCTION("""COMPUTED_VALUE"""),45988)</f>
        <v>45988</v>
      </c>
      <c r="G26" s="74">
        <f ca="1">IFERROR(__xludf.DUMMYFUNCTION("""COMPUTED_VALUE"""),94)</f>
        <v>94</v>
      </c>
      <c r="H26" s="74">
        <f ca="1">IFERROR(__xludf.DUMMYFUNCTION("""COMPUTED_VALUE"""),131.6)</f>
        <v>131.6</v>
      </c>
      <c r="I26" s="74">
        <f ca="1">IFERROR(__xludf.DUMMYFUNCTION("""COMPUTED_VALUE"""),135)</f>
        <v>135</v>
      </c>
    </row>
    <row r="27" spans="2:9" ht="27" customHeight="1">
      <c r="B27" s="73" t="str">
        <f ca="1">IFERROR(__xludf.DUMMYFUNCTION("""COMPUTED_VALUE"""),"BAC-CLOR")</f>
        <v>BAC-CLOR</v>
      </c>
      <c r="C27" s="73" t="str">
        <f ca="1">IFERROR(__xludf.DUMMYFUNCTION("""COMPUTED_VALUE"""),"CAJA 5 CAPSULAS")</f>
        <v>CAJA 5 CAPSULAS</v>
      </c>
      <c r="D27" s="73" t="str">
        <f ca="1">IFERROR(__xludf.DUMMYFUNCTION("""COMPUTED_VALUE"""),"CEFIXIMA 400MG.")</f>
        <v>CEFIXIMA 400MG.</v>
      </c>
      <c r="E27" s="73" t="str">
        <f ca="1">IFERROR(__xludf.DUMMYFUNCTION("""COMPUTED_VALUE"""),"PHARMADEL")</f>
        <v>PHARMADEL</v>
      </c>
      <c r="F27" s="75">
        <f ca="1">IFERROR(__xludf.DUMMYFUNCTION("""COMPUTED_VALUE"""),45805)</f>
        <v>45805</v>
      </c>
      <c r="G27" s="74">
        <f ca="1">IFERROR(__xludf.DUMMYFUNCTION("""COMPUTED_VALUE"""),65)</f>
        <v>65</v>
      </c>
      <c r="H27" s="74">
        <f ca="1">IFERROR(__xludf.DUMMYFUNCTION("""COMPUTED_VALUE"""),91)</f>
        <v>91</v>
      </c>
      <c r="I27" s="74">
        <f ca="1">IFERROR(__xludf.DUMMYFUNCTION("""COMPUTED_VALUE"""),95)</f>
        <v>95</v>
      </c>
    </row>
    <row r="28" spans="2:9" ht="27" customHeight="1">
      <c r="B28" s="73" t="str">
        <f ca="1">IFERROR(__xludf.DUMMYFUNCTION("""COMPUTED_VALUE"""),"BACTEMICINA K")</f>
        <v>BACTEMICINA K</v>
      </c>
      <c r="C28" s="73" t="str">
        <f ca="1">IFERROR(__xludf.DUMMYFUNCTION("""COMPUTED_VALUE"""),"7 ÒVULOS VAGINALES")</f>
        <v>7 ÒVULOS VAGINALES</v>
      </c>
      <c r="D28" s="73" t="str">
        <f ca="1">IFERROR(__xludf.DUMMYFUNCTION("""COMPUTED_VALUE"""),"CLIDAMINICINA + KETOCONAZOL")</f>
        <v>CLIDAMINICINA + KETOCONAZOL</v>
      </c>
      <c r="E28" s="73" t="str">
        <f ca="1">IFERROR(__xludf.DUMMYFUNCTION("""COMPUTED_VALUE"""),"QUALIPHARM")</f>
        <v>QUALIPHARM</v>
      </c>
      <c r="F28" s="75">
        <f ca="1">IFERROR(__xludf.DUMMYFUNCTION("""COMPUTED_VALUE"""),45895)</f>
        <v>45895</v>
      </c>
      <c r="G28" s="74">
        <f ca="1">IFERROR(__xludf.DUMMYFUNCTION("""COMPUTED_VALUE"""),80)</f>
        <v>80</v>
      </c>
      <c r="H28" s="74">
        <f ca="1">IFERROR(__xludf.DUMMYFUNCTION("""COMPUTED_VALUE"""),112)</f>
        <v>112</v>
      </c>
      <c r="I28" s="74">
        <f ca="1">IFERROR(__xludf.DUMMYFUNCTION("""COMPUTED_VALUE"""),130)</f>
        <v>130</v>
      </c>
    </row>
    <row r="29" spans="2:9" ht="27" customHeight="1">
      <c r="B29" s="73" t="str">
        <f ca="1">IFERROR(__xludf.DUMMYFUNCTION("""COMPUTED_VALUE"""),"BACTEMICINA K")</f>
        <v>BACTEMICINA K</v>
      </c>
      <c r="C29" s="73" t="str">
        <f ca="1">IFERROR(__xludf.DUMMYFUNCTION("""COMPUTED_VALUE"""),"CREMA VAGINAL")</f>
        <v>CREMA VAGINAL</v>
      </c>
      <c r="D29" s="73" t="str">
        <f ca="1">IFERROR(__xludf.DUMMYFUNCTION("""COMPUTED_VALUE"""),"CLIDAMINICINA + KETOCONAZOL")</f>
        <v>CLIDAMINICINA + KETOCONAZOL</v>
      </c>
      <c r="E29" s="73" t="str">
        <f ca="1">IFERROR(__xludf.DUMMYFUNCTION("""COMPUTED_VALUE"""),"QUALIPHARM")</f>
        <v>QUALIPHARM</v>
      </c>
      <c r="F29" s="75">
        <f ca="1">IFERROR(__xludf.DUMMYFUNCTION("""COMPUTED_VALUE"""),45927)</f>
        <v>45927</v>
      </c>
      <c r="G29" s="74">
        <f ca="1">IFERROR(__xludf.DUMMYFUNCTION("""COMPUTED_VALUE"""),60)</f>
        <v>60</v>
      </c>
      <c r="H29" s="74">
        <f ca="1">IFERROR(__xludf.DUMMYFUNCTION("""COMPUTED_VALUE"""),84)</f>
        <v>84</v>
      </c>
      <c r="I29" s="74">
        <f ca="1">IFERROR(__xludf.DUMMYFUNCTION("""COMPUTED_VALUE"""),85)</f>
        <v>85</v>
      </c>
    </row>
    <row r="30" spans="2:9" ht="27" customHeight="1">
      <c r="B30" s="73" t="str">
        <f ca="1">IFERROR(__xludf.DUMMYFUNCTION("""COMPUTED_VALUE"""),"BADYKET")</f>
        <v>BADYKET</v>
      </c>
      <c r="C30" s="73" t="str">
        <f ca="1">IFERROR(__xludf.DUMMYFUNCTION("""COMPUTED_VALUE"""),"IV")</f>
        <v>IV</v>
      </c>
      <c r="D30" s="73" t="str">
        <f ca="1">IFERROR(__xludf.DUMMYFUNCTION("""COMPUTED_VALUE"""),"ANTICUABILANTE")</f>
        <v>ANTICUABILANTE</v>
      </c>
      <c r="E30" s="73" t="str">
        <f ca="1">IFERROR(__xludf.DUMMYFUNCTION("""COMPUTED_VALUE"""),"FARMEN")</f>
        <v>FARMEN</v>
      </c>
      <c r="F30" s="75">
        <f ca="1">IFERROR(__xludf.DUMMYFUNCTION("""COMPUTED_VALUE"""),45804)</f>
        <v>45804</v>
      </c>
      <c r="G30" s="74">
        <f ca="1">IFERROR(__xludf.DUMMYFUNCTION("""COMPUTED_VALUE"""),100)</f>
        <v>100</v>
      </c>
      <c r="H30" s="74">
        <f ca="1">IFERROR(__xludf.DUMMYFUNCTION("""COMPUTED_VALUE"""),140)</f>
        <v>140</v>
      </c>
      <c r="I30" s="74">
        <f ca="1">IFERROR(__xludf.DUMMYFUNCTION("""COMPUTED_VALUE"""),150)</f>
        <v>150</v>
      </c>
    </row>
    <row r="31" spans="2:9" ht="27" customHeight="1">
      <c r="B31" s="73" t="str">
        <f ca="1">IFERROR(__xludf.DUMMYFUNCTION("""COMPUTED_VALUE"""),"BALANAT")</f>
        <v>BALANAT</v>
      </c>
      <c r="C31" s="73" t="str">
        <f ca="1">IFERROR(__xludf.DUMMYFUNCTION("""COMPUTED_VALUE"""),"CAJA 30 SOBRES")</f>
        <v>CAJA 30 SOBRES</v>
      </c>
      <c r="D31" s="73" t="str">
        <f ca="1">IFERROR(__xludf.DUMMYFUNCTION("""COMPUTED_VALUE"""),"COMPLEMENTO NUTRICIONAL")</f>
        <v>COMPLEMENTO NUTRICIONAL</v>
      </c>
      <c r="E31" s="73" t="str">
        <f ca="1">IFERROR(__xludf.DUMMYFUNCTION("""COMPUTED_VALUE"""),"WINZZER")</f>
        <v>WINZZER</v>
      </c>
      <c r="F31" s="75">
        <f ca="1">IFERROR(__xludf.DUMMYFUNCTION("""COMPUTED_VALUE"""),45926)</f>
        <v>45926</v>
      </c>
      <c r="G31" s="74">
        <f ca="1">IFERROR(__xludf.DUMMYFUNCTION("""COMPUTED_VALUE"""),485.71)</f>
        <v>485.71</v>
      </c>
      <c r="H31" s="74">
        <f ca="1">IFERROR(__xludf.DUMMYFUNCTION("""COMPUTED_VALUE"""),679.993999999999)</f>
        <v>679.99399999999901</v>
      </c>
      <c r="I31" s="74">
        <f ca="1">IFERROR(__xludf.DUMMYFUNCTION("""COMPUTED_VALUE"""),680)</f>
        <v>680</v>
      </c>
    </row>
    <row r="32" spans="2:9" ht="27" customHeight="1">
      <c r="B32" s="73" t="str">
        <f ca="1">IFERROR(__xludf.DUMMYFUNCTION("""COMPUTED_VALUE"""),"BIO FILM")</f>
        <v>BIO FILM</v>
      </c>
      <c r="C32" s="73" t="str">
        <f ca="1">IFERROR(__xludf.DUMMYFUNCTION("""COMPUTED_VALUE"""),"MEMBRANA 10 * 10")</f>
        <v>MEMBRANA 10 * 10</v>
      </c>
      <c r="D32" s="73" t="str">
        <f ca="1">IFERROR(__xludf.DUMMYFUNCTION("""COMPUTED_VALUE"""),"MEMBRANA 10 * 10")</f>
        <v>MEMBRANA 10 * 10</v>
      </c>
      <c r="E32" s="73" t="str">
        <f ca="1">IFERROR(__xludf.DUMMYFUNCTION("""COMPUTED_VALUE"""),"BIOFILM/BONIN")</f>
        <v>BIOFILM/BONIN</v>
      </c>
      <c r="F32" s="75">
        <f ca="1">IFERROR(__xludf.DUMMYFUNCTION("""COMPUTED_VALUE"""),45803)</f>
        <v>45803</v>
      </c>
      <c r="G32" s="74">
        <f ca="1">IFERROR(__xludf.DUMMYFUNCTION("""COMPUTED_VALUE"""),125)</f>
        <v>125</v>
      </c>
      <c r="H32" s="74">
        <f ca="1">IFERROR(__xludf.DUMMYFUNCTION("""COMPUTED_VALUE"""),175)</f>
        <v>175</v>
      </c>
      <c r="I32" s="74">
        <f ca="1">IFERROR(__xludf.DUMMYFUNCTION("""COMPUTED_VALUE"""),200)</f>
        <v>200</v>
      </c>
    </row>
    <row r="33" spans="2:9" ht="27" customHeight="1">
      <c r="B33" s="73" t="str">
        <f ca="1">IFERROR(__xludf.DUMMYFUNCTION("""COMPUTED_VALUE"""),"BIO ZINK")</f>
        <v>BIO ZINK</v>
      </c>
      <c r="C33" s="73" t="str">
        <f ca="1">IFERROR(__xludf.DUMMYFUNCTION("""COMPUTED_VALUE"""),"PASTA TÒPICA")</f>
        <v>PASTA TÒPICA</v>
      </c>
      <c r="D33" s="73" t="str">
        <f ca="1">IFERROR(__xludf.DUMMYFUNCTION("""COMPUTED_VALUE"""),"OXIDO DE ZINK/MIEL DE ABEJA")</f>
        <v>OXIDO DE ZINK/MIEL DE ABEJA</v>
      </c>
      <c r="E33" s="73" t="str">
        <f ca="1">IFERROR(__xludf.DUMMYFUNCTION("""COMPUTED_VALUE"""),"BIOFILM/BONIN")</f>
        <v>BIOFILM/BONIN</v>
      </c>
      <c r="F33" s="75">
        <f ca="1">IFERROR(__xludf.DUMMYFUNCTION("""COMPUTED_VALUE"""),45686)</f>
        <v>45686</v>
      </c>
      <c r="G33" s="74">
        <f ca="1">IFERROR(__xludf.DUMMYFUNCTION("""COMPUTED_VALUE"""),56.74)</f>
        <v>56.74</v>
      </c>
      <c r="H33" s="74">
        <f ca="1">IFERROR(__xludf.DUMMYFUNCTION("""COMPUTED_VALUE"""),79.436)</f>
        <v>79.436000000000007</v>
      </c>
      <c r="I33" s="74">
        <f ca="1">IFERROR(__xludf.DUMMYFUNCTION("""COMPUTED_VALUE"""),80)</f>
        <v>80</v>
      </c>
    </row>
    <row r="34" spans="2:9" ht="27" customHeight="1">
      <c r="B34" s="73" t="str">
        <f ca="1">IFERROR(__xludf.DUMMYFUNCTION("""COMPUTED_VALUE"""),"BIOGAIA")</f>
        <v>BIOGAIA</v>
      </c>
      <c r="C34" s="73" t="str">
        <f ca="1">IFERROR(__xludf.DUMMYFUNCTION("""COMPUTED_VALUE"""),"GOTERO 5ML")</f>
        <v>GOTERO 5ML</v>
      </c>
      <c r="D34" s="73" t="str">
        <f ca="1">IFERROR(__xludf.DUMMYFUNCTION("""COMPUTED_VALUE"""),"PROBIOTICOS + VITAMINA D3")</f>
        <v>PROBIOTICOS + VITAMINA D3</v>
      </c>
      <c r="E34" s="73" t="str">
        <f ca="1">IFERROR(__xludf.DUMMYFUNCTION("""COMPUTED_VALUE"""),"AGEFINSA")</f>
        <v>AGEFINSA</v>
      </c>
      <c r="F34" s="75">
        <f ca="1">IFERROR(__xludf.DUMMYFUNCTION("""COMPUTED_VALUE"""),45714)</f>
        <v>45714</v>
      </c>
      <c r="G34" s="74">
        <f ca="1">IFERROR(__xludf.DUMMYFUNCTION("""COMPUTED_VALUE"""),189.2)</f>
        <v>189.2</v>
      </c>
      <c r="H34" s="74">
        <f ca="1">IFERROR(__xludf.DUMMYFUNCTION("""COMPUTED_VALUE"""),264.88)</f>
        <v>264.88</v>
      </c>
      <c r="I34" s="74">
        <f ca="1">IFERROR(__xludf.DUMMYFUNCTION("""COMPUTED_VALUE"""),265)</f>
        <v>265</v>
      </c>
    </row>
    <row r="35" spans="2:9" ht="27" customHeight="1">
      <c r="B35" s="73" t="str">
        <f ca="1">IFERROR(__xludf.DUMMYFUNCTION("""COMPUTED_VALUE"""),"BIXICORT")</f>
        <v>BIXICORT</v>
      </c>
      <c r="C35" s="73" t="str">
        <f ca="1">IFERROR(__xludf.DUMMYFUNCTION("""COMPUTED_VALUE"""),"AMPOLLA")</f>
        <v>AMPOLLA</v>
      </c>
      <c r="D35" s="73" t="str">
        <f ca="1">IFERROR(__xludf.DUMMYFUNCTION("""COMPUTED_VALUE"""),"BETAMETASONA 5MG")</f>
        <v>BETAMETASONA 5MG</v>
      </c>
      <c r="E35" s="73" t="str">
        <f ca="1">IFERROR(__xludf.DUMMYFUNCTION("""COMPUTED_VALUE"""),"MEDPHARMA")</f>
        <v>MEDPHARMA</v>
      </c>
      <c r="F35" s="75">
        <f ca="1">IFERROR(__xludf.DUMMYFUNCTION("""COMPUTED_VALUE"""),45895)</f>
        <v>45895</v>
      </c>
      <c r="G35" s="74">
        <f ca="1">IFERROR(__xludf.DUMMYFUNCTION("""COMPUTED_VALUE"""),89.63)</f>
        <v>89.63</v>
      </c>
      <c r="H35" s="74">
        <f ca="1">IFERROR(__xludf.DUMMYFUNCTION("""COMPUTED_VALUE"""),125.482)</f>
        <v>125.482</v>
      </c>
      <c r="I35" s="74">
        <f ca="1">IFERROR(__xludf.DUMMYFUNCTION("""COMPUTED_VALUE"""),130)</f>
        <v>130</v>
      </c>
    </row>
    <row r="36" spans="2:9" ht="27" customHeight="1">
      <c r="B36" s="73" t="str">
        <f ca="1">IFERROR(__xludf.DUMMYFUNCTION("""COMPUTED_VALUE"""),"BOLARIA 16MG.")</f>
        <v>BOLARIA 16MG.</v>
      </c>
      <c r="C36" s="73" t="str">
        <f ca="1">IFERROR(__xludf.DUMMYFUNCTION("""COMPUTED_VALUE"""),"CAJA 20 COMPRIMIDOS")</f>
        <v>CAJA 20 COMPRIMIDOS</v>
      </c>
      <c r="D36" s="73" t="str">
        <f ca="1">IFERROR(__xludf.DUMMYFUNCTION("""COMPUTED_VALUE"""),"BETAHISTINA DICLORHIDRATO")</f>
        <v>BETAHISTINA DICLORHIDRATO</v>
      </c>
      <c r="E36" s="73" t="str">
        <f ca="1">IFERROR(__xludf.DUMMYFUNCTION("""COMPUTED_VALUE"""),"MEGALABS")</f>
        <v>MEGALABS</v>
      </c>
      <c r="F36" s="75">
        <f ca="1">IFERROR(__xludf.DUMMYFUNCTION("""COMPUTED_VALUE"""),45864)</f>
        <v>45864</v>
      </c>
      <c r="G36" s="74">
        <f ca="1">IFERROR(__xludf.DUMMYFUNCTION("""COMPUTED_VALUE"""),110.28)</f>
        <v>110.28</v>
      </c>
      <c r="H36" s="74">
        <f ca="1">IFERROR(__xludf.DUMMYFUNCTION("""COMPUTED_VALUE"""),154.392)</f>
        <v>154.392</v>
      </c>
      <c r="I36" s="74">
        <f ca="1">IFERROR(__xludf.DUMMYFUNCTION("""COMPUTED_VALUE"""),155)</f>
        <v>155</v>
      </c>
    </row>
    <row r="37" spans="2:9" ht="27" customHeight="1">
      <c r="B37" s="73" t="str">
        <f ca="1">IFERROR(__xludf.DUMMYFUNCTION("""COMPUTED_VALUE"""),"BONADIONA /VITAMINA K")</f>
        <v>BONADIONA /VITAMINA K</v>
      </c>
      <c r="C37" s="73" t="str">
        <f ca="1">IFERROR(__xludf.DUMMYFUNCTION("""COMPUTED_VALUE"""),"AMPOLLA 1ML")</f>
        <v>AMPOLLA 1ML</v>
      </c>
      <c r="D37" s="73" t="str">
        <f ca="1">IFERROR(__xludf.DUMMYFUNCTION("""COMPUTED_VALUE"""),"VITAMINA K")</f>
        <v>VITAMINA K</v>
      </c>
      <c r="E37" s="73" t="str">
        <f ca="1">IFERROR(__xludf.DUMMYFUNCTION("""COMPUTED_VALUE"""),"BONIN/QUALITY")</f>
        <v>BONIN/QUALITY</v>
      </c>
      <c r="F37" s="75">
        <f ca="1">IFERROR(__xludf.DUMMYFUNCTION("""COMPUTED_VALUE"""),45773)</f>
        <v>45773</v>
      </c>
      <c r="G37" s="74">
        <f ca="1">IFERROR(__xludf.DUMMYFUNCTION("""COMPUTED_VALUE"""),6.85)</f>
        <v>6.85</v>
      </c>
      <c r="H37" s="74">
        <f ca="1">IFERROR(__xludf.DUMMYFUNCTION("""COMPUTED_VALUE"""),9.59)</f>
        <v>9.59</v>
      </c>
      <c r="I37" s="74">
        <f ca="1">IFERROR(__xludf.DUMMYFUNCTION("""COMPUTED_VALUE"""),15)</f>
        <v>15</v>
      </c>
    </row>
    <row r="38" spans="2:9" ht="27" customHeight="1">
      <c r="B38" s="73" t="str">
        <f ca="1">IFERROR(__xludf.DUMMYFUNCTION("""COMPUTED_VALUE"""),"BRONCODIL")</f>
        <v>BRONCODIL</v>
      </c>
      <c r="C38" s="73" t="str">
        <f ca="1">IFERROR(__xludf.DUMMYFUNCTION("""COMPUTED_VALUE"""),"SUSPENCIÒN")</f>
        <v>SUSPENCIÒN</v>
      </c>
      <c r="D38" s="73" t="str">
        <f ca="1">IFERROR(__xludf.DUMMYFUNCTION("""COMPUTED_VALUE"""),"CARBOXIMETILCISTEÌNA")</f>
        <v>CARBOXIMETILCISTEÌNA</v>
      </c>
      <c r="E38" s="73" t="str">
        <f ca="1">IFERROR(__xludf.DUMMYFUNCTION("""COMPUTED_VALUE"""),"INFASA")</f>
        <v>INFASA</v>
      </c>
      <c r="F38" s="75">
        <f ca="1">IFERROR(__xludf.DUMMYFUNCTION("""COMPUTED_VALUE"""),45926)</f>
        <v>45926</v>
      </c>
      <c r="G38" s="74">
        <f ca="1">IFERROR(__xludf.DUMMYFUNCTION("""COMPUTED_VALUE"""),40)</f>
        <v>40</v>
      </c>
      <c r="H38" s="74">
        <f ca="1">IFERROR(__xludf.DUMMYFUNCTION("""COMPUTED_VALUE"""),56)</f>
        <v>56</v>
      </c>
      <c r="I38" s="74">
        <f ca="1">IFERROR(__xludf.DUMMYFUNCTION("""COMPUTED_VALUE"""),60)</f>
        <v>60</v>
      </c>
    </row>
    <row r="39" spans="2:9" ht="27" customHeight="1">
      <c r="B39" s="73" t="str">
        <f ca="1">IFERROR(__xludf.DUMMYFUNCTION("""COMPUTED_VALUE"""),"BRONCOMAT")</f>
        <v>BRONCOMAT</v>
      </c>
      <c r="C39" s="73" t="str">
        <f ca="1">IFERROR(__xludf.DUMMYFUNCTION("""COMPUTED_VALUE"""),"FRASCO")</f>
        <v>FRASCO</v>
      </c>
      <c r="D39" s="73" t="str">
        <f ca="1">IFERROR(__xludf.DUMMYFUNCTION("""COMPUTED_VALUE"""),"SALBUTAMOL 0.5%")</f>
        <v>SALBUTAMOL 0.5%</v>
      </c>
      <c r="E39" s="73" t="str">
        <f ca="1">IFERROR(__xludf.DUMMYFUNCTION("""COMPUTED_VALUE"""),"UNIPHARM")</f>
        <v>UNIPHARM</v>
      </c>
      <c r="F39" s="75">
        <f ca="1">IFERROR(__xludf.DUMMYFUNCTION("""COMPUTED_VALUE"""),45956)</f>
        <v>45956</v>
      </c>
      <c r="G39" s="74">
        <f ca="1">IFERROR(__xludf.DUMMYFUNCTION("""COMPUTED_VALUE"""),45.08)</f>
        <v>45.08</v>
      </c>
      <c r="H39" s="74">
        <f ca="1">IFERROR(__xludf.DUMMYFUNCTION("""COMPUTED_VALUE"""),63.1119999999999)</f>
        <v>63.111999999999902</v>
      </c>
      <c r="I39" s="74">
        <f ca="1">IFERROR(__xludf.DUMMYFUNCTION("""COMPUTED_VALUE"""),75)</f>
        <v>75</v>
      </c>
    </row>
    <row r="40" spans="2:9" ht="27" customHeight="1">
      <c r="B40" s="73" t="str">
        <f ca="1">IFERROR(__xludf.DUMMYFUNCTION("""COMPUTED_VALUE"""),"BROXOLVAN COMPUESTO")</f>
        <v>BROXOLVAN COMPUESTO</v>
      </c>
      <c r="C40" s="73" t="str">
        <f ca="1">IFERROR(__xludf.DUMMYFUNCTION("""COMPUTED_VALUE"""),"SUSPENCIÒN")</f>
        <v>SUSPENCIÒN</v>
      </c>
      <c r="D40" s="73" t="str">
        <f ca="1">IFERROR(__xludf.DUMMYFUNCTION("""COMPUTED_VALUE"""),"AMBROXOL/CLENBUTEROL")</f>
        <v>AMBROXOL/CLENBUTEROL</v>
      </c>
      <c r="E40" s="73" t="str">
        <f ca="1">IFERROR(__xludf.DUMMYFUNCTION("""COMPUTED_VALUE"""),"INFASA")</f>
        <v>INFASA</v>
      </c>
      <c r="F40" s="75">
        <f ca="1">IFERROR(__xludf.DUMMYFUNCTION("""COMPUTED_VALUE"""),45895)</f>
        <v>45895</v>
      </c>
      <c r="G40" s="74">
        <f ca="1">IFERROR(__xludf.DUMMYFUNCTION("""COMPUTED_VALUE"""),39.35)</f>
        <v>39.35</v>
      </c>
      <c r="H40" s="74">
        <f ca="1">IFERROR(__xludf.DUMMYFUNCTION("""COMPUTED_VALUE"""),55.09)</f>
        <v>55.09</v>
      </c>
      <c r="I40" s="74">
        <f ca="1">IFERROR(__xludf.DUMMYFUNCTION("""COMPUTED_VALUE"""),60)</f>
        <v>60</v>
      </c>
    </row>
    <row r="41" spans="2:9" ht="27" customHeight="1">
      <c r="B41" s="73" t="str">
        <f ca="1">IFERROR(__xludf.DUMMYFUNCTION("""COMPUTED_VALUE"""),"BUDEGEN")</f>
        <v>BUDEGEN</v>
      </c>
      <c r="C41" s="73" t="str">
        <f ca="1">IFERROR(__xludf.DUMMYFUNCTION("""COMPUTED_VALUE"""),"FRASCO 20 ML")</f>
        <v>FRASCO 20 ML</v>
      </c>
      <c r="D41" s="73" t="str">
        <f ca="1">IFERROR(__xludf.DUMMYFUNCTION("""COMPUTED_VALUE"""),"BUDESONIDA PARA NEBULIZAR")</f>
        <v>BUDESONIDA PARA NEBULIZAR</v>
      </c>
      <c r="E41" s="73" t="str">
        <f ca="1">IFERROR(__xludf.DUMMYFUNCTION("""COMPUTED_VALUE"""),"QUALITY")</f>
        <v>QUALITY</v>
      </c>
      <c r="F41" s="75">
        <f ca="1">IFERROR(__xludf.DUMMYFUNCTION("""COMPUTED_VALUE"""),45864)</f>
        <v>45864</v>
      </c>
      <c r="G41" s="74">
        <f ca="1">IFERROR(__xludf.DUMMYFUNCTION("""COMPUTED_VALUE"""),240)</f>
        <v>240</v>
      </c>
      <c r="H41" s="74">
        <f ca="1">IFERROR(__xludf.DUMMYFUNCTION("""COMPUTED_VALUE"""),336)</f>
        <v>336</v>
      </c>
      <c r="I41" s="74">
        <f ca="1">IFERROR(__xludf.DUMMYFUNCTION("""COMPUTED_VALUE"""),336)</f>
        <v>336</v>
      </c>
    </row>
    <row r="42" spans="2:9" ht="27" customHeight="1">
      <c r="B42" s="73" t="str">
        <f ca="1">IFERROR(__xludf.DUMMYFUNCTION("""COMPUTED_VALUE"""),"BUDEGEN")</f>
        <v>BUDEGEN</v>
      </c>
      <c r="C42" s="73" t="str">
        <f ca="1">IFERROR(__xludf.DUMMYFUNCTION("""COMPUTED_VALUE"""),"FRASCO 10ML")</f>
        <v>FRASCO 10ML</v>
      </c>
      <c r="D42" s="73" t="str">
        <f ca="1">IFERROR(__xludf.DUMMYFUNCTION("""COMPUTED_VALUE"""),"BUDESONIDA PARA NEBULIZAR")</f>
        <v>BUDESONIDA PARA NEBULIZAR</v>
      </c>
      <c r="E42" s="73" t="str">
        <f ca="1">IFERROR(__xludf.DUMMYFUNCTION("""COMPUTED_VALUE"""),"QUALITY")</f>
        <v>QUALITY</v>
      </c>
      <c r="F42" s="75">
        <f ca="1">IFERROR(__xludf.DUMMYFUNCTION("""COMPUTED_VALUE"""),45715)</f>
        <v>45715</v>
      </c>
      <c r="G42" s="74">
        <f ca="1">IFERROR(__xludf.DUMMYFUNCTION("""COMPUTED_VALUE"""),154.28)</f>
        <v>154.28</v>
      </c>
      <c r="H42" s="74">
        <f ca="1">IFERROR(__xludf.DUMMYFUNCTION("""COMPUTED_VALUE"""),215.992)</f>
        <v>215.99199999999999</v>
      </c>
      <c r="I42" s="74">
        <f ca="1">IFERROR(__xludf.DUMMYFUNCTION("""COMPUTED_VALUE"""),230)</f>
        <v>230</v>
      </c>
    </row>
    <row r="43" spans="2:9" ht="27" customHeight="1">
      <c r="B43" s="73" t="str">
        <f ca="1">IFERROR(__xludf.DUMMYFUNCTION("""COMPUTED_VALUE"""),"BUDEGEN-200")</f>
        <v>BUDEGEN-200</v>
      </c>
      <c r="C43" s="73" t="str">
        <f ca="1">IFERROR(__xludf.DUMMYFUNCTION("""COMPUTED_VALUE"""),"AEROSOL PARA INHALAR")</f>
        <v>AEROSOL PARA INHALAR</v>
      </c>
      <c r="D43" s="73" t="str">
        <f ca="1">IFERROR(__xludf.DUMMYFUNCTION("""COMPUTED_VALUE"""),"BUDESONIDA 200 MCG")</f>
        <v>BUDESONIDA 200 MCG</v>
      </c>
      <c r="E43" s="73" t="str">
        <f ca="1">IFERROR(__xludf.DUMMYFUNCTION("""COMPUTED_VALUE"""),"GENERIX")</f>
        <v>GENERIX</v>
      </c>
      <c r="F43" s="75">
        <f ca="1">IFERROR(__xludf.DUMMYFUNCTION("""COMPUTED_VALUE"""),45957)</f>
        <v>45957</v>
      </c>
      <c r="G43" s="74">
        <f ca="1">IFERROR(__xludf.DUMMYFUNCTION("""COMPUTED_VALUE"""),216)</f>
        <v>216</v>
      </c>
      <c r="H43" s="74">
        <f ca="1">IFERROR(__xludf.DUMMYFUNCTION("""COMPUTED_VALUE"""),302.4)</f>
        <v>302.39999999999998</v>
      </c>
      <c r="I43" s="74">
        <f ca="1">IFERROR(__xludf.DUMMYFUNCTION("""COMPUTED_VALUE"""),305)</f>
        <v>305</v>
      </c>
    </row>
    <row r="44" spans="2:9" ht="27" customHeight="1">
      <c r="B44" s="73" t="str">
        <f ca="1">IFERROR(__xludf.DUMMYFUNCTION("""COMPUTED_VALUE"""),"CALCID")</f>
        <v>CALCID</v>
      </c>
      <c r="C44" s="73" t="str">
        <f ca="1">IFERROR(__xludf.DUMMYFUNCTION("""COMPUTED_VALUE"""),"CAJA 30 TABLETAS")</f>
        <v>CAJA 30 TABLETAS</v>
      </c>
      <c r="D44" s="73" t="str">
        <f ca="1">IFERROR(__xludf.DUMMYFUNCTION("""COMPUTED_VALUE"""),"CALCIO+ VITAMINA D3 200MG")</f>
        <v>CALCIO+ VITAMINA D3 200MG</v>
      </c>
      <c r="E44" s="73" t="str">
        <f ca="1">IFERROR(__xludf.DUMMYFUNCTION("""COMPUTED_VALUE"""),"QUALIPHARM")</f>
        <v>QUALIPHARM</v>
      </c>
      <c r="F44" s="75">
        <f ca="1">IFERROR(__xludf.DUMMYFUNCTION("""COMPUTED_VALUE"""),45895)</f>
        <v>45895</v>
      </c>
      <c r="G44" s="74">
        <f ca="1">IFERROR(__xludf.DUMMYFUNCTION("""COMPUTED_VALUE"""),50)</f>
        <v>50</v>
      </c>
      <c r="H44" s="74">
        <f ca="1">IFERROR(__xludf.DUMMYFUNCTION("""COMPUTED_VALUE"""),70)</f>
        <v>70</v>
      </c>
      <c r="I44" s="74">
        <f ca="1">IFERROR(__xludf.DUMMYFUNCTION("""COMPUTED_VALUE"""),70)</f>
        <v>70</v>
      </c>
    </row>
    <row r="45" spans="2:9" ht="27" customHeight="1">
      <c r="B45" s="73" t="str">
        <f ca="1">IFERROR(__xludf.DUMMYFUNCTION("""COMPUTED_VALUE"""),"CARDIOZAR 50")</f>
        <v>CARDIOZAR 50</v>
      </c>
      <c r="C45" s="73" t="str">
        <f ca="1">IFERROR(__xludf.DUMMYFUNCTION("""COMPUTED_VALUE"""),"CAJA 30 TABLETAS")</f>
        <v>CAJA 30 TABLETAS</v>
      </c>
      <c r="D45" s="73" t="str">
        <f ca="1">IFERROR(__xludf.DUMMYFUNCTION("""COMPUTED_VALUE"""),"LOSARTÀN")</f>
        <v>LOSARTÀN</v>
      </c>
      <c r="E45" s="73" t="str">
        <f ca="1">IFERROR(__xludf.DUMMYFUNCTION("""COMPUTED_VALUE"""),"PHARMEDIC")</f>
        <v>PHARMEDIC</v>
      </c>
      <c r="F45" s="75">
        <f ca="1">IFERROR(__xludf.DUMMYFUNCTION("""COMPUTED_VALUE"""),45683)</f>
        <v>45683</v>
      </c>
      <c r="G45" s="74">
        <f ca="1">IFERROR(__xludf.DUMMYFUNCTION("""COMPUTED_VALUE"""),118.58)</f>
        <v>118.58</v>
      </c>
      <c r="H45" s="74">
        <f ca="1">IFERROR(__xludf.DUMMYFUNCTION("""COMPUTED_VALUE"""),166.012)</f>
        <v>166.012</v>
      </c>
      <c r="I45" s="74">
        <f ca="1">IFERROR(__xludf.DUMMYFUNCTION("""COMPUTED_VALUE"""),170)</f>
        <v>170</v>
      </c>
    </row>
    <row r="46" spans="2:9" ht="27" customHeight="1">
      <c r="B46" s="73" t="str">
        <f ca="1">IFERROR(__xludf.DUMMYFUNCTION("""COMPUTED_VALUE"""),"CATASIL 30MG.")</f>
        <v>CATASIL 30MG.</v>
      </c>
      <c r="C46" s="73" t="str">
        <f ca="1">IFERROR(__xludf.DUMMYFUNCTION("""COMPUTED_VALUE"""),"CAJA 10 TABLETAS")</f>
        <v>CAJA 10 TABLETAS</v>
      </c>
      <c r="D46" s="73" t="str">
        <f ca="1">IFERROR(__xludf.DUMMYFUNCTION("""COMPUTED_VALUE"""),"KETOROLACO TROMETAMINA")</f>
        <v>KETOROLACO TROMETAMINA</v>
      </c>
      <c r="E46" s="73" t="str">
        <f ca="1">IFERROR(__xludf.DUMMYFUNCTION("""COMPUTED_VALUE"""),"WINZZER")</f>
        <v>WINZZER</v>
      </c>
      <c r="F46" s="75">
        <f ca="1">IFERROR(__xludf.DUMMYFUNCTION("""COMPUTED_VALUE"""),45743)</f>
        <v>45743</v>
      </c>
      <c r="G46" s="74">
        <f ca="1">IFERROR(__xludf.DUMMYFUNCTION("""COMPUTED_VALUE"""),79)</f>
        <v>79</v>
      </c>
      <c r="H46" s="74">
        <f ca="1">IFERROR(__xludf.DUMMYFUNCTION("""COMPUTED_VALUE"""),110.6)</f>
        <v>110.6</v>
      </c>
      <c r="I46" s="74">
        <f ca="1">IFERROR(__xludf.DUMMYFUNCTION("""COMPUTED_VALUE"""),110)</f>
        <v>110</v>
      </c>
    </row>
    <row r="47" spans="2:9" ht="27" customHeight="1">
      <c r="B47" s="73" t="str">
        <f ca="1">IFERROR(__xludf.DUMMYFUNCTION("""COMPUTED_VALUE"""),"CEFAPRONT")</f>
        <v>CEFAPRONT</v>
      </c>
      <c r="C47" s="73" t="str">
        <f ca="1">IFERROR(__xludf.DUMMYFUNCTION("""COMPUTED_VALUE"""),"CAJA 10 CAPSULAS")</f>
        <v>CAJA 10 CAPSULAS</v>
      </c>
      <c r="D47" s="73" t="str">
        <f ca="1">IFERROR(__xludf.DUMMYFUNCTION("""COMPUTED_VALUE"""),"CEFIXIMA 400MG.")</f>
        <v>CEFIXIMA 400MG.</v>
      </c>
      <c r="E47" s="73" t="str">
        <f ca="1">IFERROR(__xludf.DUMMYFUNCTION("""COMPUTED_VALUE"""),"ARA STENDHAL")</f>
        <v>ARA STENDHAL</v>
      </c>
      <c r="F47" s="75">
        <f ca="1">IFERROR(__xludf.DUMMYFUNCTION("""COMPUTED_VALUE"""),45988)</f>
        <v>45988</v>
      </c>
      <c r="G47" s="74">
        <f ca="1">IFERROR(__xludf.DUMMYFUNCTION("""COMPUTED_VALUE"""),120)</f>
        <v>120</v>
      </c>
      <c r="H47" s="74">
        <f ca="1">IFERROR(__xludf.DUMMYFUNCTION("""COMPUTED_VALUE"""),168)</f>
        <v>168</v>
      </c>
      <c r="I47" s="74">
        <f ca="1">IFERROR(__xludf.DUMMYFUNCTION("""COMPUTED_VALUE"""),190)</f>
        <v>190</v>
      </c>
    </row>
    <row r="48" spans="2:9" ht="27" customHeight="1">
      <c r="B48" s="73" t="str">
        <f ca="1">IFERROR(__xludf.DUMMYFUNCTION("""COMPUTED_VALUE"""),"CEFEPIME 1G")</f>
        <v>CEFEPIME 1G</v>
      </c>
      <c r="C48" s="73" t="str">
        <f ca="1">IFERROR(__xludf.DUMMYFUNCTION("""COMPUTED_VALUE"""),"SOLUCIÒN INYECTABLE")</f>
        <v>SOLUCIÒN INYECTABLE</v>
      </c>
      <c r="D48" s="73" t="str">
        <f ca="1">IFERROR(__xludf.DUMMYFUNCTION("""COMPUTED_VALUE"""),"CEFEPIMA 1G")</f>
        <v>CEFEPIMA 1G</v>
      </c>
      <c r="E48" s="73" t="str">
        <f ca="1">IFERROR(__xludf.DUMMYFUNCTION("""COMPUTED_VALUE"""),"LABORATORIO DELTA")</f>
        <v>LABORATORIO DELTA</v>
      </c>
      <c r="F48" s="75">
        <f ca="1">IFERROR(__xludf.DUMMYFUNCTION("""COMPUTED_VALUE"""),45685)</f>
        <v>45685</v>
      </c>
      <c r="G48" s="74">
        <f ca="1">IFERROR(__xludf.DUMMYFUNCTION("""COMPUTED_VALUE"""),21.66)</f>
        <v>21.66</v>
      </c>
      <c r="H48" s="74">
        <f ca="1">IFERROR(__xludf.DUMMYFUNCTION("""COMPUTED_VALUE"""),30.3239999999999)</f>
        <v>30.323999999999899</v>
      </c>
      <c r="I48" s="74">
        <f ca="1">IFERROR(__xludf.DUMMYFUNCTION("""COMPUTED_VALUE"""),100)</f>
        <v>100</v>
      </c>
    </row>
    <row r="49" spans="2:9" ht="27" customHeight="1">
      <c r="B49" s="73" t="str">
        <f ca="1">IFERROR(__xludf.DUMMYFUNCTION("""COMPUTED_VALUE"""),"CEFTRIAXONA 1G")</f>
        <v>CEFTRIAXONA 1G</v>
      </c>
      <c r="C49" s="73" t="str">
        <f ca="1">IFERROR(__xludf.DUMMYFUNCTION("""COMPUTED_VALUE"""),"SOLUCIÒN INYECTABLE")</f>
        <v>SOLUCIÒN INYECTABLE</v>
      </c>
      <c r="D49" s="73" t="str">
        <f ca="1">IFERROR(__xludf.DUMMYFUNCTION("""COMPUTED_VALUE"""),"CEFTRIAXONA 1G")</f>
        <v>CEFTRIAXONA 1G</v>
      </c>
      <c r="E49" s="73" t="str">
        <f ca="1">IFERROR(__xludf.DUMMYFUNCTION("""COMPUTED_VALUE"""),"QUALIPHARM")</f>
        <v>QUALIPHARM</v>
      </c>
      <c r="F49" s="75">
        <f ca="1">IFERROR(__xludf.DUMMYFUNCTION("""COMPUTED_VALUE"""),45743)</f>
        <v>45743</v>
      </c>
      <c r="G49" s="74">
        <f ca="1">IFERROR(__xludf.DUMMYFUNCTION("""COMPUTED_VALUE"""),20)</f>
        <v>20</v>
      </c>
      <c r="H49" s="74">
        <f ca="1">IFERROR(__xludf.DUMMYFUNCTION("""COMPUTED_VALUE"""),28)</f>
        <v>28</v>
      </c>
      <c r="I49" s="74">
        <f ca="1">IFERROR(__xludf.DUMMYFUNCTION("""COMPUTED_VALUE"""),50)</f>
        <v>50</v>
      </c>
    </row>
    <row r="50" spans="2:9" ht="27" customHeight="1">
      <c r="B50" s="73" t="str">
        <f ca="1">IFERROR(__xludf.DUMMYFUNCTION("""COMPUTED_VALUE"""),"CEFTRIAXONA 1G")</f>
        <v>CEFTRIAXONA 1G</v>
      </c>
      <c r="C50" s="73" t="str">
        <f ca="1">IFERROR(__xludf.DUMMYFUNCTION("""COMPUTED_VALUE"""),"SOLUCIÒN INYECTABLE")</f>
        <v>SOLUCIÒN INYECTABLE</v>
      </c>
      <c r="D50" s="73" t="str">
        <f ca="1">IFERROR(__xludf.DUMMYFUNCTION("""COMPUTED_VALUE"""),"CEFTRIAXONA 1G")</f>
        <v>CEFTRIAXONA 1G</v>
      </c>
      <c r="E50" s="73" t="str">
        <f ca="1">IFERROR(__xludf.DUMMYFUNCTION("""COMPUTED_VALUE"""),"ETIC'S S.A.")</f>
        <v>ETIC'S S.A.</v>
      </c>
      <c r="F50" s="75">
        <f ca="1">IFERROR(__xludf.DUMMYFUNCTION("""COMPUTED_VALUE"""),45743)</f>
        <v>45743</v>
      </c>
      <c r="G50" s="74">
        <f ca="1">IFERROR(__xludf.DUMMYFUNCTION("""COMPUTED_VALUE"""),16)</f>
        <v>16</v>
      </c>
      <c r="H50" s="74">
        <f ca="1">IFERROR(__xludf.DUMMYFUNCTION("""COMPUTED_VALUE"""),22.4)</f>
        <v>22.4</v>
      </c>
      <c r="I50" s="74">
        <f ca="1">IFERROR(__xludf.DUMMYFUNCTION("""COMPUTED_VALUE"""),50)</f>
        <v>50</v>
      </c>
    </row>
    <row r="51" spans="2:9" ht="27" customHeight="1">
      <c r="B51" s="73" t="str">
        <f ca="1">IFERROR(__xludf.DUMMYFUNCTION("""COMPUTED_VALUE"""),"CELICOB 200MG.")</f>
        <v>CELICOB 200MG.</v>
      </c>
      <c r="C51" s="73" t="str">
        <f ca="1">IFERROR(__xludf.DUMMYFUNCTION("""COMPUTED_VALUE"""),"CAJA 10 CAPSULAS")</f>
        <v>CAJA 10 CAPSULAS</v>
      </c>
      <c r="D51" s="73" t="str">
        <f ca="1">IFERROR(__xludf.DUMMYFUNCTION("""COMPUTED_VALUE"""),"CELECOXIB")</f>
        <v>CELECOXIB</v>
      </c>
      <c r="E51" s="73" t="str">
        <f ca="1">IFERROR(__xludf.DUMMYFUNCTION("""COMPUTED_VALUE"""),"HETERO")</f>
        <v>HETERO</v>
      </c>
      <c r="F51" s="75">
        <f ca="1">IFERROR(__xludf.DUMMYFUNCTION("""COMPUTED_VALUE"""),45955)</f>
        <v>45955</v>
      </c>
      <c r="G51" s="74">
        <f ca="1">IFERROR(__xludf.DUMMYFUNCTION("""COMPUTED_VALUE"""),52)</f>
        <v>52</v>
      </c>
      <c r="H51" s="74">
        <f ca="1">IFERROR(__xludf.DUMMYFUNCTION("""COMPUTED_VALUE"""),72.8)</f>
        <v>72.8</v>
      </c>
      <c r="I51" s="74">
        <f ca="1">IFERROR(__xludf.DUMMYFUNCTION("""COMPUTED_VALUE"""),75)</f>
        <v>75</v>
      </c>
    </row>
    <row r="52" spans="2:9" ht="27" customHeight="1">
      <c r="B52" s="73" t="str">
        <f ca="1">IFERROR(__xludf.DUMMYFUNCTION("""COMPUTED_VALUE"""),"CETRAXAL PLUS")</f>
        <v>CETRAXAL PLUS</v>
      </c>
      <c r="C52" s="73" t="str">
        <f ca="1">IFERROR(__xludf.DUMMYFUNCTION("""COMPUTED_VALUE"""),"FRASCO")</f>
        <v>FRASCO</v>
      </c>
      <c r="D52" s="73" t="str">
        <f ca="1">IFERROR(__xludf.DUMMYFUNCTION("""COMPUTED_VALUE"""),"CIPROFLOXACINO/ACETÒNIDO DE FLUOCINOLONA")</f>
        <v>CIPROFLOXACINO/ACETÒNIDO DE FLUOCINOLONA</v>
      </c>
      <c r="E52" s="73" t="str">
        <f ca="1">IFERROR(__xludf.DUMMYFUNCTION("""COMPUTED_VALUE"""),"MEGALABS")</f>
        <v>MEGALABS</v>
      </c>
      <c r="F52" s="75">
        <f ca="1">IFERROR(__xludf.DUMMYFUNCTION("""COMPUTED_VALUE"""),45773)</f>
        <v>45773</v>
      </c>
      <c r="G52" s="74">
        <f ca="1">IFERROR(__xludf.DUMMYFUNCTION("""COMPUTED_VALUE"""),90)</f>
        <v>90</v>
      </c>
      <c r="H52" s="74">
        <f ca="1">IFERROR(__xludf.DUMMYFUNCTION("""COMPUTED_VALUE"""),126)</f>
        <v>126</v>
      </c>
      <c r="I52" s="74">
        <f ca="1">IFERROR(__xludf.DUMMYFUNCTION("""COMPUTED_VALUE"""),130)</f>
        <v>130</v>
      </c>
    </row>
    <row r="53" spans="2:9" ht="27" customHeight="1">
      <c r="B53" s="73" t="str">
        <f ca="1">IFERROR(__xludf.DUMMYFUNCTION("""COMPUTED_VALUE"""),"CICASTIM.S")</f>
        <v>CICASTIM.S</v>
      </c>
      <c r="C53" s="73" t="str">
        <f ca="1">IFERROR(__xludf.DUMMYFUNCTION("""COMPUTED_VALUE"""),"GEL")</f>
        <v>GEL</v>
      </c>
      <c r="D53" s="73" t="str">
        <f ca="1">IFERROR(__xludf.DUMMYFUNCTION("""COMPUTED_VALUE"""),"DIMETICONE")</f>
        <v>DIMETICONE</v>
      </c>
      <c r="E53" s="73" t="str">
        <f ca="1">IFERROR(__xludf.DUMMYFUNCTION("""COMPUTED_VALUE"""),"ACM LAB.")</f>
        <v>ACM LAB.</v>
      </c>
      <c r="F53" s="75">
        <f ca="1">IFERROR(__xludf.DUMMYFUNCTION("""COMPUTED_VALUE"""),45836)</f>
        <v>45836</v>
      </c>
      <c r="G53" s="74">
        <f ca="1">IFERROR(__xludf.DUMMYFUNCTION("""COMPUTED_VALUE"""),148.89)</f>
        <v>148.88999999999999</v>
      </c>
      <c r="H53" s="74">
        <f ca="1">IFERROR(__xludf.DUMMYFUNCTION("""COMPUTED_VALUE"""),208.445999999999)</f>
        <v>208.445999999999</v>
      </c>
      <c r="I53" s="74">
        <f ca="1">IFERROR(__xludf.DUMMYFUNCTION("""COMPUTED_VALUE"""),210)</f>
        <v>210</v>
      </c>
    </row>
    <row r="54" spans="2:9" ht="27" customHeight="1">
      <c r="B54" s="73" t="str">
        <f ca="1">IFERROR(__xludf.DUMMYFUNCTION("""COMPUTED_VALUE"""),"CIPROFLOXACINA 500MG.")</f>
        <v>CIPROFLOXACINA 500MG.</v>
      </c>
      <c r="C54" s="73" t="str">
        <f ca="1">IFERROR(__xludf.DUMMYFUNCTION("""COMPUTED_VALUE"""),"BLISTER 10 TAB.")</f>
        <v>BLISTER 10 TAB.</v>
      </c>
      <c r="D54" s="73" t="str">
        <f ca="1">IFERROR(__xludf.DUMMYFUNCTION("""COMPUTED_VALUE"""),"CIPROFLOXACINA 500MG.")</f>
        <v>CIPROFLOXACINA 500MG.</v>
      </c>
      <c r="E54" s="73" t="str">
        <f ca="1">IFERROR(__xludf.DUMMYFUNCTION("""COMPUTED_VALUE"""),"UMEDICA/infasa")</f>
        <v>UMEDICA/infasa</v>
      </c>
      <c r="F54" s="75">
        <f ca="1">IFERROR(__xludf.DUMMYFUNCTION("""COMPUTED_VALUE"""),45804)</f>
        <v>45804</v>
      </c>
      <c r="G54" s="74">
        <f ca="1">IFERROR(__xludf.DUMMYFUNCTION("""COMPUTED_VALUE"""),14.19)</f>
        <v>14.19</v>
      </c>
      <c r="H54" s="74">
        <f ca="1">IFERROR(__xludf.DUMMYFUNCTION("""COMPUTED_VALUE"""),19.866)</f>
        <v>19.866</v>
      </c>
      <c r="I54" s="74">
        <f ca="1">IFERROR(__xludf.DUMMYFUNCTION("""COMPUTED_VALUE"""),20)</f>
        <v>20</v>
      </c>
    </row>
    <row r="55" spans="2:9" ht="27" customHeight="1">
      <c r="B55" s="73" t="str">
        <f ca="1">IFERROR(__xludf.DUMMYFUNCTION("""COMPUTED_VALUE"""),"CIRIAX OTIC")</f>
        <v>CIRIAX OTIC</v>
      </c>
      <c r="C55" s="73" t="str">
        <f ca="1">IFERROR(__xludf.DUMMYFUNCTION("""COMPUTED_VALUE"""),"GOTAS OFTALMOLOGICAS")</f>
        <v>GOTAS OFTALMOLOGICAS</v>
      </c>
      <c r="D55" s="73" t="str">
        <f ca="1">IFERROR(__xludf.DUMMYFUNCTION("""COMPUTED_VALUE"""),"CIPROFLOXACINA/HIDROCORTISONA")</f>
        <v>CIPROFLOXACINA/HIDROCORTISONA</v>
      </c>
      <c r="E55" s="73" t="str">
        <f ca="1">IFERROR(__xludf.DUMMYFUNCTION("""COMPUTED_VALUE"""),"MEGALABS")</f>
        <v>MEGALABS</v>
      </c>
      <c r="F55" s="75">
        <f ca="1">IFERROR(__xludf.DUMMYFUNCTION("""COMPUTED_VALUE"""),45683)</f>
        <v>45683</v>
      </c>
      <c r="G55" s="74">
        <f ca="1">IFERROR(__xludf.DUMMYFUNCTION("""COMPUTED_VALUE"""),47.81)</f>
        <v>47.81</v>
      </c>
      <c r="H55" s="74">
        <f ca="1">IFERROR(__xludf.DUMMYFUNCTION("""COMPUTED_VALUE"""),66.934)</f>
        <v>66.933999999999997</v>
      </c>
      <c r="I55" s="74">
        <f ca="1">IFERROR(__xludf.DUMMYFUNCTION("""COMPUTED_VALUE"""),70)</f>
        <v>70</v>
      </c>
    </row>
    <row r="56" spans="2:9" ht="27" customHeight="1">
      <c r="B56" s="73" t="str">
        <f ca="1">IFERROR(__xludf.DUMMYFUNCTION("""COMPUTED_VALUE"""),"CLAVUDEL BID")</f>
        <v>CLAVUDEL BID</v>
      </c>
      <c r="C56" s="73" t="str">
        <f ca="1">IFERROR(__xludf.DUMMYFUNCTION("""COMPUTED_VALUE"""),"SUSPENCIÒN")</f>
        <v>SUSPENCIÒN</v>
      </c>
      <c r="D56" s="73" t="str">
        <f ca="1">IFERROR(__xludf.DUMMYFUNCTION("""COMPUTED_VALUE"""),"AMOXICILINA/ACIDO CLAVULÀNICO")</f>
        <v>AMOXICILINA/ACIDO CLAVULÀNICO</v>
      </c>
      <c r="E56" s="73" t="str">
        <f ca="1">IFERROR(__xludf.DUMMYFUNCTION("""COMPUTED_VALUE"""),"PHARMADEL")</f>
        <v>PHARMADEL</v>
      </c>
      <c r="F56" s="75">
        <f ca="1">IFERROR(__xludf.DUMMYFUNCTION("""COMPUTED_VALUE"""),46017)</f>
        <v>46017</v>
      </c>
      <c r="G56" s="74">
        <f ca="1">IFERROR(__xludf.DUMMYFUNCTION("""COMPUTED_VALUE"""),72.75)</f>
        <v>72.75</v>
      </c>
      <c r="H56" s="74">
        <f ca="1">IFERROR(__xludf.DUMMYFUNCTION("""COMPUTED_VALUE"""),101.85)</f>
        <v>101.85</v>
      </c>
      <c r="I56" s="74">
        <f ca="1">IFERROR(__xludf.DUMMYFUNCTION("""COMPUTED_VALUE"""),110)</f>
        <v>110</v>
      </c>
    </row>
    <row r="57" spans="2:9" ht="27" customHeight="1">
      <c r="B57" s="73" t="str">
        <f ca="1">IFERROR(__xludf.DUMMYFUNCTION("""COMPUTED_VALUE"""),"CLAVUDEL BID")</f>
        <v>CLAVUDEL BID</v>
      </c>
      <c r="C57" s="73" t="str">
        <f ca="1">IFERROR(__xludf.DUMMYFUNCTION("""COMPUTED_VALUE"""),"CAJA 14 TABLETAS")</f>
        <v>CAJA 14 TABLETAS</v>
      </c>
      <c r="D57" s="73" t="str">
        <f ca="1">IFERROR(__xludf.DUMMYFUNCTION("""COMPUTED_VALUE"""),"AMOXICILINA/ACIDO CLAVULÀNICO")</f>
        <v>AMOXICILINA/ACIDO CLAVULÀNICO</v>
      </c>
      <c r="E57" s="73" t="str">
        <f ca="1">IFERROR(__xludf.DUMMYFUNCTION("""COMPUTED_VALUE"""),"PHARMADEL")</f>
        <v>PHARMADEL</v>
      </c>
      <c r="F57" s="75">
        <f ca="1">IFERROR(__xludf.DUMMYFUNCTION("""COMPUTED_VALUE"""),45926)</f>
        <v>45926</v>
      </c>
      <c r="G57" s="74">
        <f ca="1">IFERROR(__xludf.DUMMYFUNCTION("""COMPUTED_VALUE"""),99.5)</f>
        <v>99.5</v>
      </c>
      <c r="H57" s="74">
        <f ca="1">IFERROR(__xludf.DUMMYFUNCTION("""COMPUTED_VALUE"""),139.3)</f>
        <v>139.30000000000001</v>
      </c>
      <c r="I57" s="74">
        <f ca="1">IFERROR(__xludf.DUMMYFUNCTION("""COMPUTED_VALUE"""),160)</f>
        <v>160</v>
      </c>
    </row>
    <row r="58" spans="2:9" ht="27" customHeight="1">
      <c r="B58" s="73" t="str">
        <f ca="1">IFERROR(__xludf.DUMMYFUNCTION("""COMPUTED_VALUE"""),"CLINDAMICINA 4ML.")</f>
        <v>CLINDAMICINA 4ML.</v>
      </c>
      <c r="C58" s="73" t="str">
        <f ca="1">IFERROR(__xludf.DUMMYFUNCTION("""COMPUTED_VALUE"""),"SOLUCIÒN INYECTABLE")</f>
        <v>SOLUCIÒN INYECTABLE</v>
      </c>
      <c r="D58" s="73" t="str">
        <f ca="1">IFERROR(__xludf.DUMMYFUNCTION("""COMPUTED_VALUE"""),"CLINDAMICINA")</f>
        <v>CLINDAMICINA</v>
      </c>
      <c r="E58" s="73" t="str">
        <f ca="1">IFERROR(__xludf.DUMMYFUNCTION("""COMPUTED_VALUE"""),"CAPLIN POINT")</f>
        <v>CAPLIN POINT</v>
      </c>
      <c r="F58" s="75">
        <f ca="1">IFERROR(__xludf.DUMMYFUNCTION("""COMPUTED_VALUE"""),45683)</f>
        <v>45683</v>
      </c>
      <c r="G58" s="74">
        <f ca="1">IFERROR(__xludf.DUMMYFUNCTION("""COMPUTED_VALUE"""),11)</f>
        <v>11</v>
      </c>
      <c r="H58" s="74">
        <f ca="1">IFERROR(__xludf.DUMMYFUNCTION("""COMPUTED_VALUE"""),15.4)</f>
        <v>15.4</v>
      </c>
      <c r="I58" s="74">
        <f ca="1">IFERROR(__xludf.DUMMYFUNCTION("""COMPUTED_VALUE"""),60)</f>
        <v>60</v>
      </c>
    </row>
    <row r="59" spans="2:9" ht="27" customHeight="1">
      <c r="B59" s="73" t="str">
        <f ca="1">IFERROR(__xludf.DUMMYFUNCTION("""COMPUTED_VALUE"""),"CLORFENIRAMINA 1ML.")</f>
        <v>CLORFENIRAMINA 1ML.</v>
      </c>
      <c r="C59" s="73" t="str">
        <f ca="1">IFERROR(__xludf.DUMMYFUNCTION("""COMPUTED_VALUE"""),"SOLUCIÒN INYECTABLE")</f>
        <v>SOLUCIÒN INYECTABLE</v>
      </c>
      <c r="D59" s="73" t="str">
        <f ca="1">IFERROR(__xludf.DUMMYFUNCTION("""COMPUTED_VALUE"""),"CLORFENIRAMINA 1ML.")</f>
        <v>CLORFENIRAMINA 1ML.</v>
      </c>
      <c r="E59" s="73" t="str">
        <f ca="1">IFERROR(__xludf.DUMMYFUNCTION("""COMPUTED_VALUE"""),"DISSA/SELECTPHARMA")</f>
        <v>DISSA/SELECTPHARMA</v>
      </c>
      <c r="F59" s="75">
        <f ca="1">IFERROR(__xludf.DUMMYFUNCTION("""COMPUTED_VALUE"""),45686)</f>
        <v>45686</v>
      </c>
      <c r="G59" s="74">
        <f ca="1">IFERROR(__xludf.DUMMYFUNCTION("""COMPUTED_VALUE"""),3.72)</f>
        <v>3.72</v>
      </c>
      <c r="H59" s="74">
        <f ca="1">IFERROR(__xludf.DUMMYFUNCTION("""COMPUTED_VALUE"""),5.208)</f>
        <v>5.2080000000000002</v>
      </c>
      <c r="I59" s="74">
        <f ca="1">IFERROR(__xludf.DUMMYFUNCTION("""COMPUTED_VALUE"""),30)</f>
        <v>30</v>
      </c>
    </row>
    <row r="60" spans="2:9" ht="27" customHeight="1">
      <c r="B60" s="73" t="str">
        <f ca="1">IFERROR(__xludf.DUMMYFUNCTION("""COMPUTED_VALUE"""),"CLORURO DE POTASIO KCL 5ML")</f>
        <v>CLORURO DE POTASIO KCL 5ML</v>
      </c>
      <c r="C60" s="73" t="str">
        <f ca="1">IFERROR(__xludf.DUMMYFUNCTION("""COMPUTED_VALUE"""),"SOLUCIÒN INYECTABLE")</f>
        <v>SOLUCIÒN INYECTABLE</v>
      </c>
      <c r="D60" s="73" t="str">
        <f ca="1">IFERROR(__xludf.DUMMYFUNCTION("""COMPUTED_VALUE"""),"CLORURO DE POTASIO KCL")</f>
        <v>CLORURO DE POTASIO KCL</v>
      </c>
      <c r="E60" s="73" t="str">
        <f ca="1">IFERROR(__xludf.DUMMYFUNCTION("""COMPUTED_VALUE"""),"BONIN")</f>
        <v>BONIN</v>
      </c>
      <c r="F60" s="75">
        <f ca="1">IFERROR(__xludf.DUMMYFUNCTION("""COMPUTED_VALUE"""),45745)</f>
        <v>45745</v>
      </c>
      <c r="G60" s="74">
        <f ca="1">IFERROR(__xludf.DUMMYFUNCTION("""COMPUTED_VALUE"""),5.11)</f>
        <v>5.1100000000000003</v>
      </c>
      <c r="H60" s="74">
        <f ca="1">IFERROR(__xludf.DUMMYFUNCTION("""COMPUTED_VALUE"""),7.154)</f>
        <v>7.1539999999999999</v>
      </c>
      <c r="I60" s="74">
        <f ca="1">IFERROR(__xludf.DUMMYFUNCTION("""COMPUTED_VALUE"""),30)</f>
        <v>30</v>
      </c>
    </row>
    <row r="61" spans="2:9" ht="27" customHeight="1">
      <c r="B61" s="73" t="str">
        <f ca="1">IFERROR(__xludf.DUMMYFUNCTION("""COMPUTED_VALUE"""),"CLORURO DE SODIO NACL 10ML")</f>
        <v>CLORURO DE SODIO NACL 10ML</v>
      </c>
      <c r="C61" s="73" t="str">
        <f ca="1">IFERROR(__xludf.DUMMYFUNCTION("""COMPUTED_VALUE"""),"SOLUCIÒN INYECTABLE")</f>
        <v>SOLUCIÒN INYECTABLE</v>
      </c>
      <c r="D61" s="73" t="str">
        <f ca="1">IFERROR(__xludf.DUMMYFUNCTION("""COMPUTED_VALUE"""),"CLORURO DE SOCIO NCL")</f>
        <v>CLORURO DE SOCIO NCL</v>
      </c>
      <c r="E61" s="73" t="str">
        <f ca="1">IFERROR(__xludf.DUMMYFUNCTION("""COMPUTED_VALUE"""),"VIJOSA")</f>
        <v>VIJOSA</v>
      </c>
      <c r="F61" s="75">
        <f ca="1">IFERROR(__xludf.DUMMYFUNCTION("""COMPUTED_VALUE"""),45959)</f>
        <v>45959</v>
      </c>
      <c r="G61" s="74">
        <f ca="1">IFERROR(__xludf.DUMMYFUNCTION("""COMPUTED_VALUE"""),20)</f>
        <v>20</v>
      </c>
      <c r="H61" s="74">
        <f ca="1">IFERROR(__xludf.DUMMYFUNCTION("""COMPUTED_VALUE"""),28)</f>
        <v>28</v>
      </c>
      <c r="I61" s="74">
        <f ca="1">IFERROR(__xludf.DUMMYFUNCTION("""COMPUTED_VALUE"""),35)</f>
        <v>35</v>
      </c>
    </row>
    <row r="62" spans="2:9" ht="27" customHeight="1">
      <c r="B62" s="73" t="str">
        <f ca="1">IFERROR(__xludf.DUMMYFUNCTION("""COMPUTED_VALUE"""),"COMPLEJO B 10ML")</f>
        <v>COMPLEJO B 10ML</v>
      </c>
      <c r="C62" s="73" t="str">
        <f ca="1">IFERROR(__xludf.DUMMYFUNCTION("""COMPUTED_VALUE"""),"SOLUCIÒN INYECTABLE")</f>
        <v>SOLUCIÒN INYECTABLE</v>
      </c>
      <c r="D62" s="73" t="str">
        <f ca="1">IFERROR(__xludf.DUMMYFUNCTION("""COMPUTED_VALUE"""),"COMPLEJO B")</f>
        <v>COMPLEJO B</v>
      </c>
      <c r="E62" s="73" t="str">
        <f ca="1">IFERROR(__xludf.DUMMYFUNCTION("""COMPUTED_VALUE"""),"VIJOSA")</f>
        <v>VIJOSA</v>
      </c>
      <c r="F62" s="75">
        <f ca="1">IFERROR(__xludf.DUMMYFUNCTION("""COMPUTED_VALUE"""),45927)</f>
        <v>45927</v>
      </c>
      <c r="G62" s="74">
        <f ca="1">IFERROR(__xludf.DUMMYFUNCTION("""COMPUTED_VALUE"""),9.99)</f>
        <v>9.99</v>
      </c>
      <c r="H62" s="74">
        <f ca="1">IFERROR(__xludf.DUMMYFUNCTION("""COMPUTED_VALUE"""),13.986)</f>
        <v>13.986000000000001</v>
      </c>
      <c r="I62" s="74">
        <f ca="1">IFERROR(__xludf.DUMMYFUNCTION("""COMPUTED_VALUE"""),30)</f>
        <v>30</v>
      </c>
    </row>
    <row r="63" spans="2:9" ht="27" customHeight="1">
      <c r="B63" s="73" t="str">
        <f ca="1">IFERROR(__xludf.DUMMYFUNCTION("""COMPUTED_VALUE"""),"CRONEX-FEM")</f>
        <v>CRONEX-FEM</v>
      </c>
      <c r="C63" s="73" t="str">
        <f ca="1">IFERROR(__xludf.DUMMYFUNCTION("""COMPUTED_VALUE"""),"CAJA 60 CAPSULAS")</f>
        <v>CAJA 60 CAPSULAS</v>
      </c>
      <c r="D63" s="73" t="str">
        <f ca="1">IFERROR(__xludf.DUMMYFUNCTION("""COMPUTED_VALUE"""),"ISOFLAVONAS/VITAMINA E")</f>
        <v>ISOFLAVONAS/VITAMINA E</v>
      </c>
      <c r="E63" s="73" t="str">
        <f ca="1">IFERROR(__xludf.DUMMYFUNCTION("""COMPUTED_VALUE"""),"WINZZER")</f>
        <v>WINZZER</v>
      </c>
      <c r="F63" s="75">
        <f ca="1">IFERROR(__xludf.DUMMYFUNCTION("""COMPUTED_VALUE"""),45743)</f>
        <v>45743</v>
      </c>
      <c r="G63" s="74">
        <f ca="1">IFERROR(__xludf.DUMMYFUNCTION("""COMPUTED_VALUE"""),144)</f>
        <v>144</v>
      </c>
      <c r="H63" s="74">
        <f ca="1">IFERROR(__xludf.DUMMYFUNCTION("""COMPUTED_VALUE"""),201.6)</f>
        <v>201.6</v>
      </c>
      <c r="I63" s="74">
        <f ca="1">IFERROR(__xludf.DUMMYFUNCTION("""COMPUTED_VALUE"""),205)</f>
        <v>205</v>
      </c>
    </row>
    <row r="64" spans="2:9" ht="27" customHeight="1">
      <c r="B64" s="73" t="str">
        <f ca="1">IFERROR(__xludf.DUMMYFUNCTION("""COMPUTED_VALUE"""),"CRONEX-GEL")</f>
        <v>CRONEX-GEL</v>
      </c>
      <c r="C64" s="73" t="str">
        <f ca="1">IFERROR(__xludf.DUMMYFUNCTION("""COMPUTED_VALUE"""),"TUBO 60 GRAMOS")</f>
        <v>TUBO 60 GRAMOS</v>
      </c>
      <c r="D64" s="73" t="str">
        <f ca="1">IFERROR(__xludf.DUMMYFUNCTION("""COMPUTED_VALUE"""),"HIDRATANTE ÍNTIMO")</f>
        <v>HIDRATANTE ÍNTIMO</v>
      </c>
      <c r="E64" s="73" t="str">
        <f ca="1">IFERROR(__xludf.DUMMYFUNCTION("""COMPUTED_VALUE"""),"WINZZER")</f>
        <v>WINZZER</v>
      </c>
      <c r="F64" s="75">
        <f ca="1">IFERROR(__xludf.DUMMYFUNCTION("""COMPUTED_VALUE"""),45987)</f>
        <v>45987</v>
      </c>
      <c r="G64" s="74">
        <f ca="1">IFERROR(__xludf.DUMMYFUNCTION("""COMPUTED_VALUE"""),64.29)</f>
        <v>64.290000000000006</v>
      </c>
      <c r="H64" s="74">
        <f ca="1">IFERROR(__xludf.DUMMYFUNCTION("""COMPUTED_VALUE"""),90.006)</f>
        <v>90.006</v>
      </c>
      <c r="I64" s="74">
        <f ca="1">IFERROR(__xludf.DUMMYFUNCTION("""COMPUTED_VALUE"""),90)</f>
        <v>90</v>
      </c>
    </row>
    <row r="65" spans="2:9" ht="27" customHeight="1">
      <c r="B65" s="73" t="str">
        <f ca="1">IFERROR(__xludf.DUMMYFUNCTION("""COMPUTED_VALUE"""),"CROSBA")</f>
        <v>CROSBA</v>
      </c>
      <c r="C65" s="73" t="str">
        <f ca="1">IFERROR(__xludf.DUMMYFUNCTION("""COMPUTED_VALUE"""),"CAJA 6 SOBRES")</f>
        <v>CAJA 6 SOBRES</v>
      </c>
      <c r="D65" s="73" t="str">
        <f ca="1">IFERROR(__xludf.DUMMYFUNCTION("""COMPUTED_VALUE"""),"CROSPOVIDONA")</f>
        <v>CROSPOVIDONA</v>
      </c>
      <c r="E65" s="73" t="str">
        <f ca="1">IFERROR(__xludf.DUMMYFUNCTION("""COMPUTED_VALUE"""),"BAGÓ")</f>
        <v>BAGÓ</v>
      </c>
      <c r="F65" s="75">
        <f ca="1">IFERROR(__xludf.DUMMYFUNCTION("""COMPUTED_VALUE"""),46017)</f>
        <v>46017</v>
      </c>
      <c r="G65" s="74">
        <f ca="1">IFERROR(__xludf.DUMMYFUNCTION("""COMPUTED_VALUE"""),67.16)</f>
        <v>67.16</v>
      </c>
      <c r="H65" s="74">
        <f ca="1">IFERROR(__xludf.DUMMYFUNCTION("""COMPUTED_VALUE"""),94.024)</f>
        <v>94.024000000000001</v>
      </c>
      <c r="I65" s="74">
        <f ca="1">IFERROR(__xludf.DUMMYFUNCTION("""COMPUTED_VALUE"""),95)</f>
        <v>95</v>
      </c>
    </row>
    <row r="66" spans="2:9" ht="27" customHeight="1">
      <c r="B66" s="73" t="str">
        <f ca="1">IFERROR(__xludf.DUMMYFUNCTION("""COMPUTED_VALUE"""),"CYFLONDEX")</f>
        <v>CYFLONDEX</v>
      </c>
      <c r="C66" s="73" t="str">
        <f ca="1">IFERROR(__xludf.DUMMYFUNCTION("""COMPUTED_VALUE"""),"GOTAS")</f>
        <v>GOTAS</v>
      </c>
      <c r="D66" s="73" t="str">
        <f ca="1">IFERROR(__xludf.DUMMYFUNCTION("""COMPUTED_VALUE"""),"CIFLODEX")</f>
        <v>CIFLODEX</v>
      </c>
      <c r="E66" s="73" t="str">
        <f ca="1">IFERROR(__xludf.DUMMYFUNCTION("""COMPUTED_VALUE"""),"OFTISOL")</f>
        <v>OFTISOL</v>
      </c>
      <c r="F66" s="75">
        <f ca="1">IFERROR(__xludf.DUMMYFUNCTION("""COMPUTED_VALUE"""),45896)</f>
        <v>45896</v>
      </c>
      <c r="G66" s="74">
        <f ca="1">IFERROR(__xludf.DUMMYFUNCTION("""COMPUTED_VALUE"""),152.02)</f>
        <v>152.02000000000001</v>
      </c>
      <c r="H66" s="74">
        <f ca="1">IFERROR(__xludf.DUMMYFUNCTION("""COMPUTED_VALUE"""),212.828)</f>
        <v>212.828</v>
      </c>
      <c r="I66" s="74">
        <f ca="1">IFERROR(__xludf.DUMMYFUNCTION("""COMPUTED_VALUE"""),215)</f>
        <v>215</v>
      </c>
    </row>
    <row r="67" spans="2:9" ht="27" customHeight="1">
      <c r="B67" s="73" t="str">
        <f ca="1">IFERROR(__xludf.DUMMYFUNCTION("""COMPUTED_VALUE"""),"CYSTONE")</f>
        <v>CYSTONE</v>
      </c>
      <c r="C67" s="73" t="str">
        <f ca="1">IFERROR(__xludf.DUMMYFUNCTION("""COMPUTED_VALUE"""),"FRASCO 100 TABLETAS")</f>
        <v>FRASCO 100 TABLETAS</v>
      </c>
      <c r="D67" s="73" t="str">
        <f ca="1">IFERROR(__xludf.DUMMYFUNCTION("""COMPUTED_VALUE"""),"tartrazina")</f>
        <v>tartrazina</v>
      </c>
      <c r="E67" s="73" t="str">
        <f ca="1">IFERROR(__xludf.DUMMYFUNCTION("""COMPUTED_VALUE"""),"HIMALAYA")</f>
        <v>HIMALAYA</v>
      </c>
      <c r="F67" s="75">
        <f ca="1">IFERROR(__xludf.DUMMYFUNCTION("""COMPUTED_VALUE"""),45715)</f>
        <v>45715</v>
      </c>
      <c r="G67" s="74">
        <f ca="1">IFERROR(__xludf.DUMMYFUNCTION("""COMPUTED_VALUE"""),135)</f>
        <v>135</v>
      </c>
      <c r="H67" s="74">
        <f ca="1">IFERROR(__xludf.DUMMYFUNCTION("""COMPUTED_VALUE"""),189)</f>
        <v>189</v>
      </c>
      <c r="I67" s="74">
        <f ca="1">IFERROR(__xludf.DUMMYFUNCTION("""COMPUTED_VALUE"""),190)</f>
        <v>190</v>
      </c>
    </row>
    <row r="68" spans="2:9" ht="27" customHeight="1">
      <c r="B68" s="73" t="str">
        <f ca="1">IFERROR(__xludf.DUMMYFUNCTION("""COMPUTED_VALUE"""),"CYSTONE 200ML.")</f>
        <v>CYSTONE 200ML.</v>
      </c>
      <c r="C68" s="73" t="str">
        <f ca="1">IFERROR(__xludf.DUMMYFUNCTION("""COMPUTED_VALUE"""),"SUSPENCIÒN")</f>
        <v>SUSPENCIÒN</v>
      </c>
      <c r="D68" s="73" t="str">
        <f ca="1">IFERROR(__xludf.DUMMYFUNCTION("""COMPUTED_VALUE"""),"tartrazina")</f>
        <v>tartrazina</v>
      </c>
      <c r="E68" s="73" t="str">
        <f ca="1">IFERROR(__xludf.DUMMYFUNCTION("""COMPUTED_VALUE"""),"HIMALAYA")</f>
        <v>HIMALAYA</v>
      </c>
      <c r="F68" s="75">
        <f ca="1">IFERROR(__xludf.DUMMYFUNCTION("""COMPUTED_VALUE"""),45926)</f>
        <v>45926</v>
      </c>
      <c r="G68" s="74">
        <f ca="1">IFERROR(__xludf.DUMMYFUNCTION("""COMPUTED_VALUE"""),115.92)</f>
        <v>115.92</v>
      </c>
      <c r="H68" s="74">
        <f ca="1">IFERROR(__xludf.DUMMYFUNCTION("""COMPUTED_VALUE"""),162.288)</f>
        <v>162.28800000000001</v>
      </c>
      <c r="I68" s="74">
        <f ca="1">IFERROR(__xludf.DUMMYFUNCTION("""COMPUTED_VALUE"""),165)</f>
        <v>165</v>
      </c>
    </row>
    <row r="69" spans="2:9" ht="27" customHeight="1">
      <c r="B69" s="73" t="str">
        <f ca="1">IFERROR(__xludf.DUMMYFUNCTION("""COMPUTED_VALUE"""),"DANSYL")</f>
        <v>DANSYL</v>
      </c>
      <c r="C69" s="73" t="str">
        <f ca="1">IFERROR(__xludf.DUMMYFUNCTION("""COMPUTED_VALUE"""),"CAJA 20 TABLETAS")</f>
        <v>CAJA 20 TABLETAS</v>
      </c>
      <c r="D69" s="73" t="str">
        <f ca="1">IFERROR(__xludf.DUMMYFUNCTION("""COMPUTED_VALUE"""),"AMIDOSIDINA 250MG")</f>
        <v>AMIDOSIDINA 250MG</v>
      </c>
      <c r="E69" s="73" t="str">
        <f ca="1">IFERROR(__xludf.DUMMYFUNCTION("""COMPUTED_VALUE"""),"INFASA")</f>
        <v>INFASA</v>
      </c>
      <c r="F69" s="75">
        <f ca="1">IFERROR(__xludf.DUMMYFUNCTION("""COMPUTED_VALUE"""),45834)</f>
        <v>45834</v>
      </c>
      <c r="G69" s="74">
        <f ca="1">IFERROR(__xludf.DUMMYFUNCTION("""COMPUTED_VALUE"""),123.04)</f>
        <v>123.04</v>
      </c>
      <c r="H69" s="74">
        <f ca="1">IFERROR(__xludf.DUMMYFUNCTION("""COMPUTED_VALUE"""),172.256)</f>
        <v>172.256</v>
      </c>
      <c r="I69" s="74">
        <f ca="1">IFERROR(__xludf.DUMMYFUNCTION("""COMPUTED_VALUE"""),175)</f>
        <v>175</v>
      </c>
    </row>
    <row r="70" spans="2:9" ht="27" customHeight="1">
      <c r="B70" s="73" t="str">
        <f ca="1">IFERROR(__xludf.DUMMYFUNCTION("""COMPUTED_VALUE"""),"DANSYL")</f>
        <v>DANSYL</v>
      </c>
      <c r="C70" s="73" t="str">
        <f ca="1">IFERROR(__xludf.DUMMYFUNCTION("""COMPUTED_VALUE"""),"FRASCO 60 ML")</f>
        <v>FRASCO 60 ML</v>
      </c>
      <c r="D70" s="73" t="str">
        <f ca="1">IFERROR(__xludf.DUMMYFUNCTION("""COMPUTED_VALUE"""),"AMIDOSIDINA 125MG/5ML")</f>
        <v>AMIDOSIDINA 125MG/5ML</v>
      </c>
      <c r="E70" s="73" t="str">
        <f ca="1">IFERROR(__xludf.DUMMYFUNCTION("""COMPUTED_VALUE"""),"INFASA")</f>
        <v>INFASA</v>
      </c>
      <c r="F70" s="75">
        <f ca="1">IFERROR(__xludf.DUMMYFUNCTION("""COMPUTED_VALUE"""),45864)</f>
        <v>45864</v>
      </c>
      <c r="G70" s="74">
        <f ca="1">IFERROR(__xludf.DUMMYFUNCTION("""COMPUTED_VALUE"""),88.2)</f>
        <v>88.2</v>
      </c>
      <c r="H70" s="74">
        <f ca="1">IFERROR(__xludf.DUMMYFUNCTION("""COMPUTED_VALUE"""),123.48)</f>
        <v>123.48</v>
      </c>
      <c r="I70" s="74">
        <f ca="1">IFERROR(__xludf.DUMMYFUNCTION("""COMPUTED_VALUE"""),125)</f>
        <v>125</v>
      </c>
    </row>
    <row r="71" spans="2:9" ht="27" customHeight="1">
      <c r="B71" s="73" t="str">
        <f ca="1">IFERROR(__xludf.DUMMYFUNCTION("""COMPUTED_VALUE"""),"DEFLARIN 30 MG.")</f>
        <v>DEFLARIN 30 MG.</v>
      </c>
      <c r="C71" s="73" t="str">
        <f ca="1">IFERROR(__xludf.DUMMYFUNCTION("""COMPUTED_VALUE"""),"CAJA 10 TAB.")</f>
        <v>CAJA 10 TAB.</v>
      </c>
      <c r="D71" s="73" t="str">
        <f ca="1">IFERROR(__xludf.DUMMYFUNCTION("""COMPUTED_VALUE"""),"DEFLEZACORT 30MG")</f>
        <v>DEFLEZACORT 30MG</v>
      </c>
      <c r="E71" s="73" t="str">
        <f ca="1">IFERROR(__xludf.DUMMYFUNCTION("""COMPUTED_VALUE"""),"EXELTIS")</f>
        <v>EXELTIS</v>
      </c>
      <c r="F71" s="75">
        <f ca="1">IFERROR(__xludf.DUMMYFUNCTION("""COMPUTED_VALUE"""),45774)</f>
        <v>45774</v>
      </c>
      <c r="G71" s="74">
        <f ca="1">IFERROR(__xludf.DUMMYFUNCTION("""COMPUTED_VALUE"""),217.58)</f>
        <v>217.58</v>
      </c>
      <c r="H71" s="74">
        <f ca="1">IFERROR(__xludf.DUMMYFUNCTION("""COMPUTED_VALUE"""),304.612)</f>
        <v>304.61200000000002</v>
      </c>
      <c r="I71" s="74">
        <f ca="1">IFERROR(__xludf.DUMMYFUNCTION("""COMPUTED_VALUE"""),305)</f>
        <v>305</v>
      </c>
    </row>
    <row r="72" spans="2:9" ht="27" customHeight="1">
      <c r="B72" s="73" t="str">
        <f ca="1">IFERROR(__xludf.DUMMYFUNCTION("""COMPUTED_VALUE"""),"DEXAMETAZONA")</f>
        <v>DEXAMETAZONA</v>
      </c>
      <c r="C72" s="73" t="str">
        <f ca="1">IFERROR(__xludf.DUMMYFUNCTION("""COMPUTED_VALUE"""),"SOLUCIÒN INYECTABLE 8MG/2ML")</f>
        <v>SOLUCIÒN INYECTABLE 8MG/2ML</v>
      </c>
      <c r="D72" s="73" t="str">
        <f ca="1">IFERROR(__xludf.DUMMYFUNCTION("""COMPUTED_VALUE"""),"DEXAMETAZONA")</f>
        <v>DEXAMETAZONA</v>
      </c>
      <c r="E72" s="73" t="str">
        <f ca="1">IFERROR(__xludf.DUMMYFUNCTION("""COMPUTED_VALUE"""),"VITALIS/DISSA")</f>
        <v>VITALIS/DISSA</v>
      </c>
      <c r="F72" s="75">
        <f ca="1">IFERROR(__xludf.DUMMYFUNCTION("""COMPUTED_VALUE"""),45804)</f>
        <v>45804</v>
      </c>
      <c r="G72" s="74">
        <f ca="1">IFERROR(__xludf.DUMMYFUNCTION("""COMPUTED_VALUE"""),2.28)</f>
        <v>2.2799999999999998</v>
      </c>
      <c r="H72" s="74">
        <f ca="1">IFERROR(__xludf.DUMMYFUNCTION("""COMPUTED_VALUE"""),3.19199999999999)</f>
        <v>3.19199999999999</v>
      </c>
      <c r="I72" s="74">
        <f ca="1">IFERROR(__xludf.DUMMYFUNCTION("""COMPUTED_VALUE"""),30)</f>
        <v>30</v>
      </c>
    </row>
    <row r="73" spans="2:9" ht="27" customHeight="1">
      <c r="B73" s="73" t="str">
        <f ca="1">IFERROR(__xludf.DUMMYFUNCTION("""COMPUTED_VALUE"""),"DIABENOR")</f>
        <v>DIABENOR</v>
      </c>
      <c r="C73" s="73" t="str">
        <f ca="1">IFERROR(__xludf.DUMMYFUNCTION("""COMPUTED_VALUE"""),"CAJA 120 CAPSULAS")</f>
        <v>CAJA 120 CAPSULAS</v>
      </c>
      <c r="D73" s="73" t="str">
        <f ca="1">IFERROR(__xludf.DUMMYFUNCTION("""COMPUTED_VALUE"""),"DELFINIDINA,GLICINA DE COBRE, ACIDO ALFALINOLÈNICO, COLINA, ACIDO ALFALIPOICO")</f>
        <v>DELFINIDINA,GLICINA DE COBRE, ACIDO ALFALINOLÈNICO, COLINA, ACIDO ALFALIPOICO</v>
      </c>
      <c r="E73" s="73" t="str">
        <f ca="1">IFERROR(__xludf.DUMMYFUNCTION("""COMPUTED_VALUE"""),"PHARMALAT")</f>
        <v>PHARMALAT</v>
      </c>
      <c r="F73" s="75">
        <f ca="1">IFERROR(__xludf.DUMMYFUNCTION("""COMPUTED_VALUE"""),45715)</f>
        <v>45715</v>
      </c>
      <c r="G73" s="74">
        <f ca="1">IFERROR(__xludf.DUMMYFUNCTION("""COMPUTED_VALUE"""),250)</f>
        <v>250</v>
      </c>
      <c r="H73" s="74">
        <f ca="1">IFERROR(__xludf.DUMMYFUNCTION("""COMPUTED_VALUE"""),350)</f>
        <v>350</v>
      </c>
      <c r="I73" s="74">
        <f ca="1">IFERROR(__xludf.DUMMYFUNCTION("""COMPUTED_VALUE"""),350)</f>
        <v>350</v>
      </c>
    </row>
    <row r="74" spans="2:9" ht="27" customHeight="1">
      <c r="B74" s="73" t="str">
        <f ca="1">IFERROR(__xludf.DUMMYFUNCTION("""COMPUTED_VALUE"""),"DIAZEPAN")</f>
        <v>DIAZEPAN</v>
      </c>
      <c r="C74" s="73" t="str">
        <f ca="1">IFERROR(__xludf.DUMMYFUNCTION("""COMPUTED_VALUE"""),"SOLUCIÒN INYECTABLE 2ML")</f>
        <v>SOLUCIÒN INYECTABLE 2ML</v>
      </c>
      <c r="D74" s="73" t="str">
        <f ca="1">IFERROR(__xludf.DUMMYFUNCTION("""COMPUTED_VALUE"""),"DIAZEPAN")</f>
        <v>DIAZEPAN</v>
      </c>
      <c r="E74" s="73" t="str">
        <f ca="1">IFERROR(__xludf.DUMMYFUNCTION("""COMPUTED_VALUE"""),"BONIN")</f>
        <v>BONIN</v>
      </c>
      <c r="F74" s="75">
        <f ca="1">IFERROR(__xludf.DUMMYFUNCTION("""COMPUTED_VALUE"""),45927)</f>
        <v>45927</v>
      </c>
      <c r="G74" s="74">
        <f ca="1">IFERROR(__xludf.DUMMYFUNCTION("""COMPUTED_VALUE"""),6)</f>
        <v>6</v>
      </c>
      <c r="H74" s="74">
        <f ca="1">IFERROR(__xludf.DUMMYFUNCTION("""COMPUTED_VALUE"""),8.4)</f>
        <v>8.4</v>
      </c>
      <c r="I74" s="74">
        <f ca="1">IFERROR(__xludf.DUMMYFUNCTION("""COMPUTED_VALUE"""),50)</f>
        <v>50</v>
      </c>
    </row>
    <row r="75" spans="2:9" ht="27" customHeight="1">
      <c r="B75" s="73" t="str">
        <f ca="1">IFERROR(__xludf.DUMMYFUNCTION("""COMPUTED_VALUE"""),"DICABIL")</f>
        <v>DICABIL</v>
      </c>
      <c r="C75" s="73" t="str">
        <f ca="1">IFERROR(__xludf.DUMMYFUNCTION("""COMPUTED_VALUE"""),"SUSPENSION 50ML")</f>
        <v>SUSPENSION 50ML</v>
      </c>
      <c r="D75" s="73" t="str">
        <f ca="1">IFERROR(__xludf.DUMMYFUNCTION("""COMPUTED_VALUE"""),"ACIDO URSODESOXICOLICO")</f>
        <v>ACIDO URSODESOXICOLICO</v>
      </c>
      <c r="E75" s="73" t="str">
        <f ca="1">IFERROR(__xludf.DUMMYFUNCTION("""COMPUTED_VALUE"""),"PHARMOZ")</f>
        <v>PHARMOZ</v>
      </c>
      <c r="F75" s="75">
        <f ca="1">IFERROR(__xludf.DUMMYFUNCTION("""COMPUTED_VALUE"""),45864)</f>
        <v>45864</v>
      </c>
      <c r="G75" s="74">
        <f ca="1">IFERROR(__xludf.DUMMYFUNCTION("""COMPUTED_VALUE"""),60.86)</f>
        <v>60.86</v>
      </c>
      <c r="H75" s="74">
        <f ca="1">IFERROR(__xludf.DUMMYFUNCTION("""COMPUTED_VALUE"""),85.204)</f>
        <v>85.203999999999994</v>
      </c>
      <c r="I75" s="74">
        <f ca="1">IFERROR(__xludf.DUMMYFUNCTION("""COMPUTED_VALUE"""),100)</f>
        <v>100</v>
      </c>
    </row>
    <row r="76" spans="2:9" ht="27" customHeight="1">
      <c r="B76" s="73" t="str">
        <f ca="1">IFERROR(__xludf.DUMMYFUNCTION("""COMPUTED_VALUE"""),"DICABIL 300MG")</f>
        <v>DICABIL 300MG</v>
      </c>
      <c r="C76" s="73" t="str">
        <f ca="1">IFERROR(__xludf.DUMMYFUNCTION("""COMPUTED_VALUE"""),"CAJA 30 TABLETAS")</f>
        <v>CAJA 30 TABLETAS</v>
      </c>
      <c r="D76" s="73" t="str">
        <f ca="1">IFERROR(__xludf.DUMMYFUNCTION("""COMPUTED_VALUE"""),"ACIDO URSODESOXICOLICO")</f>
        <v>ACIDO URSODESOXICOLICO</v>
      </c>
      <c r="E76" s="73" t="str">
        <f ca="1">IFERROR(__xludf.DUMMYFUNCTION("""COMPUTED_VALUE"""),"PHARMOZ")</f>
        <v>PHARMOZ</v>
      </c>
      <c r="F76" s="75">
        <f ca="1">IFERROR(__xludf.DUMMYFUNCTION("""COMPUTED_VALUE"""),45773)</f>
        <v>45773</v>
      </c>
      <c r="G76" s="74">
        <f ca="1">IFERROR(__xludf.DUMMYFUNCTION("""COMPUTED_VALUE"""),118.6)</f>
        <v>118.6</v>
      </c>
      <c r="H76" s="74">
        <f ca="1">IFERROR(__xludf.DUMMYFUNCTION("""COMPUTED_VALUE"""),166.04)</f>
        <v>166.04</v>
      </c>
      <c r="I76" s="74">
        <f ca="1">IFERROR(__xludf.DUMMYFUNCTION("""COMPUTED_VALUE"""),180)</f>
        <v>180</v>
      </c>
    </row>
    <row r="77" spans="2:9" ht="27" customHeight="1">
      <c r="B77" s="73" t="str">
        <f ca="1">IFERROR(__xludf.DUMMYFUNCTION("""COMPUTED_VALUE"""),"DICLOFENACO")</f>
        <v>DICLOFENACO</v>
      </c>
      <c r="C77" s="73" t="str">
        <f ca="1">IFERROR(__xludf.DUMMYFUNCTION("""COMPUTED_VALUE"""),"SOLUCIÒN INYECTABLE 3ML")</f>
        <v>SOLUCIÒN INYECTABLE 3ML</v>
      </c>
      <c r="D77" s="73" t="str">
        <f ca="1">IFERROR(__xludf.DUMMYFUNCTION("""COMPUTED_VALUE"""),"DICLOFENACO")</f>
        <v>DICLOFENACO</v>
      </c>
      <c r="E77" s="73" t="str">
        <f ca="1">IFERROR(__xludf.DUMMYFUNCTION("""COMPUTED_VALUE"""),"PROMEGAL")</f>
        <v>PROMEGAL</v>
      </c>
      <c r="F77" s="75">
        <f ca="1">IFERROR(__xludf.DUMMYFUNCTION("""COMPUTED_VALUE"""),45864)</f>
        <v>45864</v>
      </c>
      <c r="G77" s="74">
        <f ca="1">IFERROR(__xludf.DUMMYFUNCTION("""COMPUTED_VALUE"""),1.6)</f>
        <v>1.6</v>
      </c>
      <c r="H77" s="74">
        <f ca="1">IFERROR(__xludf.DUMMYFUNCTION("""COMPUTED_VALUE"""),2.24)</f>
        <v>2.2400000000000002</v>
      </c>
      <c r="I77" s="74">
        <f ca="1">IFERROR(__xludf.DUMMYFUNCTION("""COMPUTED_VALUE"""),20)</f>
        <v>20</v>
      </c>
    </row>
    <row r="78" spans="2:9" ht="27" customHeight="1">
      <c r="B78" s="73" t="str">
        <f ca="1">IFERROR(__xludf.DUMMYFUNCTION("""COMPUTED_VALUE"""),"DICYNONE")</f>
        <v>DICYNONE</v>
      </c>
      <c r="C78" s="73" t="str">
        <f ca="1">IFERROR(__xludf.DUMMYFUNCTION("""COMPUTED_VALUE"""),"SOLUCIÒN INYECTABLE 2ML")</f>
        <v>SOLUCIÒN INYECTABLE 2ML</v>
      </c>
      <c r="D78" s="73" t="str">
        <f ca="1">IFERROR(__xludf.DUMMYFUNCTION("""COMPUTED_VALUE"""),"DICYNONE")</f>
        <v>DICYNONE</v>
      </c>
      <c r="E78" s="73" t="str">
        <f ca="1">IFERROR(__xludf.DUMMYFUNCTION("""COMPUTED_VALUE"""),"OM PHARMA")</f>
        <v>OM PHARMA</v>
      </c>
      <c r="F78" s="75">
        <f ca="1">IFERROR(__xludf.DUMMYFUNCTION("""COMPUTED_VALUE"""),46018)</f>
        <v>46018</v>
      </c>
      <c r="G78" s="74">
        <f ca="1">IFERROR(__xludf.DUMMYFUNCTION("""COMPUTED_VALUE"""),18.7)</f>
        <v>18.7</v>
      </c>
      <c r="H78" s="74">
        <f ca="1">IFERROR(__xludf.DUMMYFUNCTION("""COMPUTED_VALUE"""),26.18)</f>
        <v>26.18</v>
      </c>
      <c r="I78" s="74">
        <f ca="1">IFERROR(__xludf.DUMMYFUNCTION("""COMPUTED_VALUE"""),30)</f>
        <v>30</v>
      </c>
    </row>
    <row r="79" spans="2:9" ht="27" customHeight="1">
      <c r="B79" s="73" t="str">
        <f ca="1">IFERROR(__xludf.DUMMYFUNCTION("""COMPUTED_VALUE"""),"DICYNONE 500")</f>
        <v>DICYNONE 500</v>
      </c>
      <c r="C79" s="73" t="str">
        <f ca="1">IFERROR(__xludf.DUMMYFUNCTION("""COMPUTED_VALUE"""),"CAJA 20 CAPSULAS")</f>
        <v>CAJA 20 CAPSULAS</v>
      </c>
      <c r="D79" s="73" t="str">
        <f ca="1">IFERROR(__xludf.DUMMYFUNCTION("""COMPUTED_VALUE"""),"ETAMSILATO 500MG")</f>
        <v>ETAMSILATO 500MG</v>
      </c>
      <c r="E79" s="73" t="str">
        <f ca="1">IFERROR(__xludf.DUMMYFUNCTION("""COMPUTED_VALUE"""),"OM")</f>
        <v>OM</v>
      </c>
      <c r="F79" s="75">
        <f ca="1">IFERROR(__xludf.DUMMYFUNCTION("""COMPUTED_VALUE"""),45774)</f>
        <v>45774</v>
      </c>
      <c r="G79" s="74">
        <f ca="1">IFERROR(__xludf.DUMMYFUNCTION("""COMPUTED_VALUE"""),350.37)</f>
        <v>350.37</v>
      </c>
      <c r="H79" s="74">
        <f ca="1">IFERROR(__xludf.DUMMYFUNCTION("""COMPUTED_VALUE"""),490.518)</f>
        <v>490.51799999999997</v>
      </c>
      <c r="I79" s="74">
        <f ca="1">IFERROR(__xludf.DUMMYFUNCTION("""COMPUTED_VALUE"""),490)</f>
        <v>490</v>
      </c>
    </row>
    <row r="80" spans="2:9" ht="27" customHeight="1">
      <c r="B80" s="73" t="str">
        <f ca="1">IFERROR(__xludf.DUMMYFUNCTION("""COMPUTED_VALUE"""),"DIOSMIL")</f>
        <v>DIOSMIL</v>
      </c>
      <c r="C80" s="73" t="str">
        <f ca="1">IFERROR(__xludf.DUMMYFUNCTION("""COMPUTED_VALUE"""),"CAJA 30 COMPRIMIDOS")</f>
        <v>CAJA 30 COMPRIMIDOS</v>
      </c>
      <c r="D80" s="73" t="str">
        <f ca="1">IFERROR(__xludf.DUMMYFUNCTION("""COMPUTED_VALUE"""),"DIOSMINA MICRONIZADA/HESPERIDINA 500MG")</f>
        <v>DIOSMINA MICRONIZADA/HESPERIDINA 500MG</v>
      </c>
      <c r="E80" s="73" t="str">
        <f ca="1">IFERROR(__xludf.DUMMYFUNCTION("""COMPUTED_VALUE"""),"GLOBAL FARMA")</f>
        <v>GLOBAL FARMA</v>
      </c>
      <c r="F80" s="75">
        <f ca="1">IFERROR(__xludf.DUMMYFUNCTION("""COMPUTED_VALUE"""),45804)</f>
        <v>45804</v>
      </c>
      <c r="G80" s="74">
        <f ca="1">IFERROR(__xludf.DUMMYFUNCTION("""COMPUTED_VALUE"""),115.93)</f>
        <v>115.93</v>
      </c>
      <c r="H80" s="74">
        <f ca="1">IFERROR(__xludf.DUMMYFUNCTION("""COMPUTED_VALUE"""),162.302)</f>
        <v>162.30199999999999</v>
      </c>
      <c r="I80" s="74">
        <f ca="1">IFERROR(__xludf.DUMMYFUNCTION("""COMPUTED_VALUE"""),165)</f>
        <v>165</v>
      </c>
    </row>
    <row r="81" spans="2:9" ht="27" customHeight="1">
      <c r="B81" s="73" t="str">
        <f ca="1">IFERROR(__xludf.DUMMYFUNCTION("""COMPUTED_VALUE"""),"DIPIRONA")</f>
        <v>DIPIRONA</v>
      </c>
      <c r="C81" s="73" t="str">
        <f ca="1">IFERROR(__xludf.DUMMYFUNCTION("""COMPUTED_VALUE"""),"SOLUCIÒN INYECTABLE 2ML")</f>
        <v>SOLUCIÒN INYECTABLE 2ML</v>
      </c>
      <c r="D81" s="73" t="str">
        <f ca="1">IFERROR(__xludf.DUMMYFUNCTION("""COMPUTED_VALUE"""),"DIPIRONA")</f>
        <v>DIPIRONA</v>
      </c>
      <c r="E81" s="73" t="str">
        <f ca="1">IFERROR(__xludf.DUMMYFUNCTION("""COMPUTED_VALUE"""),"BONIN")</f>
        <v>BONIN</v>
      </c>
      <c r="F81" s="75">
        <f ca="1">IFERROR(__xludf.DUMMYFUNCTION("""COMPUTED_VALUE"""),45773)</f>
        <v>45773</v>
      </c>
      <c r="G81" s="74">
        <f ca="1">IFERROR(__xludf.DUMMYFUNCTION("""COMPUTED_VALUE"""),2.85)</f>
        <v>2.85</v>
      </c>
      <c r="H81" s="74">
        <f ca="1">IFERROR(__xludf.DUMMYFUNCTION("""COMPUTED_VALUE"""),3.99)</f>
        <v>3.99</v>
      </c>
      <c r="I81" s="74">
        <f ca="1">IFERROR(__xludf.DUMMYFUNCTION("""COMPUTED_VALUE"""),20)</f>
        <v>20</v>
      </c>
    </row>
    <row r="82" spans="2:9" ht="27" customHeight="1">
      <c r="B82" s="73" t="str">
        <f ca="1">IFERROR(__xludf.DUMMYFUNCTION("""COMPUTED_VALUE"""),"DISLEP")</f>
        <v>DISLEP</v>
      </c>
      <c r="C82" s="73" t="str">
        <f ca="1">IFERROR(__xludf.DUMMYFUNCTION("""COMPUTED_VALUE"""),"GOTAS ORALES")</f>
        <v>GOTAS ORALES</v>
      </c>
      <c r="D82" s="73" t="str">
        <f ca="1">IFERROR(__xludf.DUMMYFUNCTION("""COMPUTED_VALUE"""),"LEVOSULPIRIDE")</f>
        <v>LEVOSULPIRIDE</v>
      </c>
      <c r="E82" s="73" t="str">
        <f ca="1">IFERROR(__xludf.DUMMYFUNCTION("""COMPUTED_VALUE"""),"FERRER")</f>
        <v>FERRER</v>
      </c>
      <c r="F82" s="75">
        <f ca="1">IFERROR(__xludf.DUMMYFUNCTION("""COMPUTED_VALUE"""),45804)</f>
        <v>45804</v>
      </c>
      <c r="G82" s="74">
        <f ca="1">IFERROR(__xludf.DUMMYFUNCTION("""COMPUTED_VALUE"""),145.54)</f>
        <v>145.54</v>
      </c>
      <c r="H82" s="74">
        <f ca="1">IFERROR(__xludf.DUMMYFUNCTION("""COMPUTED_VALUE"""),203.756)</f>
        <v>203.756</v>
      </c>
      <c r="I82" s="74">
        <f ca="1">IFERROR(__xludf.DUMMYFUNCTION("""COMPUTED_VALUE"""),215)</f>
        <v>215</v>
      </c>
    </row>
    <row r="83" spans="2:9" ht="27" customHeight="1">
      <c r="B83" s="73" t="str">
        <f ca="1">IFERROR(__xludf.DUMMYFUNCTION("""COMPUTED_VALUE"""),"DISSUALON PLUS")</f>
        <v>DISSUALON PLUS</v>
      </c>
      <c r="C83" s="73" t="str">
        <f ca="1">IFERROR(__xludf.DUMMYFUNCTION("""COMPUTED_VALUE"""),"CAJA 30 COMPRIMIDOS")</f>
        <v>CAJA 30 COMPRIMIDOS</v>
      </c>
      <c r="D83" s="73" t="str">
        <f ca="1">IFERROR(__xludf.DUMMYFUNCTION("""COMPUTED_VALUE"""),"ATORVASTATINA 20MG/EZETIMIBE 10MG")</f>
        <v>ATORVASTATINA 20MG/EZETIMIBE 10MG</v>
      </c>
      <c r="E83" s="73" t="str">
        <f ca="1">IFERROR(__xludf.DUMMYFUNCTION("""COMPUTED_VALUE"""),"VIZCAINO")</f>
        <v>VIZCAINO</v>
      </c>
      <c r="F83" s="75">
        <f ca="1">IFERROR(__xludf.DUMMYFUNCTION("""COMPUTED_VALUE"""),45775)</f>
        <v>45775</v>
      </c>
      <c r="G83" s="74">
        <f ca="1">IFERROR(__xludf.DUMMYFUNCTION("""COMPUTED_VALUE"""),292.64)</f>
        <v>292.64</v>
      </c>
      <c r="H83" s="74">
        <f ca="1">IFERROR(__xludf.DUMMYFUNCTION("""COMPUTED_VALUE"""),409.695999999999)</f>
        <v>409.695999999999</v>
      </c>
      <c r="I83" s="74">
        <f ca="1">IFERROR(__xludf.DUMMYFUNCTION("""COMPUTED_VALUE"""),410)</f>
        <v>410</v>
      </c>
    </row>
    <row r="84" spans="2:9" ht="27" customHeight="1">
      <c r="B84" s="73" t="str">
        <f ca="1">IFERROR(__xludf.DUMMYFUNCTION("""COMPUTED_VALUE"""),"DIVAX-C 100ML IV")</f>
        <v>DIVAX-C 100ML IV</v>
      </c>
      <c r="C84" s="73" t="str">
        <f ca="1">IFERROR(__xludf.DUMMYFUNCTION("""COMPUTED_VALUE"""),"SOLUCIÒN INYECTABLE")</f>
        <v>SOLUCIÒN INYECTABLE</v>
      </c>
      <c r="D84" s="73" t="str">
        <f ca="1">IFERROR(__xludf.DUMMYFUNCTION("""COMPUTED_VALUE"""),"CIPROFLOXACINA 100ML")</f>
        <v>CIPROFLOXACINA 100ML</v>
      </c>
      <c r="E84" s="73" t="str">
        <f ca="1">IFERROR(__xludf.DUMMYFUNCTION("""COMPUTED_VALUE"""),"FARMEX")</f>
        <v>FARMEX</v>
      </c>
      <c r="F84" s="75">
        <f ca="1">IFERROR(__xludf.DUMMYFUNCTION("""COMPUTED_VALUE"""),45896)</f>
        <v>45896</v>
      </c>
      <c r="G84" s="74">
        <f ca="1">IFERROR(__xludf.DUMMYFUNCTION("""COMPUTED_VALUE"""),30)</f>
        <v>30</v>
      </c>
      <c r="H84" s="74">
        <f ca="1">IFERROR(__xludf.DUMMYFUNCTION("""COMPUTED_VALUE"""),42)</f>
        <v>42</v>
      </c>
      <c r="I84" s="74">
        <f ca="1">IFERROR(__xludf.DUMMYFUNCTION("""COMPUTED_VALUE"""),125)</f>
        <v>125</v>
      </c>
    </row>
    <row r="85" spans="2:9" ht="27" customHeight="1">
      <c r="B85" s="73" t="str">
        <f ca="1">IFERROR(__xludf.DUMMYFUNCTION("""COMPUTED_VALUE"""),"DIXAFER/ HIERRO SACAROSO")</f>
        <v>DIXAFER/ HIERRO SACAROSO</v>
      </c>
      <c r="C85" s="73" t="str">
        <f ca="1">IFERROR(__xludf.DUMMYFUNCTION("""COMPUTED_VALUE"""),"AMPOLLA 5ML")</f>
        <v>AMPOLLA 5ML</v>
      </c>
      <c r="D85" s="73" t="str">
        <f ca="1">IFERROR(__xludf.DUMMYFUNCTION("""COMPUTED_VALUE"""),"HIERRO SACARATO")</f>
        <v>HIERRO SACARATO</v>
      </c>
      <c r="E85" s="73" t="str">
        <f ca="1">IFERROR(__xludf.DUMMYFUNCTION("""COMPUTED_VALUE"""),"VITALIS")</f>
        <v>VITALIS</v>
      </c>
      <c r="F85" s="75">
        <f ca="1">IFERROR(__xludf.DUMMYFUNCTION("""COMPUTED_VALUE"""),45895)</f>
        <v>45895</v>
      </c>
      <c r="G85" s="74">
        <f ca="1">IFERROR(__xludf.DUMMYFUNCTION("""COMPUTED_VALUE"""),27.75)</f>
        <v>27.75</v>
      </c>
      <c r="H85" s="74">
        <f ca="1">IFERROR(__xludf.DUMMYFUNCTION("""COMPUTED_VALUE"""),38.85)</f>
        <v>38.85</v>
      </c>
      <c r="I85" s="74">
        <f ca="1">IFERROR(__xludf.DUMMYFUNCTION("""COMPUTED_VALUE"""),100)</f>
        <v>100</v>
      </c>
    </row>
    <row r="86" spans="2:9" ht="27" customHeight="1">
      <c r="B86" s="73" t="str">
        <f ca="1">IFERROR(__xludf.DUMMYFUNCTION("""COMPUTED_VALUE"""),"DKS")</f>
        <v>DKS</v>
      </c>
      <c r="C86" s="73" t="str">
        <f ca="1">IFERROR(__xludf.DUMMYFUNCTION("""COMPUTED_VALUE"""),"CAJA 15 GELCAPS")</f>
        <v>CAJA 15 GELCAPS</v>
      </c>
      <c r="D86" s="73" t="str">
        <f ca="1">IFERROR(__xludf.DUMMYFUNCTION("""COMPUTED_VALUE"""),"DEXKETOPROFENO 25MG.")</f>
        <v>DEXKETOPROFENO 25MG.</v>
      </c>
      <c r="E86" s="73" t="str">
        <f ca="1">IFERROR(__xludf.DUMMYFUNCTION("""COMPUTED_VALUE"""),"APS")</f>
        <v>APS</v>
      </c>
      <c r="F86" s="75">
        <f ca="1">IFERROR(__xludf.DUMMYFUNCTION("""COMPUTED_VALUE"""),45864)</f>
        <v>45864</v>
      </c>
      <c r="G86" s="74">
        <f ca="1">IFERROR(__xludf.DUMMYFUNCTION("""COMPUTED_VALUE"""),70)</f>
        <v>70</v>
      </c>
      <c r="H86" s="74">
        <f ca="1">IFERROR(__xludf.DUMMYFUNCTION("""COMPUTED_VALUE"""),98)</f>
        <v>98</v>
      </c>
      <c r="I86" s="74">
        <f ca="1">IFERROR(__xludf.DUMMYFUNCTION("""COMPUTED_VALUE"""),100)</f>
        <v>100</v>
      </c>
    </row>
    <row r="87" spans="2:9" ht="27" customHeight="1">
      <c r="B87" s="73" t="str">
        <f ca="1">IFERROR(__xludf.DUMMYFUNCTION("""COMPUTED_VALUE"""),"DOGAMIN")</f>
        <v>DOGAMIN</v>
      </c>
      <c r="C87" s="73" t="str">
        <f ca="1">IFERROR(__xludf.DUMMYFUNCTION("""COMPUTED_VALUE"""),"CAJA 30 COMPRIMIDOS")</f>
        <v>CAJA 30 COMPRIMIDOS</v>
      </c>
      <c r="D87" s="73" t="str">
        <f ca="1">IFERROR(__xludf.DUMMYFUNCTION("""COMPUTED_VALUE"""),"PREGABALINA 150MG")</f>
        <v>PREGABALINA 150MG</v>
      </c>
      <c r="E87" s="73" t="str">
        <f ca="1">IFERROR(__xludf.DUMMYFUNCTION("""COMPUTED_VALUE"""),"VIZCAINO")</f>
        <v>VIZCAINO</v>
      </c>
      <c r="F87" s="75">
        <f ca="1">IFERROR(__xludf.DUMMYFUNCTION("""COMPUTED_VALUE"""),45987)</f>
        <v>45987</v>
      </c>
      <c r="G87" s="74">
        <f ca="1">IFERROR(__xludf.DUMMYFUNCTION("""COMPUTED_VALUE"""),275.06)</f>
        <v>275.06</v>
      </c>
      <c r="H87" s="74">
        <f ca="1">IFERROR(__xludf.DUMMYFUNCTION("""COMPUTED_VALUE"""),385.084)</f>
        <v>385.084</v>
      </c>
      <c r="I87" s="74">
        <f ca="1">IFERROR(__xludf.DUMMYFUNCTION("""COMPUTED_VALUE"""),385)</f>
        <v>385</v>
      </c>
    </row>
    <row r="88" spans="2:9" ht="27" customHeight="1">
      <c r="B88" s="73" t="str">
        <f ca="1">IFERROR(__xludf.DUMMYFUNCTION("""COMPUTED_VALUE"""),"DOLO GLUCOFLEX")</f>
        <v>DOLO GLUCOFLEX</v>
      </c>
      <c r="C88" s="73" t="str">
        <f ca="1">IFERROR(__xludf.DUMMYFUNCTION("""COMPUTED_VALUE"""),"CAJA 15 SOBRES")</f>
        <v>CAJA 15 SOBRES</v>
      </c>
      <c r="D88" s="73" t="str">
        <f ca="1">IFERROR(__xludf.DUMMYFUNCTION("""COMPUTED_VALUE"""),"GLUCOSAMINA SULFATO 1500MG., MELOXICAM 15MG.")</f>
        <v>GLUCOSAMINA SULFATO 1500MG., MELOXICAM 15MG.</v>
      </c>
      <c r="E88" s="73" t="str">
        <f ca="1">IFERROR(__xludf.DUMMYFUNCTION("""COMPUTED_VALUE"""),"INFASA")</f>
        <v>INFASA</v>
      </c>
      <c r="F88" s="75">
        <f ca="1">IFERROR(__xludf.DUMMYFUNCTION("""COMPUTED_VALUE"""),45684)</f>
        <v>45684</v>
      </c>
      <c r="G88" s="74">
        <f ca="1">IFERROR(__xludf.DUMMYFUNCTION("""COMPUTED_VALUE"""),128.58)</f>
        <v>128.58000000000001</v>
      </c>
      <c r="H88" s="74">
        <f ca="1">IFERROR(__xludf.DUMMYFUNCTION("""COMPUTED_VALUE"""),180.012)</f>
        <v>180.012</v>
      </c>
      <c r="I88" s="74">
        <f ca="1">IFERROR(__xludf.DUMMYFUNCTION("""COMPUTED_VALUE"""),180)</f>
        <v>180</v>
      </c>
    </row>
    <row r="89" spans="2:9" ht="27" customHeight="1">
      <c r="B89" s="73" t="str">
        <f ca="1">IFERROR(__xludf.DUMMYFUNCTION("""COMPUTED_VALUE"""),"DOLO-BELCREVIT")</f>
        <v>DOLO-BELCREVIT</v>
      </c>
      <c r="C89" s="73" t="str">
        <f ca="1">IFERROR(__xludf.DUMMYFUNCTION("""COMPUTED_VALUE"""),"SOLUCIÒN INYECTABLE")</f>
        <v>SOLUCIÒN INYECTABLE</v>
      </c>
      <c r="D89" s="73" t="str">
        <f ca="1">IFERROR(__xludf.DUMMYFUNCTION("""COMPUTED_VALUE"""),"VITAMINAS NEUROTROPAS B1, B6, B12 + DICLOFENACO SÒDICO")</f>
        <v>VITAMINAS NEUROTROPAS B1, B6, B12 + DICLOFENACO SÒDICO</v>
      </c>
      <c r="E89" s="73" t="str">
        <f ca="1">IFERROR(__xludf.DUMMYFUNCTION("""COMPUTED_VALUE"""),"BELENPHARM")</f>
        <v>BELENPHARM</v>
      </c>
      <c r="F89" s="75">
        <f ca="1">IFERROR(__xludf.DUMMYFUNCTION("""COMPUTED_VALUE"""),45684)</f>
        <v>45684</v>
      </c>
      <c r="G89" s="74">
        <f ca="1">IFERROR(__xludf.DUMMYFUNCTION("""COMPUTED_VALUE"""),20)</f>
        <v>20</v>
      </c>
      <c r="H89" s="74">
        <f ca="1">IFERROR(__xludf.DUMMYFUNCTION("""COMPUTED_VALUE"""),28)</f>
        <v>28</v>
      </c>
      <c r="I89" s="74">
        <f ca="1">IFERROR(__xludf.DUMMYFUNCTION("""COMPUTED_VALUE"""),35)</f>
        <v>35</v>
      </c>
    </row>
    <row r="90" spans="2:9" ht="27" customHeight="1">
      <c r="B90" s="73" t="str">
        <f ca="1">IFERROR(__xludf.DUMMYFUNCTION("""COMPUTED_VALUE"""),"DOLOFORT")</f>
        <v>DOLOFORT</v>
      </c>
      <c r="C90" s="73" t="str">
        <f ca="1">IFERROR(__xludf.DUMMYFUNCTION("""COMPUTED_VALUE"""),"SOLUCIÒN INYECTABLE 5ML")</f>
        <v>SOLUCIÒN INYECTABLE 5ML</v>
      </c>
      <c r="D90" s="73" t="str">
        <f ca="1">IFERROR(__xludf.DUMMYFUNCTION("""COMPUTED_VALUE"""),"DIPIRONA MAGNÈSICA 2G/5ML")</f>
        <v>DIPIRONA MAGNÈSICA 2G/5ML</v>
      </c>
      <c r="E90" s="73" t="str">
        <f ca="1">IFERROR(__xludf.DUMMYFUNCTION("""COMPUTED_VALUE"""),"UNIPHARM")</f>
        <v>UNIPHARM</v>
      </c>
      <c r="F90" s="75">
        <f ca="1">IFERROR(__xludf.DUMMYFUNCTION("""COMPUTED_VALUE"""),45683)</f>
        <v>45683</v>
      </c>
      <c r="G90" s="74">
        <f ca="1">IFERROR(__xludf.DUMMYFUNCTION("""COMPUTED_VALUE"""),15)</f>
        <v>15</v>
      </c>
      <c r="H90" s="74">
        <f ca="1">IFERROR(__xludf.DUMMYFUNCTION("""COMPUTED_VALUE"""),21)</f>
        <v>21</v>
      </c>
      <c r="I90" s="74">
        <f ca="1">IFERROR(__xludf.DUMMYFUNCTION("""COMPUTED_VALUE"""),30)</f>
        <v>30</v>
      </c>
    </row>
    <row r="91" spans="2:9" ht="27" customHeight="1">
      <c r="B91" s="73" t="str">
        <f ca="1">IFERROR(__xludf.DUMMYFUNCTION("""COMPUTED_VALUE"""),"DOLOSAL (MEPERIDINA)")</f>
        <v>DOLOSAL (MEPERIDINA)</v>
      </c>
      <c r="C91" s="73" t="str">
        <f ca="1">IFERROR(__xludf.DUMMYFUNCTION("""COMPUTED_VALUE"""),"AMPOLLA")</f>
        <v>AMPOLLA</v>
      </c>
      <c r="D91" s="73" t="str">
        <f ca="1">IFERROR(__xludf.DUMMYFUNCTION("""COMPUTED_VALUE"""),"DEMEROL")</f>
        <v>DEMEROL</v>
      </c>
      <c r="E91" s="73" t="str">
        <f ca="1">IFERROR(__xludf.DUMMYFUNCTION("""COMPUTED_VALUE"""),"BONIN")</f>
        <v>BONIN</v>
      </c>
      <c r="F91" s="75">
        <f ca="1">IFERROR(__xludf.DUMMYFUNCTION("""COMPUTED_VALUE"""),45686)</f>
        <v>45686</v>
      </c>
      <c r="G91" s="74">
        <f ca="1">IFERROR(__xludf.DUMMYFUNCTION("""COMPUTED_VALUE"""),52.5)</f>
        <v>52.5</v>
      </c>
      <c r="H91" s="74">
        <f ca="1">IFERROR(__xludf.DUMMYFUNCTION("""COMPUTED_VALUE"""),73.5)</f>
        <v>73.5</v>
      </c>
      <c r="I91" s="74">
        <f ca="1">IFERROR(__xludf.DUMMYFUNCTION("""COMPUTED_VALUE"""),100)</f>
        <v>100</v>
      </c>
    </row>
    <row r="92" spans="2:9" ht="27" customHeight="1">
      <c r="B92" s="73" t="str">
        <f ca="1">IFERROR(__xludf.DUMMYFUNCTION("""COMPUTED_VALUE"""),"DOTRAM")</f>
        <v>DOTRAM</v>
      </c>
      <c r="C92" s="73" t="str">
        <f ca="1">IFERROR(__xludf.DUMMYFUNCTION("""COMPUTED_VALUE"""),"SUSPENSION 60ML")</f>
        <v>SUSPENSION 60ML</v>
      </c>
      <c r="D92" s="73" t="str">
        <f ca="1">IFERROR(__xludf.DUMMYFUNCTION("""COMPUTED_VALUE"""),"CLARITROMICINA 250MG/5ML")</f>
        <v>CLARITROMICINA 250MG/5ML</v>
      </c>
      <c r="E92" s="73" t="str">
        <f ca="1">IFERROR(__xludf.DUMMYFUNCTION("""COMPUTED_VALUE"""),"PHARMADEL")</f>
        <v>PHARMADEL</v>
      </c>
      <c r="F92" s="75">
        <f ca="1">IFERROR(__xludf.DUMMYFUNCTION("""COMPUTED_VALUE"""),45685)</f>
        <v>45685</v>
      </c>
      <c r="G92" s="74">
        <f ca="1">IFERROR(__xludf.DUMMYFUNCTION("""COMPUTED_VALUE"""),86.5)</f>
        <v>86.5</v>
      </c>
      <c r="H92" s="74">
        <f ca="1">IFERROR(__xludf.DUMMYFUNCTION("""COMPUTED_VALUE"""),121.1)</f>
        <v>121.1</v>
      </c>
      <c r="I92" s="74">
        <f ca="1">IFERROR(__xludf.DUMMYFUNCTION("""COMPUTED_VALUE"""),150)</f>
        <v>150</v>
      </c>
    </row>
    <row r="93" spans="2:9" ht="27" customHeight="1">
      <c r="B93" s="73" t="str">
        <f ca="1">IFERROR(__xludf.DUMMYFUNCTION("""COMPUTED_VALUE"""),"DOXILIN")</f>
        <v>DOXILIN</v>
      </c>
      <c r="C93" s="73" t="str">
        <f ca="1">IFERROR(__xludf.DUMMYFUNCTION("""COMPUTED_VALUE"""),"CAJA 10 CAPSULAS")</f>
        <v>CAJA 10 CAPSULAS</v>
      </c>
      <c r="D93" s="73" t="str">
        <f ca="1">IFERROR(__xludf.DUMMYFUNCTION("""COMPUTED_VALUE"""),"DOXICICLINA 100MG")</f>
        <v>DOXICICLINA 100MG</v>
      </c>
      <c r="E93" s="73" t="str">
        <f ca="1">IFERROR(__xludf.DUMMYFUNCTION("""COMPUTED_VALUE"""),"PHARBEST, S.A.")</f>
        <v>PHARBEST, S.A.</v>
      </c>
      <c r="F93" s="75">
        <f ca="1">IFERROR(__xludf.DUMMYFUNCTION("""COMPUTED_VALUE"""),45958)</f>
        <v>45958</v>
      </c>
      <c r="G93" s="74">
        <f ca="1">IFERROR(__xludf.DUMMYFUNCTION("""COMPUTED_VALUE"""),153.81)</f>
        <v>153.81</v>
      </c>
      <c r="H93" s="74">
        <f ca="1">IFERROR(__xludf.DUMMYFUNCTION("""COMPUTED_VALUE"""),215.334)</f>
        <v>215.334</v>
      </c>
      <c r="I93" s="74">
        <f ca="1">IFERROR(__xludf.DUMMYFUNCTION("""COMPUTED_VALUE"""),215)</f>
        <v>215</v>
      </c>
    </row>
    <row r="94" spans="2:9" ht="27" customHeight="1">
      <c r="B94" s="73" t="str">
        <f ca="1">IFERROR(__xludf.DUMMYFUNCTION("""COMPUTED_VALUE"""),"DYNAMOGEN")</f>
        <v>DYNAMOGEN</v>
      </c>
      <c r="C94" s="73" t="str">
        <f ca="1">IFERROR(__xludf.DUMMYFUNCTION("""COMPUTED_VALUE"""),"CAJA 20 AMPOLLAS BEBIBLES")</f>
        <v>CAJA 20 AMPOLLAS BEBIBLES</v>
      </c>
      <c r="D94" s="73" t="str">
        <f ca="1">IFERROR(__xludf.DUMMYFUNCTION("""COMPUTED_VALUE"""),"VIALES")</f>
        <v>VIALES</v>
      </c>
      <c r="E94" s="73" t="str">
        <f ca="1">IFERROR(__xludf.DUMMYFUNCTION("""COMPUTED_VALUE"""),"FAES FARMA")</f>
        <v>FAES FARMA</v>
      </c>
      <c r="F94" s="75">
        <f ca="1">IFERROR(__xludf.DUMMYFUNCTION("""COMPUTED_VALUE"""),46018)</f>
        <v>46018</v>
      </c>
      <c r="G94" s="74">
        <f ca="1">IFERROR(__xludf.DUMMYFUNCTION("""COMPUTED_VALUE"""),173.93)</f>
        <v>173.93</v>
      </c>
      <c r="H94" s="74">
        <f ca="1">IFERROR(__xludf.DUMMYFUNCTION("""COMPUTED_VALUE"""),243.502)</f>
        <v>243.50200000000001</v>
      </c>
      <c r="I94" s="74">
        <f ca="1">IFERROR(__xludf.DUMMYFUNCTION("""COMPUTED_VALUE"""),245)</f>
        <v>245</v>
      </c>
    </row>
    <row r="95" spans="2:9" ht="27" customHeight="1">
      <c r="B95" s="73" t="str">
        <f ca="1">IFERROR(__xludf.DUMMYFUNCTION("""COMPUTED_VALUE"""),"EFEDRINA")</f>
        <v>EFEDRINA</v>
      </c>
      <c r="C95" s="73" t="str">
        <f ca="1">IFERROR(__xludf.DUMMYFUNCTION("""COMPUTED_VALUE"""),"AMPOLLA")</f>
        <v>AMPOLLA</v>
      </c>
      <c r="D95" s="73" t="str">
        <f ca="1">IFERROR(__xludf.DUMMYFUNCTION("""COMPUTED_VALUE"""),"EFEDRINA HCI 50MG/1ML")</f>
        <v>EFEDRINA HCI 50MG/1ML</v>
      </c>
      <c r="E95" s="73" t="str">
        <f ca="1">IFERROR(__xludf.DUMMYFUNCTION("""COMPUTED_VALUE"""),"VIZCAINO")</f>
        <v>VIZCAINO</v>
      </c>
      <c r="F95" s="75">
        <f ca="1">IFERROR(__xludf.DUMMYFUNCTION("""COMPUTED_VALUE"""),45896)</f>
        <v>45896</v>
      </c>
      <c r="G95" s="74">
        <f ca="1">IFERROR(__xludf.DUMMYFUNCTION("""COMPUTED_VALUE"""),52.5)</f>
        <v>52.5</v>
      </c>
      <c r="H95" s="74">
        <f ca="1">IFERROR(__xludf.DUMMYFUNCTION("""COMPUTED_VALUE"""),73.5)</f>
        <v>73.5</v>
      </c>
      <c r="I95" s="74">
        <f ca="1">IFERROR(__xludf.DUMMYFUNCTION("""COMPUTED_VALUE"""),75)</f>
        <v>75</v>
      </c>
    </row>
    <row r="96" spans="2:9" ht="27" customHeight="1">
      <c r="B96" s="73" t="str">
        <f ca="1">IFERROR(__xludf.DUMMYFUNCTION("""COMPUTED_VALUE"""),"ENEMA FLEET")</f>
        <v>ENEMA FLEET</v>
      </c>
      <c r="C96" s="73" t="str">
        <f ca="1">IFERROR(__xludf.DUMMYFUNCTION("""COMPUTED_VALUE"""),"FRASCO 133ML")</f>
        <v>FRASCO 133ML</v>
      </c>
      <c r="D96" s="73" t="str">
        <f ca="1">IFERROR(__xludf.DUMMYFUNCTION("""COMPUTED_VALUE"""),"SOLUCIÓN SALINA LAXANTE, USO RECTAL")</f>
        <v>SOLUCIÓN SALINA LAXANTE, USO RECTAL</v>
      </c>
      <c r="E96" s="73" t="str">
        <f ca="1">IFERROR(__xludf.DUMMYFUNCTION("""COMPUTED_VALUE"""),"H&amp;L")</f>
        <v>H&amp;L</v>
      </c>
      <c r="F96" s="75">
        <f ca="1">IFERROR(__xludf.DUMMYFUNCTION("""COMPUTED_VALUE"""),45926)</f>
        <v>45926</v>
      </c>
      <c r="G96" s="74">
        <f ca="1">IFERROR(__xludf.DUMMYFUNCTION("""COMPUTED_VALUE"""),27.9)</f>
        <v>27.9</v>
      </c>
      <c r="H96" s="74">
        <f ca="1">IFERROR(__xludf.DUMMYFUNCTION("""COMPUTED_VALUE"""),39.06)</f>
        <v>39.06</v>
      </c>
      <c r="I96" s="74">
        <f ca="1">IFERROR(__xludf.DUMMYFUNCTION("""COMPUTED_VALUE"""),45)</f>
        <v>45</v>
      </c>
    </row>
    <row r="97" spans="2:9" ht="27" customHeight="1">
      <c r="B97" s="73" t="str">
        <f ca="1">IFERROR(__xludf.DUMMYFUNCTION("""COMPUTED_VALUE"""),"ENOXAPARINA")</f>
        <v>ENOXAPARINA</v>
      </c>
      <c r="C97" s="73" t="str">
        <f ca="1">IFERROR(__xludf.DUMMYFUNCTION("""COMPUTED_VALUE"""),"AMPOLLA")</f>
        <v>AMPOLLA</v>
      </c>
      <c r="D97" s="73" t="str">
        <f ca="1">IFERROR(__xludf.DUMMYFUNCTION("""COMPUTED_VALUE"""),"ENOXAPARINA")</f>
        <v>ENOXAPARINA</v>
      </c>
      <c r="E97" s="73" t="str">
        <f ca="1">IFERROR(__xludf.DUMMYFUNCTION("""COMPUTED_VALUE"""),"BONIN")</f>
        <v>BONIN</v>
      </c>
      <c r="F97" s="75">
        <f ca="1">IFERROR(__xludf.DUMMYFUNCTION("""COMPUTED_VALUE"""),45987)</f>
        <v>45987</v>
      </c>
      <c r="G97" s="74">
        <f ca="1">IFERROR(__xludf.DUMMYFUNCTION("""COMPUTED_VALUE"""),193.6)</f>
        <v>193.6</v>
      </c>
      <c r="H97" s="74">
        <f ca="1">IFERROR(__xludf.DUMMYFUNCTION("""COMPUTED_VALUE"""),271.039999999999)</f>
        <v>271.039999999999</v>
      </c>
      <c r="I97" s="74">
        <f ca="1">IFERROR(__xludf.DUMMYFUNCTION("""COMPUTED_VALUE"""),275)</f>
        <v>275</v>
      </c>
    </row>
    <row r="98" spans="2:9" ht="27" customHeight="1">
      <c r="B98" s="73" t="str">
        <f ca="1">IFERROR(__xludf.DUMMYFUNCTION("""COMPUTED_VALUE"""),"EQUILIV")</f>
        <v>EQUILIV</v>
      </c>
      <c r="C98" s="73" t="str">
        <f ca="1">IFERROR(__xludf.DUMMYFUNCTION("""COMPUTED_VALUE"""),"GOTAS ORALES")</f>
        <v>GOTAS ORALES</v>
      </c>
      <c r="D98" s="73" t="str">
        <f ca="1">IFERROR(__xludf.DUMMYFUNCTION("""COMPUTED_VALUE"""),"CLONAZEPAN 2.5MG")</f>
        <v>CLONAZEPAN 2.5MG</v>
      </c>
      <c r="E98" s="73" t="str">
        <f ca="1">IFERROR(__xludf.DUMMYFUNCTION("""COMPUTED_VALUE"""),"MEDPHARMA")</f>
        <v>MEDPHARMA</v>
      </c>
      <c r="F98" s="75">
        <f ca="1">IFERROR(__xludf.DUMMYFUNCTION("""COMPUTED_VALUE"""),45987)</f>
        <v>45987</v>
      </c>
      <c r="G98" s="74">
        <f ca="1">IFERROR(__xludf.DUMMYFUNCTION("""COMPUTED_VALUE"""),78.4)</f>
        <v>78.400000000000006</v>
      </c>
      <c r="H98" s="74">
        <f ca="1">IFERROR(__xludf.DUMMYFUNCTION("""COMPUTED_VALUE"""),109.76)</f>
        <v>109.76</v>
      </c>
      <c r="I98" s="74">
        <f ca="1">IFERROR(__xludf.DUMMYFUNCTION("""COMPUTED_VALUE"""),110)</f>
        <v>110</v>
      </c>
    </row>
    <row r="99" spans="2:9" ht="27" customHeight="1">
      <c r="B99" s="73" t="str">
        <f ca="1">IFERROR(__xludf.DUMMYFUNCTION("""COMPUTED_VALUE"""),"ERITROPROYECTINA")</f>
        <v>ERITROPROYECTINA</v>
      </c>
      <c r="C99" s="73" t="str">
        <f ca="1">IFERROR(__xludf.DUMMYFUNCTION("""COMPUTED_VALUE"""),"AMPOLLA")</f>
        <v>AMPOLLA</v>
      </c>
      <c r="D99" s="73" t="str">
        <f ca="1">IFERROR(__xludf.DUMMYFUNCTION("""COMPUTED_VALUE"""),"ERITROPROYECTINA")</f>
        <v>ERITROPROYECTINA</v>
      </c>
      <c r="E99" s="73" t="str">
        <f ca="1">IFERROR(__xludf.DUMMYFUNCTION("""COMPUTED_VALUE"""),"MEGALABS")</f>
        <v>MEGALABS</v>
      </c>
      <c r="F99" s="75">
        <f ca="1">IFERROR(__xludf.DUMMYFUNCTION("""COMPUTED_VALUE"""),45987)</f>
        <v>45987</v>
      </c>
      <c r="G99" s="74">
        <f ca="1">IFERROR(__xludf.DUMMYFUNCTION("""COMPUTED_VALUE"""),78.53)</f>
        <v>78.53</v>
      </c>
      <c r="H99" s="74">
        <f ca="1">IFERROR(__xludf.DUMMYFUNCTION("""COMPUTED_VALUE"""),109.942)</f>
        <v>109.94199999999999</v>
      </c>
      <c r="I99" s="74">
        <f ca="1">IFERROR(__xludf.DUMMYFUNCTION("""COMPUTED_VALUE"""),150)</f>
        <v>150</v>
      </c>
    </row>
    <row r="100" spans="2:9" ht="27" customHeight="1">
      <c r="B100" s="73" t="str">
        <f ca="1">IFERROR(__xludf.DUMMYFUNCTION("""COMPUTED_VALUE"""),"ESKAPAR COMPUESTO")</f>
        <v>ESKAPAR COMPUESTO</v>
      </c>
      <c r="C100" s="73" t="str">
        <f ca="1">IFERROR(__xludf.DUMMYFUNCTION("""COMPUTED_VALUE"""),"CAJA DE 20 CAPSULAS")</f>
        <v>CAJA DE 20 CAPSULAS</v>
      </c>
      <c r="D100" s="73" t="str">
        <f ca="1">IFERROR(__xludf.DUMMYFUNCTION("""COMPUTED_VALUE"""),"NIFUROXAZIDA/METRONIDAZOL")</f>
        <v>NIFUROXAZIDA/METRONIDAZOL</v>
      </c>
      <c r="E100" s="73" t="str">
        <f ca="1">IFERROR(__xludf.DUMMYFUNCTION("""COMPUTED_VALUE"""),"RESCO")</f>
        <v>RESCO</v>
      </c>
      <c r="F100" s="75">
        <f ca="1">IFERROR(__xludf.DUMMYFUNCTION("""COMPUTED_VALUE"""),45864)</f>
        <v>45864</v>
      </c>
      <c r="G100" s="74">
        <f ca="1">IFERROR(__xludf.DUMMYFUNCTION("""COMPUTED_VALUE"""),67.64)</f>
        <v>67.64</v>
      </c>
      <c r="H100" s="74">
        <f ca="1">IFERROR(__xludf.DUMMYFUNCTION("""COMPUTED_VALUE"""),94.696)</f>
        <v>94.695999999999998</v>
      </c>
      <c r="I100" s="74">
        <f ca="1">IFERROR(__xludf.DUMMYFUNCTION("""COMPUTED_VALUE"""),95)</f>
        <v>95</v>
      </c>
    </row>
    <row r="101" spans="2:9" ht="27" customHeight="1">
      <c r="B101" s="73" t="str">
        <f ca="1">IFERROR(__xludf.DUMMYFUNCTION("""COMPUTED_VALUE"""),"ESPASMO DIGESTONE")</f>
        <v>ESPASMO DIGESTONE</v>
      </c>
      <c r="C101" s="73" t="str">
        <f ca="1">IFERROR(__xludf.DUMMYFUNCTION("""COMPUTED_VALUE"""),"BLISTER DE 10 TAB.")</f>
        <v>BLISTER DE 10 TAB.</v>
      </c>
      <c r="D101" s="73" t="str">
        <f ca="1">IFERROR(__xludf.DUMMYFUNCTION("""COMPUTED_VALUE"""),"PANCREATINA, SIMETICONA, LACTOSA Y OTROS")</f>
        <v>PANCREATINA, SIMETICONA, LACTOSA Y OTROS</v>
      </c>
      <c r="E101" s="73" t="str">
        <f ca="1">IFERROR(__xludf.DUMMYFUNCTION("""COMPUTED_VALUE"""),"MENARINI")</f>
        <v>MENARINI</v>
      </c>
      <c r="F101" s="75">
        <f ca="1">IFERROR(__xludf.DUMMYFUNCTION("""COMPUTED_VALUE"""),45988)</f>
        <v>45988</v>
      </c>
      <c r="G101" s="74">
        <f ca="1">IFERROR(__xludf.DUMMYFUNCTION("""COMPUTED_VALUE"""),49.49)</f>
        <v>49.49</v>
      </c>
      <c r="H101" s="74">
        <f ca="1">IFERROR(__xludf.DUMMYFUNCTION("""COMPUTED_VALUE"""),69.286)</f>
        <v>69.286000000000001</v>
      </c>
      <c r="I101" s="74">
        <f ca="1">IFERROR(__xludf.DUMMYFUNCTION("""COMPUTED_VALUE"""),70)</f>
        <v>70</v>
      </c>
    </row>
    <row r="102" spans="2:9" ht="27" customHeight="1">
      <c r="B102" s="73" t="str">
        <f ca="1">IFERROR(__xludf.DUMMYFUNCTION("""COMPUTED_VALUE"""),"EUROCLIN")</f>
        <v>EUROCLIN</v>
      </c>
      <c r="C102" s="73" t="str">
        <f ca="1">IFERROR(__xludf.DUMMYFUNCTION("""COMPUTED_VALUE"""),"CAJA 30 CAPSULAS")</f>
        <v>CAJA 30 CAPSULAS</v>
      </c>
      <c r="D102" s="73" t="str">
        <f ca="1">IFERROR(__xludf.DUMMYFUNCTION("""COMPUTED_VALUE"""),"CLINDAMICINA 300MG.")</f>
        <v>CLINDAMICINA 300MG.</v>
      </c>
      <c r="E102" s="73" t="str">
        <f ca="1">IFERROR(__xludf.DUMMYFUNCTION("""COMPUTED_VALUE"""),"CHALVER")</f>
        <v>CHALVER</v>
      </c>
      <c r="F102" s="75">
        <f ca="1">IFERROR(__xludf.DUMMYFUNCTION("""COMPUTED_VALUE"""),45715)</f>
        <v>45715</v>
      </c>
      <c r="G102" s="74">
        <f ca="1">IFERROR(__xludf.DUMMYFUNCTION("""COMPUTED_VALUE"""),172.88)</f>
        <v>172.88</v>
      </c>
      <c r="H102" s="74">
        <f ca="1">IFERROR(__xludf.DUMMYFUNCTION("""COMPUTED_VALUE"""),242.031999999999)</f>
        <v>242.03199999999899</v>
      </c>
      <c r="I102" s="74">
        <f ca="1">IFERROR(__xludf.DUMMYFUNCTION("""COMPUTED_VALUE"""),245)</f>
        <v>245</v>
      </c>
    </row>
    <row r="103" spans="2:9" ht="27" customHeight="1">
      <c r="B103" s="73" t="str">
        <f ca="1">IFERROR(__xludf.DUMMYFUNCTION("""COMPUTED_VALUE"""),"EVECARE")</f>
        <v>EVECARE</v>
      </c>
      <c r="C103" s="73" t="str">
        <f ca="1">IFERROR(__xludf.DUMMYFUNCTION("""COMPUTED_VALUE"""),"FRASCO DE 30 TAB.")</f>
        <v>FRASCO DE 30 TAB.</v>
      </c>
      <c r="D103" s="73" t="str">
        <f ca="1">IFERROR(__xludf.DUMMYFUNCTION("""COMPUTED_VALUE"""),"CAPSULAS")</f>
        <v>CAPSULAS</v>
      </c>
      <c r="E103" s="73" t="str">
        <f ca="1">IFERROR(__xludf.DUMMYFUNCTION("""COMPUTED_VALUE"""),"HIMALAYA")</f>
        <v>HIMALAYA</v>
      </c>
      <c r="F103" s="75">
        <f ca="1">IFERROR(__xludf.DUMMYFUNCTION("""COMPUTED_VALUE"""),45684)</f>
        <v>45684</v>
      </c>
      <c r="G103" s="74">
        <f ca="1">IFERROR(__xludf.DUMMYFUNCTION("""COMPUTED_VALUE"""),114.04)</f>
        <v>114.04</v>
      </c>
      <c r="H103" s="74">
        <f ca="1">IFERROR(__xludf.DUMMYFUNCTION("""COMPUTED_VALUE"""),159.656)</f>
        <v>159.65600000000001</v>
      </c>
      <c r="I103" s="74">
        <f ca="1">IFERROR(__xludf.DUMMYFUNCTION("""COMPUTED_VALUE"""),160)</f>
        <v>160</v>
      </c>
    </row>
    <row r="104" spans="2:9" ht="27" customHeight="1">
      <c r="B104" s="73" t="str">
        <f ca="1">IFERROR(__xludf.DUMMYFUNCTION("""COMPUTED_VALUE"""),"EXKEN DEXEKETOFRENO")</f>
        <v>EXKEN DEXEKETOFRENO</v>
      </c>
      <c r="C104" s="73" t="str">
        <f ca="1">IFERROR(__xludf.DUMMYFUNCTION("""COMPUTED_VALUE"""),"CAJA 10 TABLETAS")</f>
        <v>CAJA 10 TABLETAS</v>
      </c>
      <c r="D104" s="73" t="str">
        <f ca="1">IFERROR(__xludf.DUMMYFUNCTION("""COMPUTED_VALUE"""),"PARACETAMOL TROMETAMOL 25MG")</f>
        <v>PARACETAMOL TROMETAMOL 25MG</v>
      </c>
      <c r="E104" s="73" t="str">
        <f ca="1">IFERROR(__xludf.DUMMYFUNCTION("""COMPUTED_VALUE"""),"PHARA")</f>
        <v>PHARA</v>
      </c>
      <c r="F104" s="75">
        <f ca="1">IFERROR(__xludf.DUMMYFUNCTION("""COMPUTED_VALUE"""),45683)</f>
        <v>45683</v>
      </c>
      <c r="G104" s="74">
        <f ca="1">IFERROR(__xludf.DUMMYFUNCTION("""COMPUTED_VALUE"""),78.65)</f>
        <v>78.650000000000006</v>
      </c>
      <c r="H104" s="74">
        <f ca="1">IFERROR(__xludf.DUMMYFUNCTION("""COMPUTED_VALUE"""),110.11)</f>
        <v>110.11</v>
      </c>
      <c r="I104" s="74">
        <f ca="1">IFERROR(__xludf.DUMMYFUNCTION("""COMPUTED_VALUE"""),100)</f>
        <v>100</v>
      </c>
    </row>
    <row r="105" spans="2:9" ht="27" customHeight="1">
      <c r="B105" s="73" t="str">
        <f ca="1">IFERROR(__xludf.DUMMYFUNCTION("""COMPUTED_VALUE"""),"FEMTRIOL CREMA VAGINAL")</f>
        <v>FEMTRIOL CREMA VAGINAL</v>
      </c>
      <c r="C105" s="73" t="str">
        <f ca="1">IFERROR(__xludf.DUMMYFUNCTION("""COMPUTED_VALUE"""),"CAJA 5 APLICADORES")</f>
        <v>CAJA 5 APLICADORES</v>
      </c>
      <c r="D105" s="73" t="str">
        <f ca="1">IFERROR(__xludf.DUMMYFUNCTION("""COMPUTED_VALUE"""),"ESTRIOL 0,1G")</f>
        <v>ESTRIOL 0,1G</v>
      </c>
      <c r="E105" s="73" t="str">
        <f ca="1">IFERROR(__xludf.DUMMYFUNCTION("""COMPUTED_VALUE"""),"CHALVER")</f>
        <v>CHALVER</v>
      </c>
      <c r="F105" s="75">
        <f ca="1">IFERROR(__xludf.DUMMYFUNCTION("""COMPUTED_VALUE"""),45987)</f>
        <v>45987</v>
      </c>
      <c r="G105" s="74">
        <f ca="1">IFERROR(__xludf.DUMMYFUNCTION("""COMPUTED_VALUE"""),193.86)</f>
        <v>193.86</v>
      </c>
      <c r="H105" s="74">
        <f ca="1">IFERROR(__xludf.DUMMYFUNCTION("""COMPUTED_VALUE"""),271.404)</f>
        <v>271.404</v>
      </c>
      <c r="I105" s="74">
        <f ca="1">IFERROR(__xludf.DUMMYFUNCTION("""COMPUTED_VALUE"""),270)</f>
        <v>270</v>
      </c>
    </row>
    <row r="106" spans="2:9" ht="27" customHeight="1">
      <c r="B106" s="73" t="str">
        <f ca="1">IFERROR(__xludf.DUMMYFUNCTION("""COMPUTED_VALUE"""),"FENITOINA SODICA")</f>
        <v>FENITOINA SODICA</v>
      </c>
      <c r="C106" s="73" t="str">
        <f ca="1">IFERROR(__xludf.DUMMYFUNCTION("""COMPUTED_VALUE"""),"AMPOLLA")</f>
        <v>AMPOLLA</v>
      </c>
      <c r="D106" s="73" t="str">
        <f ca="1">IFERROR(__xludf.DUMMYFUNCTION("""COMPUTED_VALUE"""),"FENITOINA SODICA")</f>
        <v>FENITOINA SODICA</v>
      </c>
      <c r="E106" s="73" t="str">
        <f ca="1">IFERROR(__xludf.DUMMYFUNCTION("""COMPUTED_VALUE"""),"H&amp;L")</f>
        <v>H&amp;L</v>
      </c>
      <c r="F106" s="75">
        <f ca="1">IFERROR(__xludf.DUMMYFUNCTION("""COMPUTED_VALUE"""),45987)</f>
        <v>45987</v>
      </c>
      <c r="G106" s="74">
        <f ca="1">IFERROR(__xludf.DUMMYFUNCTION("""COMPUTED_VALUE"""),62.5)</f>
        <v>62.5</v>
      </c>
      <c r="H106" s="74">
        <f ca="1">IFERROR(__xludf.DUMMYFUNCTION("""COMPUTED_VALUE"""),87.5)</f>
        <v>87.5</v>
      </c>
      <c r="I106" s="74">
        <f ca="1">IFERROR(__xludf.DUMMYFUNCTION("""COMPUTED_VALUE"""),90)</f>
        <v>90</v>
      </c>
    </row>
    <row r="107" spans="2:9" ht="27" customHeight="1">
      <c r="B107" s="73" t="str">
        <f ca="1">IFERROR(__xludf.DUMMYFUNCTION("""COMPUTED_VALUE"""),"FENTANILO")</f>
        <v>FENTANILO</v>
      </c>
      <c r="C107" s="73" t="str">
        <f ca="1">IFERROR(__xludf.DUMMYFUNCTION("""COMPUTED_VALUE"""),"AMPOLLA 0.05MG/2ML")</f>
        <v>AMPOLLA 0.05MG/2ML</v>
      </c>
      <c r="D107" s="73" t="str">
        <f ca="1">IFERROR(__xludf.DUMMYFUNCTION("""COMPUTED_VALUE"""),"FENTANILO")</f>
        <v>FENTANILO</v>
      </c>
      <c r="E107" s="73" t="str">
        <f ca="1">IFERROR(__xludf.DUMMYFUNCTION("""COMPUTED_VALUE"""),"VIZCAINO")</f>
        <v>VIZCAINO</v>
      </c>
      <c r="F107" s="75">
        <f ca="1">IFERROR(__xludf.DUMMYFUNCTION("""COMPUTED_VALUE"""),45834)</f>
        <v>45834</v>
      </c>
      <c r="G107" s="74">
        <f ca="1">IFERROR(__xludf.DUMMYFUNCTION("""COMPUTED_VALUE"""),22)</f>
        <v>22</v>
      </c>
      <c r="H107" s="74">
        <f ca="1">IFERROR(__xludf.DUMMYFUNCTION("""COMPUTED_VALUE"""),30.8)</f>
        <v>30.8</v>
      </c>
      <c r="I107" s="74">
        <f ca="1">IFERROR(__xludf.DUMMYFUNCTION("""COMPUTED_VALUE"""),65)</f>
        <v>65</v>
      </c>
    </row>
    <row r="108" spans="2:9" ht="27" customHeight="1">
      <c r="B108" s="73" t="str">
        <f ca="1">IFERROR(__xludf.DUMMYFUNCTION("""COMPUTED_VALUE"""),"FE-Q800")</f>
        <v>FE-Q800</v>
      </c>
      <c r="C108" s="73" t="str">
        <f ca="1">IFERROR(__xludf.DUMMYFUNCTION("""COMPUTED_VALUE"""),"CAJA DE 28 TAB.")</f>
        <v>CAJA DE 28 TAB.</v>
      </c>
      <c r="D108" s="73" t="str">
        <f ca="1">IFERROR(__xludf.DUMMYFUNCTION("""COMPUTED_VALUE"""),"HIERRO AMINOQUELADO, ACIDO FOLICO, CIANOCOBALAMINA")</f>
        <v>HIERRO AMINOQUELADO, ACIDO FOLICO, CIANOCOBALAMINA</v>
      </c>
      <c r="E108" s="73" t="str">
        <f ca="1">IFERROR(__xludf.DUMMYFUNCTION("""COMPUTED_VALUE"""),"COIDE S.A.")</f>
        <v>COIDE S.A.</v>
      </c>
      <c r="F108" s="75">
        <f ca="1">IFERROR(__xludf.DUMMYFUNCTION("""COMPUTED_VALUE"""),45987)</f>
        <v>45987</v>
      </c>
      <c r="G108" s="74">
        <f ca="1">IFERROR(__xludf.DUMMYFUNCTION("""COMPUTED_VALUE"""),45.4)</f>
        <v>45.4</v>
      </c>
      <c r="H108" s="74">
        <f ca="1">IFERROR(__xludf.DUMMYFUNCTION("""COMPUTED_VALUE"""),63.56)</f>
        <v>63.56</v>
      </c>
      <c r="I108" s="74">
        <f ca="1">IFERROR(__xludf.DUMMYFUNCTION("""COMPUTED_VALUE"""),90)</f>
        <v>90</v>
      </c>
    </row>
    <row r="109" spans="2:9" ht="27" customHeight="1">
      <c r="B109" s="73" t="str">
        <f ca="1">IFERROR(__xludf.DUMMYFUNCTION("""COMPUTED_VALUE"""),"FERKEL")</f>
        <v>FERKEL</v>
      </c>
      <c r="C109" s="73" t="str">
        <f ca="1">IFERROR(__xludf.DUMMYFUNCTION("""COMPUTED_VALUE"""),"GOTERO 30ML")</f>
        <v>GOTERO 30ML</v>
      </c>
      <c r="D109" s="73" t="str">
        <f ca="1">IFERROR(__xludf.DUMMYFUNCTION("""COMPUTED_VALUE"""),"HIERRO AMINOQUELADO")</f>
        <v>HIERRO AMINOQUELADO</v>
      </c>
      <c r="E109" s="73" t="str">
        <f ca="1">IFERROR(__xludf.DUMMYFUNCTION("""COMPUTED_VALUE"""),"INFASA")</f>
        <v>INFASA</v>
      </c>
      <c r="F109" s="75">
        <f ca="1">IFERROR(__xludf.DUMMYFUNCTION("""COMPUTED_VALUE"""),45803)</f>
        <v>45803</v>
      </c>
      <c r="G109" s="74">
        <f ca="1">IFERROR(__xludf.DUMMYFUNCTION("""COMPUTED_VALUE"""),38.06)</f>
        <v>38.06</v>
      </c>
      <c r="H109" s="74">
        <f ca="1">IFERROR(__xludf.DUMMYFUNCTION("""COMPUTED_VALUE"""),53.284)</f>
        <v>53.283999999999999</v>
      </c>
      <c r="I109" s="74">
        <f ca="1">IFERROR(__xludf.DUMMYFUNCTION("""COMPUTED_VALUE"""),60)</f>
        <v>60</v>
      </c>
    </row>
    <row r="110" spans="2:9" ht="27" customHeight="1">
      <c r="B110" s="73" t="str">
        <f ca="1">IFERROR(__xludf.DUMMYFUNCTION("""COMPUTED_VALUE"""),"FILINAR G")</f>
        <v>FILINAR G</v>
      </c>
      <c r="C110" s="73" t="str">
        <f ca="1">IFERROR(__xludf.DUMMYFUNCTION("""COMPUTED_VALUE"""),"FRASCO 120 ML.")</f>
        <v>FRASCO 120 ML.</v>
      </c>
      <c r="D110" s="73" t="str">
        <f ca="1">IFERROR(__xludf.DUMMYFUNCTION("""COMPUTED_VALUE"""),"ACEBROFILINA 5ML")</f>
        <v>ACEBROFILINA 5ML</v>
      </c>
      <c r="E110" s="73" t="str">
        <f ca="1">IFERROR(__xludf.DUMMYFUNCTION("""COMPUTED_VALUE"""),"COIDE S.A.")</f>
        <v>COIDE S.A.</v>
      </c>
      <c r="F110" s="75">
        <f ca="1">IFERROR(__xludf.DUMMYFUNCTION("""COMPUTED_VALUE"""),45773)</f>
        <v>45773</v>
      </c>
      <c r="G110" s="74">
        <f ca="1">IFERROR(__xludf.DUMMYFUNCTION("""COMPUTED_VALUE"""),120.28)</f>
        <v>120.28</v>
      </c>
      <c r="H110" s="74">
        <f ca="1">IFERROR(__xludf.DUMMYFUNCTION("""COMPUTED_VALUE"""),168.392)</f>
        <v>168.392</v>
      </c>
      <c r="I110" s="74">
        <f ca="1">IFERROR(__xludf.DUMMYFUNCTION("""COMPUTED_VALUE"""),170)</f>
        <v>170</v>
      </c>
    </row>
    <row r="111" spans="2:9" ht="27" customHeight="1">
      <c r="B111" s="73" t="str">
        <f ca="1">IFERROR(__xludf.DUMMYFUNCTION("""COMPUTED_VALUE"""),"FLAMANTIL")</f>
        <v>FLAMANTIL</v>
      </c>
      <c r="C111" s="73" t="str">
        <f ca="1">IFERROR(__xludf.DUMMYFUNCTION("""COMPUTED_VALUE"""),"BLISTER DE 5 TAB.")</f>
        <v>BLISTER DE 5 TAB.</v>
      </c>
      <c r="D111" s="73" t="str">
        <f ca="1">IFERROR(__xludf.DUMMYFUNCTION("""COMPUTED_VALUE"""),"NAPROXENO SODICO 550MG.")</f>
        <v>NAPROXENO SODICO 550MG.</v>
      </c>
      <c r="E111" s="73" t="str">
        <f ca="1">IFERROR(__xludf.DUMMYFUNCTION("""COMPUTED_VALUE"""),"VIZCAINO")</f>
        <v>VIZCAINO</v>
      </c>
      <c r="F111" s="75">
        <f ca="1">IFERROR(__xludf.DUMMYFUNCTION("""COMPUTED_VALUE"""),45928)</f>
        <v>45928</v>
      </c>
      <c r="G111" s="74">
        <f ca="1">IFERROR(__xludf.DUMMYFUNCTION("""COMPUTED_VALUE"""),5.26)</f>
        <v>5.26</v>
      </c>
      <c r="H111" s="74">
        <f ca="1">IFERROR(__xludf.DUMMYFUNCTION("""COMPUTED_VALUE"""),7.364)</f>
        <v>7.3639999999999999</v>
      </c>
      <c r="I111" s="74">
        <f ca="1">IFERROR(__xludf.DUMMYFUNCTION("""COMPUTED_VALUE"""),10)</f>
        <v>10</v>
      </c>
    </row>
    <row r="112" spans="2:9" ht="27" customHeight="1">
      <c r="B112" s="73" t="str">
        <f ca="1">IFERROR(__xludf.DUMMYFUNCTION("""COMPUTED_VALUE"""),"FLAMYDOL")</f>
        <v>FLAMYDOL</v>
      </c>
      <c r="C112" s="73" t="str">
        <f ca="1">IFERROR(__xludf.DUMMYFUNCTION("""COMPUTED_VALUE"""),"SUSPENSION")</f>
        <v>SUSPENSION</v>
      </c>
      <c r="D112" s="73" t="str">
        <f ca="1">IFERROR(__xludf.DUMMYFUNCTION("""COMPUTED_VALUE"""),"SUSPENSION")</f>
        <v>SUSPENSION</v>
      </c>
      <c r="E112" s="73" t="str">
        <f ca="1">IFERROR(__xludf.DUMMYFUNCTION("""COMPUTED_VALUE"""),"MEDIUM")</f>
        <v>MEDIUM</v>
      </c>
      <c r="F112" s="75">
        <f ca="1">IFERROR(__xludf.DUMMYFUNCTION("""COMPUTED_VALUE"""),45835)</f>
        <v>45835</v>
      </c>
      <c r="G112" s="74">
        <f ca="1">IFERROR(__xludf.DUMMYFUNCTION("""COMPUTED_VALUE"""),27.97)</f>
        <v>27.97</v>
      </c>
      <c r="H112" s="74">
        <f ca="1">IFERROR(__xludf.DUMMYFUNCTION("""COMPUTED_VALUE"""),39.158)</f>
        <v>39.158000000000001</v>
      </c>
      <c r="I112" s="74">
        <f ca="1">IFERROR(__xludf.DUMMYFUNCTION("""COMPUTED_VALUE"""),40)</f>
        <v>40</v>
      </c>
    </row>
    <row r="113" spans="2:10" ht="27" customHeight="1">
      <c r="B113" s="73" t="str">
        <f ca="1">IFERROR(__xludf.DUMMYFUNCTION("""COMPUTED_VALUE"""),"FLORENTEROL")</f>
        <v>FLORENTEROL</v>
      </c>
      <c r="C113" s="73" t="str">
        <f ca="1">IFERROR(__xludf.DUMMYFUNCTION("""COMPUTED_VALUE"""),"CAJA DE 6 SOBRES")</f>
        <v>CAJA DE 6 SOBRES</v>
      </c>
      <c r="D113" s="73" t="str">
        <f ca="1">IFERROR(__xludf.DUMMYFUNCTION("""COMPUTED_VALUE"""),"SACCHAROMYCES BOULARDIL 200MG")</f>
        <v>SACCHAROMYCES BOULARDIL 200MG</v>
      </c>
      <c r="E113" s="73" t="str">
        <f ca="1">IFERROR(__xludf.DUMMYFUNCTION("""COMPUTED_VALUE"""),"INFASA")</f>
        <v>INFASA</v>
      </c>
      <c r="F113" s="75">
        <f ca="1">IFERROR(__xludf.DUMMYFUNCTION("""COMPUTED_VALUE"""),46017)</f>
        <v>46017</v>
      </c>
      <c r="G113" s="74">
        <f ca="1">IFERROR(__xludf.DUMMYFUNCTION("""COMPUTED_VALUE"""),53.46)</f>
        <v>53.46</v>
      </c>
      <c r="H113" s="74">
        <f ca="1">IFERROR(__xludf.DUMMYFUNCTION("""COMPUTED_VALUE"""),74.844)</f>
        <v>74.843999999999994</v>
      </c>
      <c r="I113" s="74">
        <f ca="1">IFERROR(__xludf.DUMMYFUNCTION("""COMPUTED_VALUE"""),90)</f>
        <v>90</v>
      </c>
    </row>
    <row r="114" spans="2:10" ht="27" customHeight="1">
      <c r="B114" s="73" t="str">
        <f ca="1">IFERROR(__xludf.DUMMYFUNCTION("""COMPUTED_VALUE"""),"FLUMAZENIL")</f>
        <v>FLUMAZENIL</v>
      </c>
      <c r="C114" s="73" t="str">
        <f ca="1">IFERROR(__xludf.DUMMYFUNCTION("""COMPUTED_VALUE"""),"AMPOLLA")</f>
        <v>AMPOLLA</v>
      </c>
      <c r="D114" s="73" t="str">
        <f ca="1">IFERROR(__xludf.DUMMYFUNCTION("""COMPUTED_VALUE"""),"FLUMAZENIL 01")</f>
        <v>FLUMAZENIL 01</v>
      </c>
      <c r="E114" s="73" t="str">
        <f ca="1">IFERROR(__xludf.DUMMYFUNCTION("""COMPUTED_VALUE"""),"INSUMEDIC GT")</f>
        <v>INSUMEDIC GT</v>
      </c>
      <c r="F114" s="75">
        <f ca="1">IFERROR(__xludf.DUMMYFUNCTION("""COMPUTED_VALUE"""),45895)</f>
        <v>45895</v>
      </c>
      <c r="G114" s="74">
        <f ca="1">IFERROR(__xludf.DUMMYFUNCTION("""COMPUTED_VALUE"""),385)</f>
        <v>385</v>
      </c>
      <c r="H114" s="74">
        <f ca="1">IFERROR(__xludf.DUMMYFUNCTION("""COMPUTED_VALUE"""),539)</f>
        <v>539</v>
      </c>
      <c r="I114" s="74">
        <f ca="1">IFERROR(__xludf.DUMMYFUNCTION("""COMPUTED_VALUE"""),550)</f>
        <v>550</v>
      </c>
    </row>
    <row r="115" spans="2:10" ht="27" customHeight="1">
      <c r="B115" s="73" t="str">
        <f ca="1">IFERROR(__xludf.DUMMYFUNCTION("""COMPUTED_VALUE"""),"FOLY PLUS")</f>
        <v>FOLY PLUS</v>
      </c>
      <c r="C115" s="73" t="str">
        <f ca="1">IFERROR(__xludf.DUMMYFUNCTION("""COMPUTED_VALUE"""),"CAJA DE 30 CAPSULAS")</f>
        <v>CAJA DE 30 CAPSULAS</v>
      </c>
      <c r="D115" s="73" t="str">
        <f ca="1">IFERROR(__xludf.DUMMYFUNCTION("""COMPUTED_VALUE"""),"ACIDO FOLICO 5MG.")</f>
        <v>ACIDO FOLICO 5MG.</v>
      </c>
      <c r="E115" s="73" t="str">
        <f ca="1">IFERROR(__xludf.DUMMYFUNCTION("""COMPUTED_VALUE"""),"FARMECO")</f>
        <v>FARMECO</v>
      </c>
      <c r="F115" s="75">
        <f ca="1">IFERROR(__xludf.DUMMYFUNCTION("""COMPUTED_VALUE"""),45773)</f>
        <v>45773</v>
      </c>
      <c r="G115" s="74">
        <f ca="1">IFERROR(__xludf.DUMMYFUNCTION("""COMPUTED_VALUE"""),8.25)</f>
        <v>8.25</v>
      </c>
      <c r="H115" s="74">
        <f ca="1">IFERROR(__xludf.DUMMYFUNCTION("""COMPUTED_VALUE"""),11.55)</f>
        <v>11.55</v>
      </c>
      <c r="I115" s="74">
        <f ca="1">IFERROR(__xludf.DUMMYFUNCTION("""COMPUTED_VALUE"""),70)</f>
        <v>70</v>
      </c>
    </row>
    <row r="116" spans="2:10" ht="27" customHeight="1">
      <c r="B116" s="73" t="str">
        <f ca="1">IFERROR(__xludf.DUMMYFUNCTION("""COMPUTED_VALUE"""),"FORTALENE")</f>
        <v>FORTALENE</v>
      </c>
      <c r="C116" s="73" t="str">
        <f ca="1">IFERROR(__xludf.DUMMYFUNCTION("""COMPUTED_VALUE"""),"CAJA DE 30 TAB.")</f>
        <v>CAJA DE 30 TAB.</v>
      </c>
      <c r="D116" s="73" t="str">
        <f ca="1">IFERROR(__xludf.DUMMYFUNCTION("""COMPUTED_VALUE"""),"ZINC 20MG")</f>
        <v>ZINC 20MG</v>
      </c>
      <c r="E116" s="73" t="str">
        <f ca="1">IFERROR(__xludf.DUMMYFUNCTION("""COMPUTED_VALUE"""),"WINZZER")</f>
        <v>WINZZER</v>
      </c>
      <c r="F116" s="75">
        <f ca="1">IFERROR(__xludf.DUMMYFUNCTION("""COMPUTED_VALUE"""),45834)</f>
        <v>45834</v>
      </c>
      <c r="G116" s="74">
        <f ca="1">IFERROR(__xludf.DUMMYFUNCTION("""COMPUTED_VALUE"""),56)</f>
        <v>56</v>
      </c>
      <c r="H116" s="74">
        <f ca="1">IFERROR(__xludf.DUMMYFUNCTION("""COMPUTED_VALUE"""),78.4)</f>
        <v>78.400000000000006</v>
      </c>
      <c r="I116" s="74">
        <f ca="1">IFERROR(__xludf.DUMMYFUNCTION("""COMPUTED_VALUE"""),80)</f>
        <v>80</v>
      </c>
    </row>
    <row r="117" spans="2:10" ht="27" customHeight="1">
      <c r="B117" s="73" t="str">
        <f ca="1">IFERROR(__xludf.DUMMYFUNCTION("""COMPUTED_VALUE"""),"FORTALENE")</f>
        <v>FORTALENE</v>
      </c>
      <c r="C117" s="73" t="str">
        <f ca="1">IFERROR(__xludf.DUMMYFUNCTION("""COMPUTED_VALUE"""),"FRASCO 120ML. SUSP")</f>
        <v>FRASCO 120ML. SUSP</v>
      </c>
      <c r="D117" s="73" t="str">
        <f ca="1">IFERROR(__xludf.DUMMYFUNCTION("""COMPUTED_VALUE"""),"ZINC 10MG/5ML")</f>
        <v>ZINC 10MG/5ML</v>
      </c>
      <c r="E117" s="73" t="str">
        <f ca="1">IFERROR(__xludf.DUMMYFUNCTION("""COMPUTED_VALUE"""),"WINZZER")</f>
        <v>WINZZER</v>
      </c>
      <c r="F117" s="75">
        <f ca="1">IFERROR(__xludf.DUMMYFUNCTION("""COMPUTED_VALUE"""),45956)</f>
        <v>45956</v>
      </c>
      <c r="G117" s="74">
        <f ca="1">IFERROR(__xludf.DUMMYFUNCTION("""COMPUTED_VALUE"""),56)</f>
        <v>56</v>
      </c>
      <c r="H117" s="74">
        <f ca="1">IFERROR(__xludf.DUMMYFUNCTION("""COMPUTED_VALUE"""),78.4)</f>
        <v>78.400000000000006</v>
      </c>
      <c r="I117" s="74">
        <f ca="1">IFERROR(__xludf.DUMMYFUNCTION("""COMPUTED_VALUE"""),80)</f>
        <v>80</v>
      </c>
    </row>
    <row r="118" spans="2:10" ht="27" customHeight="1">
      <c r="B118" s="73" t="str">
        <f ca="1">IFERROR(__xludf.DUMMYFUNCTION("""COMPUTED_VALUE"""),"FOSFOBAC")</f>
        <v>FOSFOBAC</v>
      </c>
      <c r="C118" s="73" t="str">
        <f ca="1">IFERROR(__xludf.DUMMYFUNCTION("""COMPUTED_VALUE"""),"POLVO PARA SUSP. ORAL")</f>
        <v>POLVO PARA SUSP. ORAL</v>
      </c>
      <c r="D118" s="73" t="str">
        <f ca="1">IFERROR(__xludf.DUMMYFUNCTION("""COMPUTED_VALUE"""),"FOSFOMACINA 3G")</f>
        <v>FOSFOMACINA 3G</v>
      </c>
      <c r="E118" s="73" t="str">
        <f ca="1">IFERROR(__xludf.DUMMYFUNCTION("""COMPUTED_VALUE"""),"QUALIPHARM")</f>
        <v>QUALIPHARM</v>
      </c>
      <c r="F118" s="75">
        <f ca="1">IFERROR(__xludf.DUMMYFUNCTION("""COMPUTED_VALUE"""),45743)</f>
        <v>45743</v>
      </c>
      <c r="G118" s="74">
        <f ca="1">IFERROR(__xludf.DUMMYFUNCTION("""COMPUTED_VALUE"""),60)</f>
        <v>60</v>
      </c>
      <c r="H118" s="74">
        <f ca="1">IFERROR(__xludf.DUMMYFUNCTION("""COMPUTED_VALUE"""),84)</f>
        <v>84</v>
      </c>
      <c r="I118" s="74">
        <f ca="1">IFERROR(__xludf.DUMMYFUNCTION("""COMPUTED_VALUE"""),85)</f>
        <v>85</v>
      </c>
    </row>
    <row r="119" spans="2:10" ht="27" customHeight="1">
      <c r="B119" s="73" t="str">
        <f ca="1">IFERROR(__xludf.DUMMYFUNCTION("""COMPUTED_VALUE"""),"FOSFOMICINA")</f>
        <v>FOSFOMICINA</v>
      </c>
      <c r="C119" s="73" t="str">
        <f ca="1">IFERROR(__xludf.DUMMYFUNCTION("""COMPUTED_VALUE"""),"FRASCO IV 1 G")</f>
        <v>FRASCO IV 1 G</v>
      </c>
      <c r="D119" s="73" t="str">
        <f ca="1">IFERROR(__xludf.DUMMYFUNCTION("""COMPUTED_VALUE"""),"FOSFOMACINA 3G")</f>
        <v>FOSFOMACINA 3G</v>
      </c>
      <c r="E119" s="73" t="str">
        <f ca="1">IFERROR(__xludf.DUMMYFUNCTION("""COMPUTED_VALUE"""),"MEDICAL")</f>
        <v>MEDICAL</v>
      </c>
      <c r="F119" s="75">
        <f ca="1">IFERROR(__xludf.DUMMYFUNCTION("""COMPUTED_VALUE"""),45774)</f>
        <v>45774</v>
      </c>
      <c r="G119" s="74">
        <f ca="1">IFERROR(__xludf.DUMMYFUNCTION("""COMPUTED_VALUE"""),180)</f>
        <v>180</v>
      </c>
      <c r="H119" s="74">
        <f ca="1">IFERROR(__xludf.DUMMYFUNCTION("""COMPUTED_VALUE"""),252)</f>
        <v>252</v>
      </c>
      <c r="I119" s="74">
        <f ca="1">IFERROR(__xludf.DUMMYFUNCTION("""COMPUTED_VALUE"""),260)</f>
        <v>260</v>
      </c>
    </row>
    <row r="120" spans="2:10" ht="27" customHeight="1">
      <c r="B120" s="73" t="str">
        <f ca="1">IFERROR(__xludf.DUMMYFUNCTION("""COMPUTED_VALUE"""),"FRENEX")</f>
        <v>FRENEX</v>
      </c>
      <c r="C120" s="73" t="str">
        <f ca="1">IFERROR(__xludf.DUMMYFUNCTION("""COMPUTED_VALUE"""),"FRASCO 60ML. SUSP")</f>
        <v>FRASCO 60ML. SUSP</v>
      </c>
      <c r="D120" s="73" t="str">
        <f ca="1">IFERROR(__xludf.DUMMYFUNCTION("""COMPUTED_VALUE"""),"NITAZOXANIDA 100MG/5ML")</f>
        <v>NITAZOXANIDA 100MG/5ML</v>
      </c>
      <c r="E120" s="73" t="str">
        <f ca="1">IFERROR(__xludf.DUMMYFUNCTION("""COMPUTED_VALUE"""),"WINZZER")</f>
        <v>WINZZER</v>
      </c>
      <c r="F120" s="75">
        <f ca="1">IFERROR(__xludf.DUMMYFUNCTION("""COMPUTED_VALUE"""),45986)</f>
        <v>45986</v>
      </c>
      <c r="G120" s="74">
        <f ca="1">IFERROR(__xludf.DUMMYFUNCTION("""COMPUTED_VALUE"""),39)</f>
        <v>39</v>
      </c>
      <c r="H120" s="74">
        <f ca="1">IFERROR(__xludf.DUMMYFUNCTION("""COMPUTED_VALUE"""),54.6)</f>
        <v>54.6</v>
      </c>
      <c r="I120" s="74">
        <f ca="1">IFERROR(__xludf.DUMMYFUNCTION("""COMPUTED_VALUE"""),55)</f>
        <v>55</v>
      </c>
    </row>
    <row r="121" spans="2:10" ht="27" customHeight="1">
      <c r="B121" s="73" t="str">
        <f ca="1">IFERROR(__xludf.DUMMYFUNCTION("""COMPUTED_VALUE"""),"FRENEX")</f>
        <v>FRENEX</v>
      </c>
      <c r="C121" s="73" t="str">
        <f ca="1">IFERROR(__xludf.DUMMYFUNCTION("""COMPUTED_VALUE"""),"CAJA 6 TABLETAS")</f>
        <v>CAJA 6 TABLETAS</v>
      </c>
      <c r="D121" s="73" t="str">
        <f ca="1">IFERROR(__xludf.DUMMYFUNCTION("""COMPUTED_VALUE"""),"NITAZOXANIDA 500MG")</f>
        <v>NITAZOXANIDA 500MG</v>
      </c>
      <c r="E121" s="73" t="str">
        <f ca="1">IFERROR(__xludf.DUMMYFUNCTION("""COMPUTED_VALUE"""),"WINZZER")</f>
        <v>WINZZER</v>
      </c>
      <c r="F121" s="75">
        <f ca="1">IFERROR(__xludf.DUMMYFUNCTION("""COMPUTED_VALUE"""),45743)</f>
        <v>45743</v>
      </c>
      <c r="G121" s="74">
        <f ca="1">IFERROR(__xludf.DUMMYFUNCTION("""COMPUTED_VALUE"""),75.4)</f>
        <v>75.400000000000006</v>
      </c>
      <c r="H121" s="74">
        <f ca="1">IFERROR(__xludf.DUMMYFUNCTION("""COMPUTED_VALUE"""),105.56)</f>
        <v>105.56</v>
      </c>
      <c r="I121" s="74">
        <f ca="1">IFERROR(__xludf.DUMMYFUNCTION("""COMPUTED_VALUE"""),105)</f>
        <v>105</v>
      </c>
    </row>
    <row r="122" spans="2:10" ht="27" customHeight="1">
      <c r="B122" s="73" t="str">
        <f ca="1">IFERROR(__xludf.DUMMYFUNCTION("""COMPUTED_VALUE"""),"FUNGITER")</f>
        <v>FUNGITER</v>
      </c>
      <c r="C122" s="73" t="str">
        <f ca="1">IFERROR(__xludf.DUMMYFUNCTION("""COMPUTED_VALUE"""),"AEROSOL")</f>
        <v>AEROSOL</v>
      </c>
      <c r="D122" s="73" t="str">
        <f ca="1">IFERROR(__xludf.DUMMYFUNCTION("""COMPUTED_VALUE"""),"TERBINAFINA HCI 1%")</f>
        <v>TERBINAFINA HCI 1%</v>
      </c>
      <c r="E122" s="73" t="str">
        <f ca="1">IFERROR(__xludf.DUMMYFUNCTION("""COMPUTED_VALUE"""),"MEDPHARMA")</f>
        <v>MEDPHARMA</v>
      </c>
      <c r="F122" s="75">
        <f ca="1">IFERROR(__xludf.DUMMYFUNCTION("""COMPUTED_VALUE"""),45803)</f>
        <v>45803</v>
      </c>
      <c r="G122" s="74">
        <f ca="1">IFERROR(__xludf.DUMMYFUNCTION("""COMPUTED_VALUE"""),47.71)</f>
        <v>47.71</v>
      </c>
      <c r="H122" s="74">
        <f ca="1">IFERROR(__xludf.DUMMYFUNCTION("""COMPUTED_VALUE"""),66.794)</f>
        <v>66.793999999999997</v>
      </c>
      <c r="I122" s="74">
        <f ca="1">IFERROR(__xludf.DUMMYFUNCTION("""COMPUTED_VALUE"""),70)</f>
        <v>70</v>
      </c>
    </row>
    <row r="123" spans="2:10" ht="27" customHeight="1">
      <c r="B123" s="73" t="str">
        <f ca="1">IFERROR(__xludf.DUMMYFUNCTION("""COMPUTED_VALUE"""),"FUROSEMIDA")</f>
        <v>FUROSEMIDA</v>
      </c>
      <c r="C123" s="73" t="str">
        <f ca="1">IFERROR(__xludf.DUMMYFUNCTION("""COMPUTED_VALUE"""),"AMPOLLA 2ML")</f>
        <v>AMPOLLA 2ML</v>
      </c>
      <c r="D123" s="73" t="str">
        <f ca="1">IFERROR(__xludf.DUMMYFUNCTION("""COMPUTED_VALUE"""),"FUROSEMIDA 20MG")</f>
        <v>FUROSEMIDA 20MG</v>
      </c>
      <c r="E123" s="73" t="str">
        <f ca="1">IFERROR(__xludf.DUMMYFUNCTION("""COMPUTED_VALUE"""),"SOLUCIONES MÈDICAS")</f>
        <v>SOLUCIONES MÈDICAS</v>
      </c>
      <c r="F123" s="75">
        <f ca="1">IFERROR(__xludf.DUMMYFUNCTION("""COMPUTED_VALUE"""),45926)</f>
        <v>45926</v>
      </c>
      <c r="G123" s="74">
        <f ca="1">IFERROR(__xludf.DUMMYFUNCTION("""COMPUTED_VALUE"""),3.25)</f>
        <v>3.25</v>
      </c>
      <c r="H123" s="74">
        <f ca="1">IFERROR(__xludf.DUMMYFUNCTION("""COMPUTED_VALUE"""),4.55)</f>
        <v>4.55</v>
      </c>
      <c r="I123" s="74">
        <f ca="1">IFERROR(__xludf.DUMMYFUNCTION("""COMPUTED_VALUE"""),30)</f>
        <v>30</v>
      </c>
      <c r="J123" s="73"/>
    </row>
    <row r="124" spans="2:10" ht="27" customHeight="1">
      <c r="B124" s="73" t="str">
        <f ca="1">IFERROR(__xludf.DUMMYFUNCTION("""COMPUTED_VALUE"""),"FUROSEMIDA MK")</f>
        <v>FUROSEMIDA MK</v>
      </c>
      <c r="C124" s="73" t="str">
        <f ca="1">IFERROR(__xludf.DUMMYFUNCTION("""COMPUTED_VALUE"""),"CAJA 50 TABLETAS")</f>
        <v>CAJA 50 TABLETAS</v>
      </c>
      <c r="D124" s="73" t="str">
        <f ca="1">IFERROR(__xludf.DUMMYFUNCTION("""COMPUTED_VALUE"""),"FUROSEMIDA 40MG")</f>
        <v>FUROSEMIDA 40MG</v>
      </c>
      <c r="E124" s="73" t="str">
        <f ca="1">IFERROR(__xludf.DUMMYFUNCTION("""COMPUTED_VALUE"""),"COIDE S.A.")</f>
        <v>COIDE S.A.</v>
      </c>
      <c r="F124" s="73" t="str">
        <f ca="1">IFERROR(__xludf.DUMMYFUNCTION("""COMPUTED_VALUE"""),"feb-30")</f>
        <v>feb-30</v>
      </c>
      <c r="G124" s="74">
        <f ca="1">IFERROR(__xludf.DUMMYFUNCTION("""COMPUTED_VALUE"""),95.84)</f>
        <v>95.84</v>
      </c>
      <c r="H124" s="74">
        <f ca="1">IFERROR(__xludf.DUMMYFUNCTION("""COMPUTED_VALUE"""),134.176)</f>
        <v>134.17599999999999</v>
      </c>
      <c r="I124" s="74">
        <f ca="1">IFERROR(__xludf.DUMMYFUNCTION("""COMPUTED_VALUE"""),135)</f>
        <v>135</v>
      </c>
    </row>
    <row r="125" spans="2:10" ht="27" customHeight="1">
      <c r="B125" s="73" t="str">
        <f ca="1">IFERROR(__xludf.DUMMYFUNCTION("""COMPUTED_VALUE"""),"GABEX PLUS")</f>
        <v>GABEX PLUS</v>
      </c>
      <c r="C125" s="73" t="str">
        <f ca="1">IFERROR(__xludf.DUMMYFUNCTION("""COMPUTED_VALUE"""),"CAJA DE 30 TAB.")</f>
        <v>CAJA DE 30 TAB.</v>
      </c>
      <c r="D125" s="73" t="str">
        <f ca="1">IFERROR(__xludf.DUMMYFUNCTION("""COMPUTED_VALUE"""),"GABAPENTINA + VITAMINAS B1 Y 12")</f>
        <v>GABAPENTINA + VITAMINAS B1 Y 12</v>
      </c>
      <c r="E125" s="73" t="str">
        <f ca="1">IFERROR(__xludf.DUMMYFUNCTION("""COMPUTED_VALUE"""),"MEDPHARMA")</f>
        <v>MEDPHARMA</v>
      </c>
      <c r="F125" s="75">
        <f ca="1">IFERROR(__xludf.DUMMYFUNCTION("""COMPUTED_VALUE"""),45773)</f>
        <v>45773</v>
      </c>
      <c r="G125" s="74">
        <f ca="1">IFERROR(__xludf.DUMMYFUNCTION("""COMPUTED_VALUE"""),132)</f>
        <v>132</v>
      </c>
      <c r="H125" s="74">
        <f ca="1">IFERROR(__xludf.DUMMYFUNCTION("""COMPUTED_VALUE"""),184.8)</f>
        <v>184.8</v>
      </c>
      <c r="I125" s="74">
        <f ca="1">IFERROR(__xludf.DUMMYFUNCTION("""COMPUTED_VALUE"""),220)</f>
        <v>220</v>
      </c>
    </row>
    <row r="126" spans="2:10" ht="27" customHeight="1">
      <c r="B126" s="73" t="str">
        <f ca="1">IFERROR(__xludf.DUMMYFUNCTION("""COMPUTED_VALUE"""),"GASTREXX")</f>
        <v>GASTREXX</v>
      </c>
      <c r="C126" s="73" t="str">
        <f ca="1">IFERROR(__xludf.DUMMYFUNCTION("""COMPUTED_VALUE"""),"CAJA DE 30 CAPSULAS")</f>
        <v>CAJA DE 30 CAPSULAS</v>
      </c>
      <c r="D126" s="73" t="str">
        <f ca="1">IFERROR(__xludf.DUMMYFUNCTION("""COMPUTED_VALUE"""),"ESOMEPRAZOL 40MG")</f>
        <v>ESOMEPRAZOL 40MG</v>
      </c>
      <c r="E126" s="73" t="str">
        <f ca="1">IFERROR(__xludf.DUMMYFUNCTION("""COMPUTED_VALUE"""),"MEDPHARMA")</f>
        <v>MEDPHARMA</v>
      </c>
      <c r="F126" s="75">
        <f ca="1">IFERROR(__xludf.DUMMYFUNCTION("""COMPUTED_VALUE"""),45714)</f>
        <v>45714</v>
      </c>
      <c r="G126" s="74">
        <f ca="1">IFERROR(__xludf.DUMMYFUNCTION("""COMPUTED_VALUE"""),214.03)</f>
        <v>214.03</v>
      </c>
      <c r="H126" s="74">
        <f ca="1">IFERROR(__xludf.DUMMYFUNCTION("""COMPUTED_VALUE"""),299.642)</f>
        <v>299.642</v>
      </c>
      <c r="I126" s="74">
        <f ca="1">IFERROR(__xludf.DUMMYFUNCTION("""COMPUTED_VALUE"""),300)</f>
        <v>300</v>
      </c>
    </row>
    <row r="127" spans="2:10" ht="27" customHeight="1">
      <c r="B127" s="73" t="str">
        <f ca="1">IFERROR(__xludf.DUMMYFUNCTION("""COMPUTED_VALUE"""),"GESIMAX GEL")</f>
        <v>GESIMAX GEL</v>
      </c>
      <c r="C127" s="73" t="str">
        <f ca="1">IFERROR(__xludf.DUMMYFUNCTION("""COMPUTED_VALUE"""),"GEL TOPICO 40G")</f>
        <v>GEL TOPICO 40G</v>
      </c>
      <c r="D127" s="73" t="str">
        <f ca="1">IFERROR(__xludf.DUMMYFUNCTION("""COMPUTED_VALUE"""),"NAPROXENO 10%")</f>
        <v>NAPROXENO 10%</v>
      </c>
      <c r="E127" s="73" t="str">
        <f ca="1">IFERROR(__xludf.DUMMYFUNCTION("""COMPUTED_VALUE"""),"WINZZER")</f>
        <v>WINZZER</v>
      </c>
      <c r="F127" s="75">
        <f ca="1">IFERROR(__xludf.DUMMYFUNCTION("""COMPUTED_VALUE"""),45895)</f>
        <v>45895</v>
      </c>
      <c r="G127" s="74">
        <f ca="1">IFERROR(__xludf.DUMMYFUNCTION("""COMPUTED_VALUE"""),48.57)</f>
        <v>48.57</v>
      </c>
      <c r="H127" s="74">
        <f ca="1">IFERROR(__xludf.DUMMYFUNCTION("""COMPUTED_VALUE"""),67.998)</f>
        <v>67.998000000000005</v>
      </c>
      <c r="I127" s="74">
        <f ca="1">IFERROR(__xludf.DUMMYFUNCTION("""COMPUTED_VALUE"""),70)</f>
        <v>70</v>
      </c>
    </row>
    <row r="128" spans="2:10" ht="27" customHeight="1">
      <c r="B128" s="73" t="str">
        <f ca="1">IFERROR(__xludf.DUMMYFUNCTION("""COMPUTED_VALUE"""),"GLISER-PLUS")</f>
        <v>GLISER-PLUS</v>
      </c>
      <c r="C128" s="73" t="str">
        <f ca="1">IFERROR(__xludf.DUMMYFUNCTION("""COMPUTED_VALUE"""),"CAJA 30 TABLETAS")</f>
        <v>CAJA 30 TABLETAS</v>
      </c>
      <c r="D128" s="73" t="str">
        <f ca="1">IFERROR(__xludf.DUMMYFUNCTION("""COMPUTED_VALUE"""),"METFORMINA + GLIMEPIRIDE")</f>
        <v>METFORMINA + GLIMEPIRIDE</v>
      </c>
      <c r="E128" s="73" t="str">
        <f ca="1">IFERROR(__xludf.DUMMYFUNCTION("""COMPUTED_VALUE"""),"FRAMA SWISS")</f>
        <v>FRAMA SWISS</v>
      </c>
      <c r="F128" s="75">
        <f ca="1">IFERROR(__xludf.DUMMYFUNCTION("""COMPUTED_VALUE"""),45956)</f>
        <v>45956</v>
      </c>
      <c r="G128" s="74">
        <f ca="1">IFERROR(__xludf.DUMMYFUNCTION("""COMPUTED_VALUE"""),125)</f>
        <v>125</v>
      </c>
      <c r="H128" s="74">
        <f ca="1">IFERROR(__xludf.DUMMYFUNCTION("""COMPUTED_VALUE"""),175)</f>
        <v>175</v>
      </c>
      <c r="I128" s="74">
        <f ca="1">IFERROR(__xludf.DUMMYFUNCTION("""COMPUTED_VALUE"""),175)</f>
        <v>175</v>
      </c>
    </row>
    <row r="129" spans="2:9" ht="27" customHeight="1">
      <c r="B129" s="73" t="str">
        <f ca="1">IFERROR(__xludf.DUMMYFUNCTION("""COMPUTED_VALUE"""),"GLUCONATO D CALCIO 10%")</f>
        <v>GLUCONATO D CALCIO 10%</v>
      </c>
      <c r="C129" s="73" t="str">
        <f ca="1">IFERROR(__xludf.DUMMYFUNCTION("""COMPUTED_VALUE"""),"AMPOLLA")</f>
        <v>AMPOLLA</v>
      </c>
      <c r="D129" s="73" t="str">
        <f ca="1">IFERROR(__xludf.DUMMYFUNCTION("""COMPUTED_VALUE"""),"CALCIO")</f>
        <v>CALCIO</v>
      </c>
      <c r="E129" s="73" t="str">
        <f ca="1">IFERROR(__xludf.DUMMYFUNCTION("""COMPUTED_VALUE"""),"SOLUCIONES MÈDICAS")</f>
        <v>SOLUCIONES MÈDICAS</v>
      </c>
      <c r="F129" s="75">
        <f ca="1">IFERROR(__xludf.DUMMYFUNCTION("""COMPUTED_VALUE"""),45834)</f>
        <v>45834</v>
      </c>
      <c r="G129" s="74">
        <f ca="1">IFERROR(__xludf.DUMMYFUNCTION("""COMPUTED_VALUE"""),8.07)</f>
        <v>8.07</v>
      </c>
      <c r="H129" s="74">
        <f ca="1">IFERROR(__xludf.DUMMYFUNCTION("""COMPUTED_VALUE"""),11.298)</f>
        <v>11.298</v>
      </c>
      <c r="I129" s="74">
        <f ca="1">IFERROR(__xludf.DUMMYFUNCTION("""COMPUTED_VALUE"""),100)</f>
        <v>100</v>
      </c>
    </row>
    <row r="130" spans="2:9" ht="27" customHeight="1">
      <c r="B130" s="73" t="str">
        <f ca="1">IFERROR(__xludf.DUMMYFUNCTION("""COMPUTED_VALUE"""),"HIDRALAZINA")</f>
        <v>HIDRALAZINA</v>
      </c>
      <c r="C130" s="73" t="str">
        <f ca="1">IFERROR(__xludf.DUMMYFUNCTION("""COMPUTED_VALUE"""),"AMPOLLA 1ML")</f>
        <v>AMPOLLA 1ML</v>
      </c>
      <c r="D130" s="73" t="str">
        <f ca="1">IFERROR(__xludf.DUMMYFUNCTION("""COMPUTED_VALUE"""),"HIDRALAZINA CLORIDRATO")</f>
        <v>HIDRALAZINA CLORIDRATO</v>
      </c>
      <c r="E130" s="73" t="str">
        <f ca="1">IFERROR(__xludf.DUMMYFUNCTION("""COMPUTED_VALUE"""),"SOLUCIONES MÈDICAS")</f>
        <v>SOLUCIONES MÈDICAS</v>
      </c>
      <c r="F130" s="75">
        <f ca="1">IFERROR(__xludf.DUMMYFUNCTION("""COMPUTED_VALUE"""),45743)</f>
        <v>45743</v>
      </c>
      <c r="G130" s="74">
        <f ca="1">IFERROR(__xludf.DUMMYFUNCTION("""COMPUTED_VALUE"""),75)</f>
        <v>75</v>
      </c>
      <c r="H130" s="74">
        <f ca="1">IFERROR(__xludf.DUMMYFUNCTION("""COMPUTED_VALUE"""),105)</f>
        <v>105</v>
      </c>
      <c r="I130" s="74">
        <f ca="1">IFERROR(__xludf.DUMMYFUNCTION("""COMPUTED_VALUE"""),110)</f>
        <v>110</v>
      </c>
    </row>
    <row r="131" spans="2:9" ht="27" customHeight="1">
      <c r="B131" s="73" t="str">
        <f ca="1">IFERROR(__xludf.DUMMYFUNCTION("""COMPUTED_VALUE"""),"HIMCOCID")</f>
        <v>HIMCOCID</v>
      </c>
      <c r="C131" s="73" t="str">
        <f ca="1">IFERROR(__xludf.DUMMYFUNCTION("""COMPUTED_VALUE"""),"FRASCO 200ML")</f>
        <v>FRASCO 200ML</v>
      </c>
      <c r="D131" s="73" t="str">
        <f ca="1">IFERROR(__xludf.DUMMYFUNCTION("""COMPUTED_VALUE"""),"VERATICA, DUGDHAPASHANA, MOUKTIKA")</f>
        <v>VERATICA, DUGDHAPASHANA, MOUKTIKA</v>
      </c>
      <c r="E131" s="73" t="str">
        <f ca="1">IFERROR(__xludf.DUMMYFUNCTION("""COMPUTED_VALUE"""),"HIMALAYA")</f>
        <v>HIMALAYA</v>
      </c>
      <c r="F131" s="75">
        <f ca="1">IFERROR(__xludf.DUMMYFUNCTION("""COMPUTED_VALUE"""),45956)</f>
        <v>45956</v>
      </c>
      <c r="G131" s="74">
        <f ca="1">IFERROR(__xludf.DUMMYFUNCTION("""COMPUTED_VALUE"""),52.4)</f>
        <v>52.4</v>
      </c>
      <c r="H131" s="74">
        <f ca="1">IFERROR(__xludf.DUMMYFUNCTION("""COMPUTED_VALUE"""),73.36)</f>
        <v>73.36</v>
      </c>
      <c r="I131" s="74">
        <f ca="1">IFERROR(__xludf.DUMMYFUNCTION("""COMPUTED_VALUE"""),75)</f>
        <v>75</v>
      </c>
    </row>
    <row r="132" spans="2:9" ht="27" customHeight="1">
      <c r="B132" s="73" t="str">
        <f ca="1">IFERROR(__xludf.DUMMYFUNCTION("""COMPUTED_VALUE"""),"ILACOX/MELOXICAN")</f>
        <v>ILACOX/MELOXICAN</v>
      </c>
      <c r="C132" s="73" t="str">
        <f ca="1">IFERROR(__xludf.DUMMYFUNCTION("""COMPUTED_VALUE"""),"SOLUCION INYECTABLE")</f>
        <v>SOLUCION INYECTABLE</v>
      </c>
      <c r="D132" s="73" t="str">
        <f ca="1">IFERROR(__xludf.DUMMYFUNCTION("""COMPUTED_VALUE"""),"el dolor, la sensibilidad, la inflamación y la rigidez ocasionados por la osteoartritis")</f>
        <v>el dolor, la sensibilidad, la inflamación y la rigidez ocasionados por la osteoartritis</v>
      </c>
      <c r="E132" s="73" t="str">
        <f ca="1">IFERROR(__xludf.DUMMYFUNCTION("""COMPUTED_VALUE"""),"UNIPHARM")</f>
        <v>UNIPHARM</v>
      </c>
      <c r="F132" s="75">
        <f ca="1">IFERROR(__xludf.DUMMYFUNCTION("""COMPUTED_VALUE"""),45927)</f>
        <v>45927</v>
      </c>
      <c r="G132" s="74">
        <f ca="1">IFERROR(__xludf.DUMMYFUNCTION("""COMPUTED_VALUE"""),28.63)</f>
        <v>28.63</v>
      </c>
      <c r="H132" s="74">
        <f ca="1">IFERROR(__xludf.DUMMYFUNCTION("""COMPUTED_VALUE"""),40.082)</f>
        <v>40.082000000000001</v>
      </c>
      <c r="I132" s="74">
        <f ca="1">IFERROR(__xludf.DUMMYFUNCTION("""COMPUTED_VALUE"""),50)</f>
        <v>50</v>
      </c>
    </row>
    <row r="133" spans="2:9" ht="27" customHeight="1">
      <c r="B133" s="73" t="str">
        <f ca="1">IFERROR(__xludf.DUMMYFUNCTION("""COMPUTED_VALUE"""),"I.R.S.")</f>
        <v>I.R.S.</v>
      </c>
      <c r="C133" s="73" t="str">
        <f ca="1">IFERROR(__xludf.DUMMYFUNCTION("""COMPUTED_VALUE"""),"GOTAS PEDIA. NASAL 20ML")</f>
        <v>GOTAS PEDIA. NASAL 20ML</v>
      </c>
      <c r="D133" s="73" t="str">
        <f ca="1">IFERROR(__xludf.DUMMYFUNCTION("""COMPUTED_VALUE"""),"ACETAMINOFEN, CLORHIDRATO DE FENILEFRINA, MALEATO DE BROMFENIRAMINA")</f>
        <v>ACETAMINOFEN, CLORHIDRATO DE FENILEFRINA, MALEATO DE BROMFENIRAMINA</v>
      </c>
      <c r="E133" s="73" t="str">
        <f ca="1">IFERROR(__xludf.DUMMYFUNCTION("""COMPUTED_VALUE"""),"INFASA")</f>
        <v>INFASA</v>
      </c>
      <c r="F133" s="75">
        <f ca="1">IFERROR(__xludf.DUMMYFUNCTION("""COMPUTED_VALUE"""),45865)</f>
        <v>45865</v>
      </c>
      <c r="G133" s="74">
        <f ca="1">IFERROR(__xludf.DUMMYFUNCTION("""COMPUTED_VALUE"""),53.62)</f>
        <v>53.62</v>
      </c>
      <c r="H133" s="74">
        <f ca="1">IFERROR(__xludf.DUMMYFUNCTION("""COMPUTED_VALUE"""),75.068)</f>
        <v>75.067999999999998</v>
      </c>
      <c r="I133" s="74">
        <f ca="1">IFERROR(__xludf.DUMMYFUNCTION("""COMPUTED_VALUE"""),80)</f>
        <v>80</v>
      </c>
    </row>
    <row r="134" spans="2:9" ht="27" customHeight="1">
      <c r="B134" s="73" t="str">
        <f ca="1">IFERROR(__xludf.DUMMYFUNCTION("""COMPUTED_VALUE"""),"IBUPROFENO SUSP.")</f>
        <v>IBUPROFENO SUSP.</v>
      </c>
      <c r="C134" s="73" t="str">
        <f ca="1">IFERROR(__xludf.DUMMYFUNCTION("""COMPUTED_VALUE"""),"FRASCO 60ML")</f>
        <v>FRASCO 60ML</v>
      </c>
      <c r="D134" s="73" t="str">
        <f ca="1">IFERROR(__xludf.DUMMYFUNCTION("""COMPUTED_VALUE"""),"IBUPROFENO 100MG.")</f>
        <v>IBUPROFENO 100MG.</v>
      </c>
      <c r="E134" s="73" t="str">
        <f ca="1">IFERROR(__xludf.DUMMYFUNCTION("""COMPUTED_VALUE"""),"UMEDICA")</f>
        <v>UMEDICA</v>
      </c>
      <c r="F134" s="75">
        <f ca="1">IFERROR(__xludf.DUMMYFUNCTION("""COMPUTED_VALUE"""),45866)</f>
        <v>45866</v>
      </c>
      <c r="G134" s="74">
        <f ca="1">IFERROR(__xludf.DUMMYFUNCTION("""COMPUTED_VALUE"""),10.5)</f>
        <v>10.5</v>
      </c>
      <c r="H134" s="74">
        <f ca="1">IFERROR(__xludf.DUMMYFUNCTION("""COMPUTED_VALUE"""),14.7)</f>
        <v>14.7</v>
      </c>
      <c r="I134" s="74">
        <f ca="1">IFERROR(__xludf.DUMMYFUNCTION("""COMPUTED_VALUE"""),15)</f>
        <v>15</v>
      </c>
    </row>
    <row r="135" spans="2:9" ht="27" customHeight="1">
      <c r="B135" s="73" t="str">
        <f ca="1">IFERROR(__xludf.DUMMYFUNCTION("""COMPUTED_VALUE"""),"IMIPENEM+ CILASTATINA")</f>
        <v>IMIPENEM+ CILASTATINA</v>
      </c>
      <c r="C135" s="73" t="str">
        <f ca="1">IFERROR(__xludf.DUMMYFUNCTION("""COMPUTED_VALUE"""),"FRASCO 0.05 POLVO")</f>
        <v>FRASCO 0.05 POLVO</v>
      </c>
      <c r="D135" s="73" t="str">
        <f ca="1">IFERROR(__xludf.DUMMYFUNCTION("""COMPUTED_VALUE"""),"infección de las válvulas y revestimiento del corazón")</f>
        <v>infección de las válvulas y revestimiento del corazón</v>
      </c>
      <c r="E135" s="73" t="str">
        <f ca="1">IFERROR(__xludf.DUMMYFUNCTION("""COMPUTED_VALUE"""),"VITALIS")</f>
        <v>VITALIS</v>
      </c>
      <c r="F135" s="75">
        <f ca="1">IFERROR(__xludf.DUMMYFUNCTION("""COMPUTED_VALUE"""),45869)</f>
        <v>45869</v>
      </c>
      <c r="G135" s="74">
        <f ca="1">IFERROR(__xludf.DUMMYFUNCTION("""COMPUTED_VALUE"""),48)</f>
        <v>48</v>
      </c>
      <c r="H135" s="74">
        <f ca="1">IFERROR(__xludf.DUMMYFUNCTION("""COMPUTED_VALUE"""),67.2)</f>
        <v>67.2</v>
      </c>
      <c r="I135" s="74">
        <f ca="1">IFERROR(__xludf.DUMMYFUNCTION("""COMPUTED_VALUE"""),75)</f>
        <v>75</v>
      </c>
    </row>
    <row r="136" spans="2:9" ht="27" customHeight="1">
      <c r="B136" s="73" t="str">
        <f ca="1">IFERROR(__xludf.DUMMYFUNCTION("""COMPUTED_VALUE"""),"INMUNOGRIP")</f>
        <v>INMUNOGRIP</v>
      </c>
      <c r="C136" s="73" t="str">
        <f ca="1">IFERROR(__xludf.DUMMYFUNCTION("""COMPUTED_VALUE"""),"FRASCO 180ML")</f>
        <v>FRASCO 180ML</v>
      </c>
      <c r="D136" s="73" t="str">
        <f ca="1">IFERROR(__xludf.DUMMYFUNCTION("""COMPUTED_VALUE"""),"JARABE NATURAL")</f>
        <v>JARABE NATURAL</v>
      </c>
      <c r="E136" s="73" t="str">
        <f ca="1">IFERROR(__xludf.DUMMYFUNCTION("""COMPUTED_VALUE"""),"VIZCAINO")</f>
        <v>VIZCAINO</v>
      </c>
      <c r="F136" s="75">
        <f ca="1">IFERROR(__xludf.DUMMYFUNCTION("""COMPUTED_VALUE"""),45896)</f>
        <v>45896</v>
      </c>
      <c r="G136" s="74">
        <f ca="1">IFERROR(__xludf.DUMMYFUNCTION("""COMPUTED_VALUE"""),92.54)</f>
        <v>92.54</v>
      </c>
      <c r="H136" s="74">
        <f ca="1">IFERROR(__xludf.DUMMYFUNCTION("""COMPUTED_VALUE"""),129.556)</f>
        <v>129.55600000000001</v>
      </c>
      <c r="I136" s="74">
        <f ca="1">IFERROR(__xludf.DUMMYFUNCTION("""COMPUTED_VALUE"""),180)</f>
        <v>180</v>
      </c>
    </row>
    <row r="137" spans="2:9" ht="27" customHeight="1">
      <c r="B137" s="73" t="str">
        <f ca="1">IFERROR(__xludf.DUMMYFUNCTION("""COMPUTED_VALUE"""),"INMUNOPHARA")</f>
        <v>INMUNOPHARA</v>
      </c>
      <c r="C137" s="73" t="str">
        <f ca="1">IFERROR(__xludf.DUMMYFUNCTION("""COMPUTED_VALUE"""),"FRASCO 80ML")</f>
        <v>FRASCO 80ML</v>
      </c>
      <c r="D137" s="73" t="str">
        <f ca="1">IFERROR(__xludf.DUMMYFUNCTION("""COMPUTED_VALUE"""),"EXTRACTO DE PELARGONIO, GLICEROLADO DE EQUINACEA")</f>
        <v>EXTRACTO DE PELARGONIO, GLICEROLADO DE EQUINACEA</v>
      </c>
      <c r="E137" s="73" t="str">
        <f ca="1">IFERROR(__xludf.DUMMYFUNCTION("""COMPUTED_VALUE"""),"PHARA")</f>
        <v>PHARA</v>
      </c>
      <c r="F137" s="75">
        <f ca="1">IFERROR(__xludf.DUMMYFUNCTION("""COMPUTED_VALUE"""),45683)</f>
        <v>45683</v>
      </c>
      <c r="G137" s="74">
        <f ca="1">IFERROR(__xludf.DUMMYFUNCTION("""COMPUTED_VALUE"""),117)</f>
        <v>117</v>
      </c>
      <c r="H137" s="74">
        <f ca="1">IFERROR(__xludf.DUMMYFUNCTION("""COMPUTED_VALUE"""),163.8)</f>
        <v>163.80000000000001</v>
      </c>
      <c r="I137" s="74">
        <f ca="1">IFERROR(__xludf.DUMMYFUNCTION("""COMPUTED_VALUE"""),165)</f>
        <v>165</v>
      </c>
    </row>
    <row r="138" spans="2:9" ht="27" customHeight="1">
      <c r="B138" s="73" t="str">
        <f ca="1">IFERROR(__xludf.DUMMYFUNCTION("""COMPUTED_VALUE"""),"INMUNOPHARA")</f>
        <v>INMUNOPHARA</v>
      </c>
      <c r="C138" s="73" t="str">
        <f ca="1">IFERROR(__xludf.DUMMYFUNCTION("""COMPUTED_VALUE"""),"FRASCO 40ML")</f>
        <v>FRASCO 40ML</v>
      </c>
      <c r="D138" s="73" t="str">
        <f ca="1">IFERROR(__xludf.DUMMYFUNCTION("""COMPUTED_VALUE"""),"EXTRACTO DE PELARGONIO, GLICEROLADO DE EQUINACEA")</f>
        <v>EXTRACTO DE PELARGONIO, GLICEROLADO DE EQUINACEA</v>
      </c>
      <c r="E138" s="73" t="str">
        <f ca="1">IFERROR(__xludf.DUMMYFUNCTION("""COMPUTED_VALUE"""),"PHARA")</f>
        <v>PHARA</v>
      </c>
      <c r="F138" s="75">
        <f ca="1">IFERROR(__xludf.DUMMYFUNCTION("""COMPUTED_VALUE"""),45683)</f>
        <v>45683</v>
      </c>
      <c r="G138" s="74">
        <f ca="1">IFERROR(__xludf.DUMMYFUNCTION("""COMPUTED_VALUE"""),68.8)</f>
        <v>68.8</v>
      </c>
      <c r="H138" s="74">
        <f ca="1">IFERROR(__xludf.DUMMYFUNCTION("""COMPUTED_VALUE"""),96.32)</f>
        <v>96.32</v>
      </c>
      <c r="I138" s="74">
        <f ca="1">IFERROR(__xludf.DUMMYFUNCTION("""COMPUTED_VALUE"""),100)</f>
        <v>100</v>
      </c>
    </row>
    <row r="139" spans="2:9" ht="27" customHeight="1">
      <c r="B139" s="73" t="str">
        <f ca="1">IFERROR(__xludf.DUMMYFUNCTION("""COMPUTED_VALUE"""),"INSULEX N")</f>
        <v>INSULEX N</v>
      </c>
      <c r="C139" s="73" t="str">
        <f ca="1">IFERROR(__xludf.DUMMYFUNCTION("""COMPUTED_VALUE"""),"FRASCO 10ML")</f>
        <v>FRASCO 10ML</v>
      </c>
      <c r="D139" s="73" t="str">
        <f ca="1">IFERROR(__xludf.DUMMYFUNCTION("""COMPUTED_VALUE"""),"INSULINA ISOFONA (INSULINA CRISTALINA)")</f>
        <v>INSULINA ISOFONA (INSULINA CRISTALINA)</v>
      </c>
      <c r="E139" s="73" t="str">
        <f ca="1">IFERROR(__xludf.DUMMYFUNCTION("""COMPUTED_VALUE"""),"PISA")</f>
        <v>PISA</v>
      </c>
      <c r="F139" s="75">
        <f ca="1">IFERROR(__xludf.DUMMYFUNCTION("""COMPUTED_VALUE"""),45684)</f>
        <v>45684</v>
      </c>
      <c r="G139" s="74">
        <f ca="1">IFERROR(__xludf.DUMMYFUNCTION("""COMPUTED_VALUE"""),3)</f>
        <v>3</v>
      </c>
      <c r="H139" s="74">
        <f ca="1">IFERROR(__xludf.DUMMYFUNCTION("""COMPUTED_VALUE"""),4.2)</f>
        <v>4.2</v>
      </c>
      <c r="I139" s="74">
        <f ca="1">IFERROR(__xludf.DUMMYFUNCTION("""COMPUTED_VALUE"""),15)</f>
        <v>15</v>
      </c>
    </row>
    <row r="140" spans="2:9" ht="27" customHeight="1">
      <c r="B140" s="73" t="str">
        <f ca="1">IFERROR(__xludf.DUMMYFUNCTION("""COMPUTED_VALUE"""),"IPRAK 750SP")</f>
        <v>IPRAK 750SP</v>
      </c>
      <c r="C140" s="73" t="str">
        <f ca="1">IFERROR(__xludf.DUMMYFUNCTION("""COMPUTED_VALUE"""),"FRASCO 10ML")</f>
        <v>FRASCO 10ML</v>
      </c>
      <c r="D140" s="73" t="str">
        <f ca="1">IFERROR(__xludf.DUMMYFUNCTION("""COMPUTED_VALUE"""),"BROMURO DE IPATROPIUM 750MCG/1ML")</f>
        <v>BROMURO DE IPATROPIUM 750MCG/1ML</v>
      </c>
      <c r="E140" s="73" t="str">
        <f ca="1">IFERROR(__xludf.DUMMYFUNCTION("""COMPUTED_VALUE"""),"DONOVAN WERKE")</f>
        <v>DONOVAN WERKE</v>
      </c>
      <c r="F140" s="75">
        <f ca="1">IFERROR(__xludf.DUMMYFUNCTION("""COMPUTED_VALUE"""),45715)</f>
        <v>45715</v>
      </c>
      <c r="G140" s="74">
        <f ca="1">IFERROR(__xludf.DUMMYFUNCTION("""COMPUTED_VALUE"""),160)</f>
        <v>160</v>
      </c>
      <c r="H140" s="74">
        <f ca="1">IFERROR(__xludf.DUMMYFUNCTION("""COMPUTED_VALUE"""),224)</f>
        <v>224</v>
      </c>
      <c r="I140" s="74">
        <f ca="1">IFERROR(__xludf.DUMMYFUNCTION("""COMPUTED_VALUE"""),225)</f>
        <v>225</v>
      </c>
    </row>
    <row r="141" spans="2:9" ht="27" customHeight="1">
      <c r="B141" s="73" t="str">
        <f ca="1">IFERROR(__xludf.DUMMYFUNCTION("""COMPUTED_VALUE"""),"ISOCRANEOL")</f>
        <v>ISOCRANEOL</v>
      </c>
      <c r="C141" s="73" t="str">
        <f ca="1">IFERROR(__xludf.DUMMYFUNCTION("""COMPUTED_VALUE"""),"CAJA DE 10 TAB.")</f>
        <v>CAJA DE 10 TAB.</v>
      </c>
      <c r="D141" s="73" t="str">
        <f ca="1">IFERROR(__xludf.DUMMYFUNCTION("""COMPUTED_VALUE"""),"CITICOLINA 500MG")</f>
        <v>CITICOLINA 500MG</v>
      </c>
      <c r="E141" s="73" t="str">
        <f ca="1">IFERROR(__xludf.DUMMYFUNCTION("""COMPUTED_VALUE"""),"VIZCAINO")</f>
        <v>VIZCAINO</v>
      </c>
      <c r="F141" s="75">
        <f ca="1">IFERROR(__xludf.DUMMYFUNCTION("""COMPUTED_VALUE"""),45927)</f>
        <v>45927</v>
      </c>
      <c r="G141" s="74">
        <f ca="1">IFERROR(__xludf.DUMMYFUNCTION("""COMPUTED_VALUE"""),155.8)</f>
        <v>155.80000000000001</v>
      </c>
      <c r="H141" s="74">
        <f ca="1">IFERROR(__xludf.DUMMYFUNCTION("""COMPUTED_VALUE"""),218.12)</f>
        <v>218.12</v>
      </c>
      <c r="I141" s="74">
        <f ca="1">IFERROR(__xludf.DUMMYFUNCTION("""COMPUTED_VALUE"""),220)</f>
        <v>220</v>
      </c>
    </row>
    <row r="142" spans="2:9" ht="27" customHeight="1">
      <c r="B142" s="73" t="str">
        <f ca="1">IFERROR(__xludf.DUMMYFUNCTION("""COMPUTED_VALUE"""),"ISOPRINOSINE 250 MG")</f>
        <v>ISOPRINOSINE 250 MG</v>
      </c>
      <c r="C142" s="73" t="str">
        <f ca="1">IFERROR(__xludf.DUMMYFUNCTION("""COMPUTED_VALUE"""),"JARABE FRASCO 5ML")</f>
        <v>JARABE FRASCO 5ML</v>
      </c>
      <c r="D142" s="73" t="str">
        <f ca="1">IFERROR(__xludf.DUMMYFUNCTION("""COMPUTED_VALUE"""),"METISOPRINOL VIA ORAL 5 ML")</f>
        <v>METISOPRINOL VIA ORAL 5 ML</v>
      </c>
      <c r="E142" s="73" t="str">
        <f ca="1">IFERROR(__xludf.DUMMYFUNCTION("""COMPUTED_VALUE"""),"NEW PORT (RESCO)")</f>
        <v>NEW PORT (RESCO)</v>
      </c>
      <c r="F142" s="75">
        <f ca="1">IFERROR(__xludf.DUMMYFUNCTION("""COMPUTED_VALUE"""),45927)</f>
        <v>45927</v>
      </c>
      <c r="G142" s="74">
        <f ca="1">IFERROR(__xludf.DUMMYFUNCTION("""COMPUTED_VALUE"""),47.17)</f>
        <v>47.17</v>
      </c>
      <c r="H142" s="74">
        <f ca="1">IFERROR(__xludf.DUMMYFUNCTION("""COMPUTED_VALUE"""),66.038)</f>
        <v>66.037999999999997</v>
      </c>
      <c r="I142" s="74">
        <f ca="1">IFERROR(__xludf.DUMMYFUNCTION("""COMPUTED_VALUE"""),70)</f>
        <v>70</v>
      </c>
    </row>
    <row r="143" spans="2:9" ht="27" customHeight="1">
      <c r="B143" s="73" t="str">
        <f ca="1">IFERROR(__xludf.DUMMYFUNCTION("""COMPUTED_VALUE"""),"KEROLAC")</f>
        <v>KEROLAC</v>
      </c>
      <c r="C143" s="73" t="str">
        <f ca="1">IFERROR(__xludf.DUMMYFUNCTION("""COMPUTED_VALUE"""),"AMPOLLA 2ML")</f>
        <v>AMPOLLA 2ML</v>
      </c>
      <c r="D143" s="73" t="str">
        <f ca="1">IFERROR(__xludf.DUMMYFUNCTION("""COMPUTED_VALUE"""),"KETOROLACO TROMETAMOL 60MG/2ML")</f>
        <v>KETOROLACO TROMETAMOL 60MG/2ML</v>
      </c>
      <c r="E143" s="73" t="str">
        <f ca="1">IFERROR(__xludf.DUMMYFUNCTION("""COMPUTED_VALUE"""),"QUALIPHARM")</f>
        <v>QUALIPHARM</v>
      </c>
      <c r="F143" s="75">
        <f ca="1">IFERROR(__xludf.DUMMYFUNCTION("""COMPUTED_VALUE"""),45987)</f>
        <v>45987</v>
      </c>
      <c r="G143" s="74">
        <f ca="1">IFERROR(__xludf.DUMMYFUNCTION("""COMPUTED_VALUE"""),20)</f>
        <v>20</v>
      </c>
      <c r="H143" s="74">
        <f ca="1">IFERROR(__xludf.DUMMYFUNCTION("""COMPUTED_VALUE"""),28)</f>
        <v>28</v>
      </c>
      <c r="I143" s="74">
        <f ca="1">IFERROR(__xludf.DUMMYFUNCTION("""COMPUTED_VALUE"""),35)</f>
        <v>35</v>
      </c>
    </row>
    <row r="144" spans="2:9" ht="27" customHeight="1">
      <c r="B144" s="73" t="str">
        <f ca="1">IFERROR(__xludf.DUMMYFUNCTION("""COMPUTED_VALUE"""),"KETAMINA")</f>
        <v>KETAMINA</v>
      </c>
      <c r="C144" s="73" t="str">
        <f ca="1">IFERROR(__xludf.DUMMYFUNCTION("""COMPUTED_VALUE"""),"SOLUCIÒN INYECTABLE 10ML")</f>
        <v>SOLUCIÒN INYECTABLE 10ML</v>
      </c>
      <c r="D144" s="73" t="str">
        <f ca="1">IFERROR(__xludf.DUMMYFUNCTION("""COMPUTED_VALUE"""),"KETAMINA 50MG/ML")</f>
        <v>KETAMINA 50MG/ML</v>
      </c>
      <c r="E144" s="73" t="str">
        <f ca="1">IFERROR(__xludf.DUMMYFUNCTION("""COMPUTED_VALUE"""),"QUALITY")</f>
        <v>QUALITY</v>
      </c>
      <c r="F144" s="75">
        <f ca="1">IFERROR(__xludf.DUMMYFUNCTION("""COMPUTED_VALUE"""),46018)</f>
        <v>46018</v>
      </c>
      <c r="G144" s="74">
        <f ca="1">IFERROR(__xludf.DUMMYFUNCTION("""COMPUTED_VALUE"""),115)</f>
        <v>115</v>
      </c>
      <c r="H144" s="74">
        <f ca="1">IFERROR(__xludf.DUMMYFUNCTION("""COMPUTED_VALUE"""),161)</f>
        <v>161</v>
      </c>
      <c r="I144" s="74">
        <f ca="1">IFERROR(__xludf.DUMMYFUNCTION("""COMPUTED_VALUE"""),165)</f>
        <v>165</v>
      </c>
    </row>
    <row r="145" spans="2:9" ht="27" customHeight="1">
      <c r="B145" s="73" t="str">
        <f ca="1">IFERROR(__xludf.DUMMYFUNCTION("""COMPUTED_VALUE"""),"KID VIT")</f>
        <v>KID VIT</v>
      </c>
      <c r="C145" s="73" t="str">
        <f ca="1">IFERROR(__xludf.DUMMYFUNCTION("""COMPUTED_VALUE"""),"SPRAY 10ML")</f>
        <v>SPRAY 10ML</v>
      </c>
      <c r="D145" s="73" t="str">
        <f ca="1">IFERROR(__xludf.DUMMYFUNCTION("""COMPUTED_VALUE"""),"SUPLEMENTO ALIMENTICIO")</f>
        <v>SUPLEMENTO ALIMENTICIO</v>
      </c>
      <c r="E145" s="73" t="str">
        <f ca="1">IFERROR(__xludf.DUMMYFUNCTION("""COMPUTED_VALUE"""),"FARMEX")</f>
        <v>FARMEX</v>
      </c>
      <c r="F145" s="75">
        <f ca="1">IFERROR(__xludf.DUMMYFUNCTION("""COMPUTED_VALUE"""),45864)</f>
        <v>45864</v>
      </c>
      <c r="G145" s="74">
        <f ca="1">IFERROR(__xludf.DUMMYFUNCTION("""COMPUTED_VALUE"""),60)</f>
        <v>60</v>
      </c>
      <c r="H145" s="74">
        <f ca="1">IFERROR(__xludf.DUMMYFUNCTION("""COMPUTED_VALUE"""),84)</f>
        <v>84</v>
      </c>
      <c r="I145" s="74">
        <f ca="1">IFERROR(__xludf.DUMMYFUNCTION("""COMPUTED_VALUE"""),85)</f>
        <v>85</v>
      </c>
    </row>
    <row r="146" spans="2:9" ht="27" customHeight="1">
      <c r="B146" s="73" t="str">
        <f ca="1">IFERROR(__xludf.DUMMYFUNCTION("""COMPUTED_VALUE"""),"LACIMEN")</f>
        <v>LACIMEN</v>
      </c>
      <c r="C146" s="73" t="str">
        <f ca="1">IFERROR(__xludf.DUMMYFUNCTION("""COMPUTED_VALUE"""),"AMPOLLA 20ML")</f>
        <v>AMPOLLA 20ML</v>
      </c>
      <c r="D146" s="73" t="str">
        <f ca="1">IFERROR(__xludf.DUMMYFUNCTION("""COMPUTED_VALUE"""),"LABETALOL")</f>
        <v>LABETALOL</v>
      </c>
      <c r="E146" s="73" t="str">
        <f ca="1">IFERROR(__xludf.DUMMYFUNCTION("""COMPUTED_VALUE"""),"MENARINI")</f>
        <v>MENARINI</v>
      </c>
      <c r="F146" s="75">
        <f ca="1">IFERROR(__xludf.DUMMYFUNCTION("""COMPUTED_VALUE"""),45714)</f>
        <v>45714</v>
      </c>
      <c r="G146" s="74">
        <f ca="1">IFERROR(__xludf.DUMMYFUNCTION("""COMPUTED_VALUE"""),190.8)</f>
        <v>190.8</v>
      </c>
      <c r="H146" s="74">
        <f ca="1">IFERROR(__xludf.DUMMYFUNCTION("""COMPUTED_VALUE"""),267.12)</f>
        <v>267.12</v>
      </c>
      <c r="I146" s="74">
        <f ca="1">IFERROR(__xludf.DUMMYFUNCTION("""COMPUTED_VALUE"""),270)</f>
        <v>270</v>
      </c>
    </row>
    <row r="147" spans="2:9" ht="27" customHeight="1">
      <c r="B147" s="73" t="str">
        <f ca="1">IFERROR(__xludf.DUMMYFUNCTION("""COMPUTED_VALUE"""),"LAXIGLICOL")</f>
        <v>LAXIGLICOL</v>
      </c>
      <c r="C147" s="73" t="str">
        <f ca="1">IFERROR(__xludf.DUMMYFUNCTION("""COMPUTED_VALUE"""),"FRASCO 119G")</f>
        <v>FRASCO 119G</v>
      </c>
      <c r="D147" s="73" t="str">
        <f ca="1">IFERROR(__xludf.DUMMYFUNCTION("""COMPUTED_VALUE"""),"POLIETILENGLICOL")</f>
        <v>POLIETILENGLICOL</v>
      </c>
      <c r="E147" s="73" t="str">
        <f ca="1">IFERROR(__xludf.DUMMYFUNCTION("""COMPUTED_VALUE"""),"QUALIPHARM")</f>
        <v>QUALIPHARM</v>
      </c>
      <c r="F147" s="75">
        <f ca="1">IFERROR(__xludf.DUMMYFUNCTION("""COMPUTED_VALUE"""),45836)</f>
        <v>45836</v>
      </c>
      <c r="G147" s="74">
        <f ca="1">IFERROR(__xludf.DUMMYFUNCTION("""COMPUTED_VALUE"""),65)</f>
        <v>65</v>
      </c>
      <c r="H147" s="74">
        <f ca="1">IFERROR(__xludf.DUMMYFUNCTION("""COMPUTED_VALUE"""),91)</f>
        <v>91</v>
      </c>
      <c r="I147" s="74">
        <f ca="1">IFERROR(__xludf.DUMMYFUNCTION("""COMPUTED_VALUE"""),90)</f>
        <v>90</v>
      </c>
    </row>
    <row r="148" spans="2:9" ht="27" customHeight="1">
      <c r="B148" s="73" t="str">
        <f ca="1">IFERROR(__xludf.DUMMYFUNCTION("""COMPUTED_VALUE"""),"LEVEN-VIT FORTE")</f>
        <v>LEVEN-VIT FORTE</v>
      </c>
      <c r="C148" s="73" t="str">
        <f ca="1">IFERROR(__xludf.DUMMYFUNCTION("""COMPUTED_VALUE"""),"CAJA 10 AMP. BEBIBLES")</f>
        <v>CAJA 10 AMP. BEBIBLES</v>
      </c>
      <c r="D148" s="73" t="str">
        <f ca="1">IFERROR(__xludf.DUMMYFUNCTION("""COMPUTED_VALUE"""),"ASPARTATO DE ARGININA")</f>
        <v>ASPARTATO DE ARGININA</v>
      </c>
      <c r="E148" s="73" t="str">
        <f ca="1">IFERROR(__xludf.DUMMYFUNCTION("""COMPUTED_VALUE"""),"LEVEN/RESCO")</f>
        <v>LEVEN/RESCO</v>
      </c>
      <c r="F148" s="73" t="str">
        <f ca="1">IFERROR(__xludf.DUMMYFUNCTION("""COMPUTED_VALUE"""),"feb-29")</f>
        <v>feb-29</v>
      </c>
      <c r="G148" s="74">
        <f ca="1">IFERROR(__xludf.DUMMYFUNCTION("""COMPUTED_VALUE"""),71.57)</f>
        <v>71.569999999999993</v>
      </c>
      <c r="H148" s="74">
        <f ca="1">IFERROR(__xludf.DUMMYFUNCTION("""COMPUTED_VALUE"""),100.198)</f>
        <v>100.19799999999999</v>
      </c>
      <c r="I148" s="74">
        <f ca="1">IFERROR(__xludf.DUMMYFUNCTION("""COMPUTED_VALUE"""),115)</f>
        <v>115</v>
      </c>
    </row>
    <row r="149" spans="2:9" ht="27" customHeight="1">
      <c r="B149" s="73" t="str">
        <f ca="1">IFERROR(__xludf.DUMMYFUNCTION("""COMPUTED_VALUE"""),"LEVOFLAXIN 500MG")</f>
        <v>LEVOFLAXIN 500MG</v>
      </c>
      <c r="C149" s="73" t="str">
        <f ca="1">IFERROR(__xludf.DUMMYFUNCTION("""COMPUTED_VALUE"""),"CAJA 7 TAB.")</f>
        <v>CAJA 7 TAB.</v>
      </c>
      <c r="D149" s="73" t="str">
        <f ca="1">IFERROR(__xludf.DUMMYFUNCTION("""COMPUTED_VALUE"""),"LEVOFLOXACINA 500MG")</f>
        <v>LEVOFLOXACINA 500MG</v>
      </c>
      <c r="E149" s="73" t="str">
        <f ca="1">IFERROR(__xludf.DUMMYFUNCTION("""COMPUTED_VALUE"""),"WINZZER")</f>
        <v>WINZZER</v>
      </c>
      <c r="F149" s="75">
        <f ca="1">IFERROR(__xludf.DUMMYFUNCTION("""COMPUTED_VALUE"""),45742)</f>
        <v>45742</v>
      </c>
      <c r="G149" s="74">
        <f ca="1">IFERROR(__xludf.DUMMYFUNCTION("""COMPUTED_VALUE"""),100)</f>
        <v>100</v>
      </c>
      <c r="H149" s="74">
        <f ca="1">IFERROR(__xludf.DUMMYFUNCTION("""COMPUTED_VALUE"""),140)</f>
        <v>140</v>
      </c>
      <c r="I149" s="74">
        <f ca="1">IFERROR(__xludf.DUMMYFUNCTION("""COMPUTED_VALUE"""),180)</f>
        <v>180</v>
      </c>
    </row>
    <row r="150" spans="2:9" ht="27" customHeight="1">
      <c r="B150" s="73" t="str">
        <f ca="1">IFERROR(__xludf.DUMMYFUNCTION("""COMPUTED_VALUE"""),"LEVOFLAXIN 750MG")</f>
        <v>LEVOFLAXIN 750MG</v>
      </c>
      <c r="C150" s="73" t="str">
        <f ca="1">IFERROR(__xludf.DUMMYFUNCTION("""COMPUTED_VALUE"""),"CAJA 5 TAB.")</f>
        <v>CAJA 5 TAB.</v>
      </c>
      <c r="D150" s="73" t="str">
        <f ca="1">IFERROR(__xludf.DUMMYFUNCTION("""COMPUTED_VALUE"""),"LEVOFLOXACINA 750MG")</f>
        <v>LEVOFLOXACINA 750MG</v>
      </c>
      <c r="E150" s="73" t="str">
        <f ca="1">IFERROR(__xludf.DUMMYFUNCTION("""COMPUTED_VALUE"""),"WINZZER")</f>
        <v>WINZZER</v>
      </c>
      <c r="F150" s="75">
        <f ca="1">IFERROR(__xludf.DUMMYFUNCTION("""COMPUTED_VALUE"""),45956)</f>
        <v>45956</v>
      </c>
      <c r="G150" s="74">
        <f ca="1">IFERROR(__xludf.DUMMYFUNCTION("""COMPUTED_VALUE"""),126)</f>
        <v>126</v>
      </c>
      <c r="H150" s="74">
        <f ca="1">IFERROR(__xludf.DUMMYFUNCTION("""COMPUTED_VALUE"""),176.4)</f>
        <v>176.4</v>
      </c>
      <c r="I150" s="74">
        <f ca="1">IFERROR(__xludf.DUMMYFUNCTION("""COMPUTED_VALUE"""),200)</f>
        <v>200</v>
      </c>
    </row>
    <row r="151" spans="2:9" ht="27" customHeight="1">
      <c r="B151" s="73" t="str">
        <f ca="1">IFERROR(__xludf.DUMMYFUNCTION("""COMPUTED_VALUE"""),"LIDOCAINA SIMPLE")</f>
        <v>LIDOCAINA SIMPLE</v>
      </c>
      <c r="C151" s="73" t="str">
        <f ca="1">IFERROR(__xludf.DUMMYFUNCTION("""COMPUTED_VALUE"""),"FRASCO 50ML")</f>
        <v>FRASCO 50ML</v>
      </c>
      <c r="D151" s="73" t="str">
        <f ca="1">IFERROR(__xludf.DUMMYFUNCTION("""COMPUTED_VALUE"""),"LIDOCAINA CLORHIDRATO")</f>
        <v>LIDOCAINA CLORHIDRATO</v>
      </c>
      <c r="E151" s="73" t="str">
        <f ca="1">IFERROR(__xludf.DUMMYFUNCTION("""COMPUTED_VALUE"""),"VITALIS")</f>
        <v>VITALIS</v>
      </c>
      <c r="F151" s="75">
        <f ca="1">IFERROR(__xludf.DUMMYFUNCTION("""COMPUTED_VALUE"""),45896)</f>
        <v>45896</v>
      </c>
      <c r="G151" s="74">
        <f ca="1">IFERROR(__xludf.DUMMYFUNCTION("""COMPUTED_VALUE"""),32)</f>
        <v>32</v>
      </c>
      <c r="H151" s="74">
        <f ca="1">IFERROR(__xludf.DUMMYFUNCTION("""COMPUTED_VALUE"""),44.8)</f>
        <v>44.8</v>
      </c>
      <c r="I151" s="74">
        <f ca="1">IFERROR(__xludf.DUMMYFUNCTION("""COMPUTED_VALUE"""),50)</f>
        <v>50</v>
      </c>
    </row>
    <row r="152" spans="2:9" ht="27" customHeight="1">
      <c r="B152" s="73" t="str">
        <f ca="1">IFERROR(__xludf.DUMMYFUNCTION("""COMPUTED_VALUE"""),"LIMTOX")</f>
        <v>LIMTOX</v>
      </c>
      <c r="C152" s="73" t="str">
        <f ca="1">IFERROR(__xludf.DUMMYFUNCTION("""COMPUTED_VALUE"""),"CAJA 60 SOBRES")</f>
        <v>CAJA 60 SOBRES</v>
      </c>
      <c r="D152" s="73" t="str">
        <f ca="1">IFERROR(__xludf.DUMMYFUNCTION("""COMPUTED_VALUE"""),"LIMTOX")</f>
        <v>LIMTOX</v>
      </c>
      <c r="E152" s="73" t="str">
        <f ca="1">IFERROR(__xludf.DUMMYFUNCTION("""COMPUTED_VALUE"""),"PHARMALAT")</f>
        <v>PHARMALAT</v>
      </c>
      <c r="F152" s="75">
        <f ca="1">IFERROR(__xludf.DUMMYFUNCTION("""COMPUTED_VALUE"""),45956)</f>
        <v>45956</v>
      </c>
      <c r="G152" s="74">
        <f ca="1">IFERROR(__xludf.DUMMYFUNCTION("""COMPUTED_VALUE"""),690)</f>
        <v>690</v>
      </c>
      <c r="H152" s="74">
        <f ca="1">IFERROR(__xludf.DUMMYFUNCTION("""COMPUTED_VALUE"""),966)</f>
        <v>966</v>
      </c>
      <c r="I152" s="74">
        <f ca="1">IFERROR(__xludf.DUMMYFUNCTION("""COMPUTED_VALUE"""),970)</f>
        <v>970</v>
      </c>
    </row>
    <row r="153" spans="2:9" ht="27" customHeight="1">
      <c r="B153" s="73" t="str">
        <f ca="1">IFERROR(__xludf.DUMMYFUNCTION("""COMPUTED_VALUE"""),"LIV.52 DS")</f>
        <v>LIV.52 DS</v>
      </c>
      <c r="C153" s="73" t="str">
        <f ca="1">IFERROR(__xludf.DUMMYFUNCTION("""COMPUTED_VALUE"""),"FRACO DE 60 TAB.")</f>
        <v>FRACO DE 60 TAB.</v>
      </c>
      <c r="D153" s="73" t="str">
        <f ca="1">IFERROR(__xludf.DUMMYFUNCTION("""COMPUTED_VALUE"""),"LIV.52DS")</f>
        <v>LIV.52DS</v>
      </c>
      <c r="E153" s="73" t="str">
        <f ca="1">IFERROR(__xludf.DUMMYFUNCTION("""COMPUTED_VALUE"""),"HIMALAYA")</f>
        <v>HIMALAYA</v>
      </c>
      <c r="F153" s="75">
        <f ca="1">IFERROR(__xludf.DUMMYFUNCTION("""COMPUTED_VALUE"""),45926)</f>
        <v>45926</v>
      </c>
      <c r="G153" s="74">
        <f ca="1">IFERROR(__xludf.DUMMYFUNCTION("""COMPUTED_VALUE"""),124.6)</f>
        <v>124.6</v>
      </c>
      <c r="H153" s="74">
        <f ca="1">IFERROR(__xludf.DUMMYFUNCTION("""COMPUTED_VALUE"""),174.44)</f>
        <v>174.44</v>
      </c>
      <c r="I153" s="74">
        <f ca="1">IFERROR(__xludf.DUMMYFUNCTION("""COMPUTED_VALUE"""),175)</f>
        <v>175</v>
      </c>
    </row>
    <row r="154" spans="2:9" ht="27" customHeight="1">
      <c r="B154" s="73" t="str">
        <f ca="1">IFERROR(__xludf.DUMMYFUNCTION("""COMPUTED_VALUE"""),"LOPERAMIDA MK")</f>
        <v>LOPERAMIDA MK</v>
      </c>
      <c r="C154" s="73" t="str">
        <f ca="1">IFERROR(__xludf.DUMMYFUNCTION("""COMPUTED_VALUE"""),"CAJA DE 30 TABL.")</f>
        <v>CAJA DE 30 TABL.</v>
      </c>
      <c r="D154" s="73" t="str">
        <f ca="1">IFERROR(__xludf.DUMMYFUNCTION("""COMPUTED_VALUE"""),"LOPERAMIDE HUDROCHLORIDE")</f>
        <v>LOPERAMIDE HUDROCHLORIDE</v>
      </c>
      <c r="E154" s="73" t="str">
        <f ca="1">IFERROR(__xludf.DUMMYFUNCTION("""COMPUTED_VALUE"""),"SELECTPHARMA")</f>
        <v>SELECTPHARMA</v>
      </c>
      <c r="F154" s="75">
        <f ca="1">IFERROR(__xludf.DUMMYFUNCTION("""COMPUTED_VALUE"""),45804)</f>
        <v>45804</v>
      </c>
      <c r="G154" s="74">
        <f ca="1">IFERROR(__xludf.DUMMYFUNCTION("""COMPUTED_VALUE"""),12.97)</f>
        <v>12.97</v>
      </c>
      <c r="H154" s="74">
        <f ca="1">IFERROR(__xludf.DUMMYFUNCTION("""COMPUTED_VALUE"""),18.158)</f>
        <v>18.158000000000001</v>
      </c>
      <c r="I154" s="74">
        <f ca="1">IFERROR(__xludf.DUMMYFUNCTION("""COMPUTED_VALUE"""),20)</f>
        <v>20</v>
      </c>
    </row>
    <row r="155" spans="2:9" ht="27" customHeight="1">
      <c r="B155" s="73" t="str">
        <f ca="1">IFERROR(__xludf.DUMMYFUNCTION("""COMPUTED_VALUE"""),"LOTRIAL")</f>
        <v>LOTRIAL</v>
      </c>
      <c r="C155" s="73" t="str">
        <f ca="1">IFERROR(__xludf.DUMMYFUNCTION("""COMPUTED_VALUE"""),"AMPOLLA 2ML")</f>
        <v>AMPOLLA 2ML</v>
      </c>
      <c r="D155" s="73" t="str">
        <f ca="1">IFERROR(__xludf.DUMMYFUNCTION("""COMPUTED_VALUE"""),"ENALAPRILATO")</f>
        <v>ENALAPRILATO</v>
      </c>
      <c r="E155" s="73" t="str">
        <f ca="1">IFERROR(__xludf.DUMMYFUNCTION("""COMPUTED_VALUE"""),"MEGALABS")</f>
        <v>MEGALABS</v>
      </c>
      <c r="F155" s="75">
        <f ca="1">IFERROR(__xludf.DUMMYFUNCTION("""COMPUTED_VALUE"""),45834)</f>
        <v>45834</v>
      </c>
      <c r="G155" s="74">
        <f ca="1">IFERROR(__xludf.DUMMYFUNCTION("""COMPUTED_VALUE"""),175)</f>
        <v>175</v>
      </c>
      <c r="H155" s="74">
        <f ca="1">IFERROR(__xludf.DUMMYFUNCTION("""COMPUTED_VALUE"""),245)</f>
        <v>245</v>
      </c>
      <c r="I155" s="74">
        <f ca="1">IFERROR(__xludf.DUMMYFUNCTION("""COMPUTED_VALUE"""),250)</f>
        <v>250</v>
      </c>
    </row>
    <row r="156" spans="2:9" ht="27" customHeight="1">
      <c r="B156" s="73" t="str">
        <f ca="1">IFERROR(__xludf.DUMMYFUNCTION("""COMPUTED_VALUE"""),"LUBRIWELL")</f>
        <v>LUBRIWELL</v>
      </c>
      <c r="C156" s="73" t="str">
        <f ca="1">IFERROR(__xludf.DUMMYFUNCTION("""COMPUTED_VALUE"""),"GOTAS")</f>
        <v>GOTAS</v>
      </c>
      <c r="D156" s="73" t="str">
        <f ca="1">IFERROR(__xludf.DUMMYFUNCTION("""COMPUTED_VALUE"""),"CARBOXIMETILCELULOSA SODICA0.5%")</f>
        <v>CARBOXIMETILCELULOSA SODICA0.5%</v>
      </c>
      <c r="E156" s="73" t="str">
        <f ca="1">IFERROR(__xludf.DUMMYFUNCTION("""COMPUTED_VALUE"""),"WELLCO")</f>
        <v>WELLCO</v>
      </c>
      <c r="F156" s="75">
        <f ca="1">IFERROR(__xludf.DUMMYFUNCTION("""COMPUTED_VALUE"""),45987)</f>
        <v>45987</v>
      </c>
      <c r="G156" s="74">
        <f ca="1">IFERROR(__xludf.DUMMYFUNCTION("""COMPUTED_VALUE"""),51.6)</f>
        <v>51.6</v>
      </c>
      <c r="H156" s="74">
        <f ca="1">IFERROR(__xludf.DUMMYFUNCTION("""COMPUTED_VALUE"""),72.24)</f>
        <v>72.239999999999995</v>
      </c>
      <c r="I156" s="74">
        <f ca="1">IFERROR(__xludf.DUMMYFUNCTION("""COMPUTED_VALUE"""),90)</f>
        <v>90</v>
      </c>
    </row>
    <row r="157" spans="2:9" ht="27" customHeight="1">
      <c r="B157" s="73" t="str">
        <f ca="1">IFERROR(__xludf.DUMMYFUNCTION("""COMPUTED_VALUE"""),"LUTEVISTA")</f>
        <v>LUTEVISTA</v>
      </c>
      <c r="C157" s="73" t="str">
        <f ca="1">IFERROR(__xludf.DUMMYFUNCTION("""COMPUTED_VALUE"""),"CAJA 30 GELCAPS")</f>
        <v>CAJA 30 GELCAPS</v>
      </c>
      <c r="D157" s="73" t="str">
        <f ca="1">IFERROR(__xludf.DUMMYFUNCTION("""COMPUTED_VALUE"""),"SUPLEMENTO VITAMÍNICO")</f>
        <v>SUPLEMENTO VITAMÍNICO</v>
      </c>
      <c r="E157" s="73" t="str">
        <f ca="1">IFERROR(__xludf.DUMMYFUNCTION("""COMPUTED_VALUE"""),"BROPHARMA")</f>
        <v>BROPHARMA</v>
      </c>
      <c r="F157" s="75">
        <f ca="1">IFERROR(__xludf.DUMMYFUNCTION("""COMPUTED_VALUE"""),45715)</f>
        <v>45715</v>
      </c>
      <c r="G157" s="74">
        <f ca="1">IFERROR(__xludf.DUMMYFUNCTION("""COMPUTED_VALUE"""),90)</f>
        <v>90</v>
      </c>
      <c r="H157" s="74">
        <f ca="1">IFERROR(__xludf.DUMMYFUNCTION("""COMPUTED_VALUE"""),126)</f>
        <v>126</v>
      </c>
      <c r="I157" s="74">
        <f ca="1">IFERROR(__xludf.DUMMYFUNCTION("""COMPUTED_VALUE"""),140)</f>
        <v>140</v>
      </c>
    </row>
    <row r="158" spans="2:9" ht="27" customHeight="1">
      <c r="B158" s="73" t="str">
        <f ca="1">IFERROR(__xludf.DUMMYFUNCTION("""COMPUTED_VALUE"""),"MACROVITAM")</f>
        <v>MACROVITAM</v>
      </c>
      <c r="C158" s="73" t="str">
        <f ca="1">IFERROR(__xludf.DUMMYFUNCTION("""COMPUTED_VALUE"""),"CAJA 30 TAB.")</f>
        <v>CAJA 30 TAB.</v>
      </c>
      <c r="D158" s="73" t="str">
        <f ca="1">IFERROR(__xludf.DUMMYFUNCTION("""COMPUTED_VALUE"""),"MULTIVITAMINICO")</f>
        <v>MULTIVITAMINICO</v>
      </c>
      <c r="E158" s="73" t="str">
        <f ca="1">IFERROR(__xludf.DUMMYFUNCTION("""COMPUTED_VALUE"""),"PHARMALAT")</f>
        <v>PHARMALAT</v>
      </c>
      <c r="F158" s="75">
        <f ca="1">IFERROR(__xludf.DUMMYFUNCTION("""COMPUTED_VALUE"""),45684)</f>
        <v>45684</v>
      </c>
      <c r="G158" s="74">
        <f ca="1">IFERROR(__xludf.DUMMYFUNCTION("""COMPUTED_VALUE"""),73.15)</f>
        <v>73.150000000000006</v>
      </c>
      <c r="H158" s="74">
        <f ca="1">IFERROR(__xludf.DUMMYFUNCTION("""COMPUTED_VALUE"""),102.41)</f>
        <v>102.41</v>
      </c>
      <c r="I158" s="74">
        <f ca="1">IFERROR(__xludf.DUMMYFUNCTION("""COMPUTED_VALUE"""),105)</f>
        <v>105</v>
      </c>
    </row>
    <row r="159" spans="2:9" ht="27" customHeight="1">
      <c r="B159" s="73" t="str">
        <f ca="1">IFERROR(__xludf.DUMMYFUNCTION("""COMPUTED_VALUE"""),"MAGNAGEL")</f>
        <v>MAGNAGEL</v>
      </c>
      <c r="C159" s="73" t="str">
        <f ca="1">IFERROR(__xludf.DUMMYFUNCTION("""COMPUTED_VALUE"""),"FRASCO 360ML")</f>
        <v>FRASCO 360ML</v>
      </c>
      <c r="D159" s="73" t="str">
        <f ca="1">IFERROR(__xludf.DUMMYFUNCTION("""COMPUTED_VALUE"""),"HIDRÓXIDO DE ALUMINIO, HIDRÓXIDO DE MAGNESIO, SIMETICONA")</f>
        <v>HIDRÓXIDO DE ALUMINIO, HIDRÓXIDO DE MAGNESIO, SIMETICONA</v>
      </c>
      <c r="E159" s="73" t="str">
        <f ca="1">IFERROR(__xludf.DUMMYFUNCTION("""COMPUTED_VALUE"""),"ARA STENDHAL")</f>
        <v>ARA STENDHAL</v>
      </c>
      <c r="F159" s="75">
        <f ca="1">IFERROR(__xludf.DUMMYFUNCTION("""COMPUTED_VALUE"""),45774)</f>
        <v>45774</v>
      </c>
      <c r="G159" s="74">
        <f ca="1">IFERROR(__xludf.DUMMYFUNCTION("""COMPUTED_VALUE"""),26)</f>
        <v>26</v>
      </c>
      <c r="H159" s="74">
        <f ca="1">IFERROR(__xludf.DUMMYFUNCTION("""COMPUTED_VALUE"""),36.4)</f>
        <v>36.4</v>
      </c>
      <c r="I159" s="74">
        <f ca="1">IFERROR(__xludf.DUMMYFUNCTION("""COMPUTED_VALUE"""),40)</f>
        <v>40</v>
      </c>
    </row>
    <row r="160" spans="2:9" ht="27" customHeight="1">
      <c r="B160" s="73" t="str">
        <f ca="1">IFERROR(__xludf.DUMMYFUNCTION("""COMPUTED_VALUE"""),"MANITOL")</f>
        <v>MANITOL</v>
      </c>
      <c r="C160" s="73" t="str">
        <f ca="1">IFERROR(__xludf.DUMMYFUNCTION("""COMPUTED_VALUE"""),"FRASCO 10ML")</f>
        <v>FRASCO 10ML</v>
      </c>
      <c r="D160" s="73" t="str">
        <f ca="1">IFERROR(__xludf.DUMMYFUNCTION("""COMPUTED_VALUE"""),"MANITOL AL 25%")</f>
        <v>MANITOL AL 25%</v>
      </c>
      <c r="E160" s="73" t="str">
        <f ca="1">IFERROR(__xludf.DUMMYFUNCTION("""COMPUTED_VALUE"""),"RUIPHARMA")</f>
        <v>RUIPHARMA</v>
      </c>
      <c r="F160" s="75">
        <f ca="1">IFERROR(__xludf.DUMMYFUNCTION("""COMPUTED_VALUE"""),45714)</f>
        <v>45714</v>
      </c>
      <c r="G160" s="74">
        <f ca="1">IFERROR(__xludf.DUMMYFUNCTION("""COMPUTED_VALUE"""),48)</f>
        <v>48</v>
      </c>
      <c r="H160" s="74">
        <f ca="1">IFERROR(__xludf.DUMMYFUNCTION("""COMPUTED_VALUE"""),67.2)</f>
        <v>67.2</v>
      </c>
      <c r="I160" s="74">
        <f ca="1">IFERROR(__xludf.DUMMYFUNCTION("""COMPUTED_VALUE"""),70)</f>
        <v>70</v>
      </c>
    </row>
    <row r="161" spans="2:9" ht="27" customHeight="1">
      <c r="B161" s="73" t="str">
        <f ca="1">IFERROR(__xludf.DUMMYFUNCTION("""COMPUTED_VALUE"""),"MEDISUM")</f>
        <v>MEDISUM</v>
      </c>
      <c r="C161" s="73" t="str">
        <f ca="1">IFERROR(__xludf.DUMMYFUNCTION("""COMPUTED_VALUE"""),"SPRAY")</f>
        <v>SPRAY</v>
      </c>
      <c r="D161" s="73" t="str">
        <f ca="1">IFERROR(__xludf.DUMMYFUNCTION("""COMPUTED_VALUE"""),"PROTECTOR SOLAR")</f>
        <v>PROTECTOR SOLAR</v>
      </c>
      <c r="E161" s="73" t="str">
        <f ca="1">IFERROR(__xludf.DUMMYFUNCTION("""COMPUTED_VALUE"""),"ACM LAB. DERMATOLOGIQUE")</f>
        <v>ACM LAB. DERMATOLOGIQUE</v>
      </c>
      <c r="F161" s="75">
        <f ca="1">IFERROR(__xludf.DUMMYFUNCTION("""COMPUTED_VALUE"""),45894)</f>
        <v>45894</v>
      </c>
      <c r="G161" s="74">
        <f ca="1">IFERROR(__xludf.DUMMYFUNCTION("""COMPUTED_VALUE"""),127.81)</f>
        <v>127.81</v>
      </c>
      <c r="H161" s="74">
        <f ca="1">IFERROR(__xludf.DUMMYFUNCTION("""COMPUTED_VALUE"""),178.934)</f>
        <v>178.934</v>
      </c>
      <c r="I161" s="74">
        <f ca="1">IFERROR(__xludf.DUMMYFUNCTION("""COMPUTED_VALUE"""),180)</f>
        <v>180</v>
      </c>
    </row>
    <row r="162" spans="2:9" ht="27" customHeight="1">
      <c r="B162" s="73" t="str">
        <f ca="1">IFERROR(__xludf.DUMMYFUNCTION("""COMPUTED_VALUE"""),"MENADERM OTOLÓGICO")</f>
        <v>MENADERM OTOLÓGICO</v>
      </c>
      <c r="C162" s="73" t="str">
        <f ca="1">IFERROR(__xludf.DUMMYFUNCTION("""COMPUTED_VALUE"""),"GOTERO 10ML")</f>
        <v>GOTERO 10ML</v>
      </c>
      <c r="D162" s="73" t="str">
        <f ca="1">IFERROR(__xludf.DUMMYFUNCTION("""COMPUTED_VALUE"""),"BECLOMETASONA 0.25MG+CLIOQUINOL 0.01G/ML")</f>
        <v>BECLOMETASONA 0.25MG+CLIOQUINOL 0.01G/ML</v>
      </c>
      <c r="E162" s="73" t="str">
        <f ca="1">IFERROR(__xludf.DUMMYFUNCTION("""COMPUTED_VALUE"""),"MENARINI")</f>
        <v>MENARINI</v>
      </c>
      <c r="F162" s="75">
        <f ca="1">IFERROR(__xludf.DUMMYFUNCTION("""COMPUTED_VALUE"""),45926)</f>
        <v>45926</v>
      </c>
      <c r="G162" s="74">
        <f ca="1">IFERROR(__xludf.DUMMYFUNCTION("""COMPUTED_VALUE"""),87.28)</f>
        <v>87.28</v>
      </c>
      <c r="H162" s="74">
        <f ca="1">IFERROR(__xludf.DUMMYFUNCTION("""COMPUTED_VALUE"""),122.192)</f>
        <v>122.19199999999999</v>
      </c>
      <c r="I162" s="74">
        <f ca="1">IFERROR(__xludf.DUMMYFUNCTION("""COMPUTED_VALUE"""),125)</f>
        <v>125</v>
      </c>
    </row>
    <row r="163" spans="2:9" ht="27" customHeight="1">
      <c r="B163" s="73" t="str">
        <f ca="1">IFERROR(__xludf.DUMMYFUNCTION("""COMPUTED_VALUE"""),"MERLIX DEXKETOFRENO")</f>
        <v>MERLIX DEXKETOFRENO</v>
      </c>
      <c r="C163" s="73" t="str">
        <f ca="1">IFERROR(__xludf.DUMMYFUNCTION("""COMPUTED_VALUE"""),"SOBRES SOLUCION ORAL")</f>
        <v>SOBRES SOLUCION ORAL</v>
      </c>
      <c r="D163" s="73" t="str">
        <f ca="1">IFERROR(__xludf.DUMMYFUNCTION("""COMPUTED_VALUE"""),"DEXKETOFRENO 25MG")</f>
        <v>DEXKETOFRENO 25MG</v>
      </c>
      <c r="E163" s="73" t="str">
        <f ca="1">IFERROR(__xludf.DUMMYFUNCTION("""COMPUTED_VALUE"""),"LUMINOVA (COIDE)")</f>
        <v>LUMINOVA (COIDE)</v>
      </c>
      <c r="F163" s="75">
        <f ca="1">IFERROR(__xludf.DUMMYFUNCTION("""COMPUTED_VALUE"""),45803)</f>
        <v>45803</v>
      </c>
      <c r="G163" s="74">
        <f ca="1">IFERROR(__xludf.DUMMYFUNCTION("""COMPUTED_VALUE"""),6.9)</f>
        <v>6.9</v>
      </c>
      <c r="H163" s="74">
        <f ca="1">IFERROR(__xludf.DUMMYFUNCTION("""COMPUTED_VALUE"""),9.66)</f>
        <v>9.66</v>
      </c>
      <c r="I163" s="74">
        <f ca="1">IFERROR(__xludf.DUMMYFUNCTION("""COMPUTED_VALUE"""),10)</f>
        <v>10</v>
      </c>
    </row>
    <row r="164" spans="2:9" ht="27" customHeight="1">
      <c r="B164" s="73" t="str">
        <f ca="1">IFERROR(__xludf.DUMMYFUNCTION("""COMPUTED_VALUE"""),"MERLIX DEXKETOFRENO")</f>
        <v>MERLIX DEXKETOFRENO</v>
      </c>
      <c r="C164" s="73" t="str">
        <f ca="1">IFERROR(__xludf.DUMMYFUNCTION("""COMPUTED_VALUE"""),"AMPOLLAS")</f>
        <v>AMPOLLAS</v>
      </c>
      <c r="D164" s="73" t="str">
        <f ca="1">IFERROR(__xludf.DUMMYFUNCTION("""COMPUTED_VALUE"""),"DEXKETOFRENO 25MG")</f>
        <v>DEXKETOFRENO 25MG</v>
      </c>
      <c r="E164" s="73" t="str">
        <f ca="1">IFERROR(__xludf.DUMMYFUNCTION("""COMPUTED_VALUE"""),"LUMINOVA (COIDE)")</f>
        <v>LUMINOVA (COIDE)</v>
      </c>
      <c r="F164" s="75">
        <f ca="1">IFERROR(__xludf.DUMMYFUNCTION("""COMPUTED_VALUE"""),45803)</f>
        <v>45803</v>
      </c>
      <c r="G164" s="74">
        <f ca="1">IFERROR(__xludf.DUMMYFUNCTION("""COMPUTED_VALUE"""),10)</f>
        <v>10</v>
      </c>
      <c r="H164" s="74">
        <f ca="1">IFERROR(__xludf.DUMMYFUNCTION("""COMPUTED_VALUE"""),14)</f>
        <v>14</v>
      </c>
      <c r="I164" s="74">
        <f ca="1">IFERROR(__xludf.DUMMYFUNCTION("""COMPUTED_VALUE"""),35)</f>
        <v>35</v>
      </c>
    </row>
    <row r="165" spans="2:9" ht="27" customHeight="1">
      <c r="B165" s="73" t="str">
        <f ca="1">IFERROR(__xludf.DUMMYFUNCTION("""COMPUTED_VALUE"""),"MEROPENEM 500MG")</f>
        <v>MEROPENEM 500MG</v>
      </c>
      <c r="C165" s="73" t="str">
        <f ca="1">IFERROR(__xludf.DUMMYFUNCTION("""COMPUTED_VALUE"""),"POLVO PARA SOLUCIÓN INYEC.")</f>
        <v>POLVO PARA SOLUCIÓN INYEC.</v>
      </c>
      <c r="D165" s="73" t="str">
        <f ca="1">IFERROR(__xludf.DUMMYFUNCTION("""COMPUTED_VALUE"""),"MEROPENEM 500MG")</f>
        <v>MEROPENEM 500MG</v>
      </c>
      <c r="E165" s="73" t="str">
        <f ca="1">IFERROR(__xludf.DUMMYFUNCTION("""COMPUTED_VALUE"""),"VITALIS")</f>
        <v>VITALIS</v>
      </c>
      <c r="F165" s="75">
        <f ca="1">IFERROR(__xludf.DUMMYFUNCTION("""COMPUTED_VALUE"""),45715)</f>
        <v>45715</v>
      </c>
      <c r="G165" s="74">
        <f ca="1">IFERROR(__xludf.DUMMYFUNCTION("""COMPUTED_VALUE"""),28.5)</f>
        <v>28.5</v>
      </c>
      <c r="H165" s="74">
        <f ca="1">IFERROR(__xludf.DUMMYFUNCTION("""COMPUTED_VALUE"""),39.9)</f>
        <v>39.9</v>
      </c>
      <c r="I165" s="74">
        <f ca="1">IFERROR(__xludf.DUMMYFUNCTION("""COMPUTED_VALUE"""),100)</f>
        <v>100</v>
      </c>
    </row>
    <row r="166" spans="2:9" ht="27" customHeight="1">
      <c r="B166" s="73" t="str">
        <f ca="1">IFERROR(__xludf.DUMMYFUNCTION("""COMPUTED_VALUE"""),"METFORMINA 850MG")</f>
        <v>METFORMINA 850MG</v>
      </c>
      <c r="C166" s="73" t="str">
        <f ca="1">IFERROR(__xludf.DUMMYFUNCTION("""COMPUTED_VALUE"""),"BLISTER 10 TAB.")</f>
        <v>BLISTER 10 TAB.</v>
      </c>
      <c r="D166" s="73" t="str">
        <f ca="1">IFERROR(__xludf.DUMMYFUNCTION("""COMPUTED_VALUE"""),"METFORMINA 850MG")</f>
        <v>METFORMINA 850MG</v>
      </c>
      <c r="E166" s="73" t="str">
        <f ca="1">IFERROR(__xludf.DUMMYFUNCTION("""COMPUTED_VALUE"""),"UMEDICA")</f>
        <v>UMEDICA</v>
      </c>
      <c r="F166" s="75">
        <f ca="1">IFERROR(__xludf.DUMMYFUNCTION("""COMPUTED_VALUE"""),45955)</f>
        <v>45955</v>
      </c>
      <c r="G166" s="74">
        <f ca="1">IFERROR(__xludf.DUMMYFUNCTION("""COMPUTED_VALUE"""),10)</f>
        <v>10</v>
      </c>
      <c r="H166" s="74">
        <f ca="1">IFERROR(__xludf.DUMMYFUNCTION("""COMPUTED_VALUE"""),14)</f>
        <v>14</v>
      </c>
      <c r="I166" s="74">
        <f ca="1">IFERROR(__xludf.DUMMYFUNCTION("""COMPUTED_VALUE"""),15)</f>
        <v>15</v>
      </c>
    </row>
    <row r="167" spans="2:9" ht="27" customHeight="1">
      <c r="B167" s="73" t="str">
        <f ca="1">IFERROR(__xludf.DUMMYFUNCTION("""COMPUTED_VALUE"""),"METILPREDNISOLONA")</f>
        <v>METILPREDNISOLONA</v>
      </c>
      <c r="C167" s="73" t="str">
        <f ca="1">IFERROR(__xludf.DUMMYFUNCTION("""COMPUTED_VALUE"""),"FRASCO IV")</f>
        <v>FRASCO IV</v>
      </c>
      <c r="D167" s="73" t="str">
        <f ca="1">IFERROR(__xludf.DUMMYFUNCTION("""COMPUTED_VALUE"""),"METILPERDNISOLOLA 1G.")</f>
        <v>METILPERDNISOLOLA 1G.</v>
      </c>
      <c r="E167" s="73" t="str">
        <f ca="1">IFERROR(__xludf.DUMMYFUNCTION("""COMPUTED_VALUE"""),"DISSA/SELECTPHARMA")</f>
        <v>DISSA/SELECTPHARMA</v>
      </c>
      <c r="F167" s="75">
        <f ca="1">IFERROR(__xludf.DUMMYFUNCTION("""COMPUTED_VALUE"""),45684)</f>
        <v>45684</v>
      </c>
      <c r="G167" s="74">
        <f ca="1">IFERROR(__xludf.DUMMYFUNCTION("""COMPUTED_VALUE"""),51)</f>
        <v>51</v>
      </c>
      <c r="H167" s="74">
        <f ca="1">IFERROR(__xludf.DUMMYFUNCTION("""COMPUTED_VALUE"""),71.4)</f>
        <v>71.400000000000006</v>
      </c>
      <c r="I167" s="74">
        <f ca="1">IFERROR(__xludf.DUMMYFUNCTION("""COMPUTED_VALUE"""),130)</f>
        <v>130</v>
      </c>
    </row>
    <row r="168" spans="2:9" ht="27" customHeight="1">
      <c r="B168" s="73" t="str">
        <f ca="1">IFERROR(__xludf.DUMMYFUNCTION("""COMPUTED_VALUE"""),"METOCARBAN")</f>
        <v>METOCARBAN</v>
      </c>
      <c r="C168" s="73" t="str">
        <f ca="1">IFERROR(__xludf.DUMMYFUNCTION("""COMPUTED_VALUE"""),"AMPOLLA 5ML")</f>
        <v>AMPOLLA 5ML</v>
      </c>
      <c r="D168" s="73" t="str">
        <f ca="1">IFERROR(__xludf.DUMMYFUNCTION("""COMPUTED_VALUE"""),"METOCARBAMOL 100MG")</f>
        <v>METOCARBAMOL 100MG</v>
      </c>
      <c r="E168" s="73" t="str">
        <f ca="1">IFERROR(__xludf.DUMMYFUNCTION("""COMPUTED_VALUE"""),"INFASA")</f>
        <v>INFASA</v>
      </c>
      <c r="F168" s="75">
        <f ca="1">IFERROR(__xludf.DUMMYFUNCTION("""COMPUTED_VALUE"""),45775)</f>
        <v>45775</v>
      </c>
      <c r="G168" s="74">
        <f ca="1">IFERROR(__xludf.DUMMYFUNCTION("""COMPUTED_VALUE"""),18.35)</f>
        <v>18.350000000000001</v>
      </c>
      <c r="H168" s="74">
        <f ca="1">IFERROR(__xludf.DUMMYFUNCTION("""COMPUTED_VALUE"""),25.69)</f>
        <v>25.69</v>
      </c>
      <c r="I168" s="74">
        <f ca="1">IFERROR(__xludf.DUMMYFUNCTION("""COMPUTED_VALUE"""),30)</f>
        <v>30</v>
      </c>
    </row>
    <row r="169" spans="2:9" ht="27" customHeight="1">
      <c r="B169" s="73" t="str">
        <f ca="1">IFERROR(__xludf.DUMMYFUNCTION("""COMPUTED_VALUE"""),"METOCARBAN AC")</f>
        <v>METOCARBAN AC</v>
      </c>
      <c r="C169" s="73" t="str">
        <f ca="1">IFERROR(__xludf.DUMMYFUNCTION("""COMPUTED_VALUE"""),"CAJA 30 TAB.")</f>
        <v>CAJA 30 TAB.</v>
      </c>
      <c r="D169" s="73" t="str">
        <f ca="1">IFERROR(__xludf.DUMMYFUNCTION("""COMPUTED_VALUE"""),"METOCARBAMOL 400MG + ACETAMINOFÉN 250MG")</f>
        <v>METOCARBAMOL 400MG + ACETAMINOFÉN 250MG</v>
      </c>
      <c r="E169" s="73" t="str">
        <f ca="1">IFERROR(__xludf.DUMMYFUNCTION("""COMPUTED_VALUE"""),"INFASA")</f>
        <v>INFASA</v>
      </c>
      <c r="F169" s="75">
        <f ca="1">IFERROR(__xludf.DUMMYFUNCTION("""COMPUTED_VALUE"""),45805)</f>
        <v>45805</v>
      </c>
      <c r="G169" s="74">
        <f ca="1">IFERROR(__xludf.DUMMYFUNCTION("""COMPUTED_VALUE"""),54.7)</f>
        <v>54.7</v>
      </c>
      <c r="H169" s="74">
        <f ca="1">IFERROR(__xludf.DUMMYFUNCTION("""COMPUTED_VALUE"""),76.58)</f>
        <v>76.58</v>
      </c>
      <c r="I169" s="74">
        <f ca="1">IFERROR(__xludf.DUMMYFUNCTION("""COMPUTED_VALUE"""),80)</f>
        <v>80</v>
      </c>
    </row>
    <row r="170" spans="2:9" ht="27" customHeight="1">
      <c r="B170" s="73" t="str">
        <f ca="1">IFERROR(__xludf.DUMMYFUNCTION("""COMPUTED_VALUE"""),"METOCLOPRAMIDA")</f>
        <v>METOCLOPRAMIDA</v>
      </c>
      <c r="C170" s="73" t="str">
        <f ca="1">IFERROR(__xludf.DUMMYFUNCTION("""COMPUTED_VALUE"""),"AMPOLLA")</f>
        <v>AMPOLLA</v>
      </c>
      <c r="D170" s="73" t="str">
        <f ca="1">IFERROR(__xludf.DUMMYFUNCTION("""COMPUTED_VALUE"""),"METOCLOPRAMIDA")</f>
        <v>METOCLOPRAMIDA</v>
      </c>
      <c r="E170" s="73" t="str">
        <f ca="1">IFERROR(__xludf.DUMMYFUNCTION("""COMPUTED_VALUE"""),"SELECTPHARMA")</f>
        <v>SELECTPHARMA</v>
      </c>
      <c r="F170" s="75">
        <f ca="1">IFERROR(__xludf.DUMMYFUNCTION("""COMPUTED_VALUE"""),46017)</f>
        <v>46017</v>
      </c>
      <c r="G170" s="74">
        <f ca="1">IFERROR(__xludf.DUMMYFUNCTION("""COMPUTED_VALUE"""),3.34)</f>
        <v>3.34</v>
      </c>
      <c r="H170" s="74">
        <f ca="1">IFERROR(__xludf.DUMMYFUNCTION("""COMPUTED_VALUE"""),4.676)</f>
        <v>4.6760000000000002</v>
      </c>
      <c r="I170" s="74">
        <f ca="1">IFERROR(__xludf.DUMMYFUNCTION("""COMPUTED_VALUE"""),30)</f>
        <v>30</v>
      </c>
    </row>
    <row r="171" spans="2:9" ht="27" customHeight="1">
      <c r="B171" s="73" t="str">
        <f ca="1">IFERROR(__xludf.DUMMYFUNCTION("""COMPUTED_VALUE"""),"MIDAZOLAM")</f>
        <v>MIDAZOLAM</v>
      </c>
      <c r="C171" s="73" t="str">
        <f ca="1">IFERROR(__xludf.DUMMYFUNCTION("""COMPUTED_VALUE"""),"AMPOLLA")</f>
        <v>AMPOLLA</v>
      </c>
      <c r="D171" s="73" t="str">
        <f ca="1">IFERROR(__xludf.DUMMYFUNCTION("""COMPUTED_VALUE"""),"MIDAZOLAM")</f>
        <v>MIDAZOLAM</v>
      </c>
      <c r="E171" s="73" t="str">
        <f ca="1">IFERROR(__xludf.DUMMYFUNCTION("""COMPUTED_VALUE"""),"ARPHARMA")</f>
        <v>ARPHARMA</v>
      </c>
      <c r="F171" s="75">
        <f ca="1">IFERROR(__xludf.DUMMYFUNCTION("""COMPUTED_VALUE"""),45835)</f>
        <v>45835</v>
      </c>
      <c r="G171" s="74">
        <f ca="1">IFERROR(__xludf.DUMMYFUNCTION("""COMPUTED_VALUE"""),58)</f>
        <v>58</v>
      </c>
      <c r="H171" s="74">
        <f ca="1">IFERROR(__xludf.DUMMYFUNCTION("""COMPUTED_VALUE"""),81.2)</f>
        <v>81.2</v>
      </c>
      <c r="I171" s="74">
        <f ca="1">IFERROR(__xludf.DUMMYFUNCTION("""COMPUTED_VALUE"""),85)</f>
        <v>85</v>
      </c>
    </row>
    <row r="172" spans="2:9" ht="27" customHeight="1">
      <c r="B172" s="73" t="str">
        <f ca="1">IFERROR(__xludf.DUMMYFUNCTION("""COMPUTED_VALUE"""),"MINART AM")</f>
        <v>MINART AM</v>
      </c>
      <c r="C172" s="73" t="str">
        <f ca="1">IFERROR(__xludf.DUMMYFUNCTION("""COMPUTED_VALUE"""),"CAJA 14 TABLETAS")</f>
        <v>CAJA 14 TABLETAS</v>
      </c>
      <c r="D172" s="73" t="str">
        <f ca="1">IFERROR(__xludf.DUMMYFUNCTION("""COMPUTED_VALUE"""),"CANDESARTÁN CILEXETIL 16MG/AMLODIPINA2.5MG")</f>
        <v>CANDESARTÁN CILEXETIL 16MG/AMLODIPINA2.5MG</v>
      </c>
      <c r="E172" s="73" t="str">
        <f ca="1">IFERROR(__xludf.DUMMYFUNCTION("""COMPUTED_VALUE"""),"MERCK Bofasa")</f>
        <v>MERCK Bofasa</v>
      </c>
      <c r="F172" s="75">
        <f ca="1">IFERROR(__xludf.DUMMYFUNCTION("""COMPUTED_VALUE"""),45864)</f>
        <v>45864</v>
      </c>
      <c r="G172" s="74">
        <f ca="1">IFERROR(__xludf.DUMMYFUNCTION("""COMPUTED_VALUE"""),184.2)</f>
        <v>184.2</v>
      </c>
      <c r="H172" s="74">
        <f ca="1">IFERROR(__xludf.DUMMYFUNCTION("""COMPUTED_VALUE"""),257.88)</f>
        <v>257.88</v>
      </c>
      <c r="I172" s="74">
        <f ca="1">IFERROR(__xludf.DUMMYFUNCTION("""COMPUTED_VALUE"""),260)</f>
        <v>260</v>
      </c>
    </row>
    <row r="173" spans="2:9" ht="27" customHeight="1">
      <c r="B173" s="73" t="str">
        <f ca="1">IFERROR(__xludf.DUMMYFUNCTION("""COMPUTED_VALUE"""),"MORFINA")</f>
        <v>MORFINA</v>
      </c>
      <c r="C173" s="73" t="str">
        <f ca="1">IFERROR(__xludf.DUMMYFUNCTION("""COMPUTED_VALUE"""),"AMPOLLA")</f>
        <v>AMPOLLA</v>
      </c>
      <c r="D173" s="73" t="str">
        <f ca="1">IFERROR(__xludf.DUMMYFUNCTION("""COMPUTED_VALUE"""),"MOFINA SULFATO 10MG/ML")</f>
        <v>MOFINA SULFATO 10MG/ML</v>
      </c>
      <c r="E173" s="73" t="str">
        <f ca="1">IFERROR(__xludf.DUMMYFUNCTION("""COMPUTED_VALUE"""),"ARPHARMA")</f>
        <v>ARPHARMA</v>
      </c>
      <c r="F173" s="75">
        <f ca="1">IFERROR(__xludf.DUMMYFUNCTION("""COMPUTED_VALUE"""),45986)</f>
        <v>45986</v>
      </c>
      <c r="G173" s="74">
        <f ca="1">IFERROR(__xludf.DUMMYFUNCTION("""COMPUTED_VALUE"""),52.5)</f>
        <v>52.5</v>
      </c>
      <c r="H173" s="74">
        <f ca="1">IFERROR(__xludf.DUMMYFUNCTION("""COMPUTED_VALUE"""),73.5)</f>
        <v>73.5</v>
      </c>
      <c r="I173" s="74">
        <f ca="1">IFERROR(__xludf.DUMMYFUNCTION("""COMPUTED_VALUE"""),75)</f>
        <v>75</v>
      </c>
    </row>
    <row r="174" spans="2:9" ht="27" customHeight="1">
      <c r="B174" s="73" t="str">
        <f ca="1">IFERROR(__xludf.DUMMYFUNCTION("""COMPUTED_VALUE"""),"NAGREG")</f>
        <v>NAGREG</v>
      </c>
      <c r="C174" s="73" t="str">
        <f ca="1">IFERROR(__xludf.DUMMYFUNCTION("""COMPUTED_VALUE"""),"CAJA 10 TABLETAS")</f>
        <v>CAJA 10 TABLETAS</v>
      </c>
      <c r="D174" s="73" t="str">
        <f ca="1">IFERROR(__xludf.DUMMYFUNCTION("""COMPUTED_VALUE"""),"RUPATADINA 10MG")</f>
        <v>RUPATADINA 10MG</v>
      </c>
      <c r="E174" s="73" t="str">
        <f ca="1">IFERROR(__xludf.DUMMYFUNCTION("""COMPUTED_VALUE"""),"ALTIAN PHARMA")</f>
        <v>ALTIAN PHARMA</v>
      </c>
      <c r="F174" s="75">
        <f ca="1">IFERROR(__xludf.DUMMYFUNCTION("""COMPUTED_VALUE"""),45835)</f>
        <v>45835</v>
      </c>
      <c r="G174" s="74">
        <f ca="1">IFERROR(__xludf.DUMMYFUNCTION("""COMPUTED_VALUE"""),122.3)</f>
        <v>122.3</v>
      </c>
      <c r="H174" s="74">
        <f ca="1">IFERROR(__xludf.DUMMYFUNCTION("""COMPUTED_VALUE"""),171.22)</f>
        <v>171.22</v>
      </c>
      <c r="I174" s="74">
        <f ca="1">IFERROR(__xludf.DUMMYFUNCTION("""COMPUTED_VALUE"""),175)</f>
        <v>175</v>
      </c>
    </row>
    <row r="175" spans="2:9" ht="27" customHeight="1">
      <c r="B175" s="73" t="str">
        <f ca="1">IFERROR(__xludf.DUMMYFUNCTION("""COMPUTED_VALUE"""),"NATRASOL 50MG")</f>
        <v>NATRASOL 50MG</v>
      </c>
      <c r="C175" s="73" t="str">
        <f ca="1">IFERROR(__xludf.DUMMYFUNCTION("""COMPUTED_VALUE"""),"CAJA 30 TABLETAS")</f>
        <v>CAJA 30 TABLETAS</v>
      </c>
      <c r="D175" s="73" t="str">
        <f ca="1">IFERROR(__xludf.DUMMYFUNCTION("""COMPUTED_VALUE"""),"LOSARTÀN POTASICO 50MG")</f>
        <v>LOSARTÀN POTASICO 50MG</v>
      </c>
      <c r="E175" s="73" t="str">
        <f ca="1">IFERROR(__xludf.DUMMYFUNCTION("""COMPUTED_VALUE"""),"FARMA SWISS")</f>
        <v>FARMA SWISS</v>
      </c>
      <c r="F175" s="75">
        <f ca="1">IFERROR(__xludf.DUMMYFUNCTION("""COMPUTED_VALUE"""),46018)</f>
        <v>46018</v>
      </c>
      <c r="G175" s="74">
        <f ca="1">IFERROR(__xludf.DUMMYFUNCTION("""COMPUTED_VALUE"""),80)</f>
        <v>80</v>
      </c>
      <c r="H175" s="74">
        <f ca="1">IFERROR(__xludf.DUMMYFUNCTION("""COMPUTED_VALUE"""),112)</f>
        <v>112</v>
      </c>
      <c r="I175" s="74">
        <f ca="1">IFERROR(__xludf.DUMMYFUNCTION("""COMPUTED_VALUE"""),115)</f>
        <v>115</v>
      </c>
    </row>
    <row r="176" spans="2:9" ht="27" customHeight="1">
      <c r="B176" s="73" t="str">
        <f ca="1">IFERROR(__xludf.DUMMYFUNCTION("""COMPUTED_VALUE"""),"NAUSEOL")</f>
        <v>NAUSEOL</v>
      </c>
      <c r="C176" s="73" t="str">
        <f ca="1">IFERROR(__xludf.DUMMYFUNCTION("""COMPUTED_VALUE"""),"AMPOLLA")</f>
        <v>AMPOLLA</v>
      </c>
      <c r="D176" s="73" t="str">
        <f ca="1">IFERROR(__xludf.DUMMYFUNCTION("""COMPUTED_VALUE"""),"NAUSEOL")</f>
        <v>NAUSEOL</v>
      </c>
      <c r="E176" s="73" t="str">
        <f ca="1">IFERROR(__xludf.DUMMYFUNCTION("""COMPUTED_VALUE"""),"BONIN H&amp;L")</f>
        <v>BONIN H&amp;L</v>
      </c>
      <c r="F176" s="75">
        <f ca="1">IFERROR(__xludf.DUMMYFUNCTION("""COMPUTED_VALUE"""),45686)</f>
        <v>45686</v>
      </c>
      <c r="G176" s="74">
        <f ca="1">IFERROR(__xludf.DUMMYFUNCTION("""COMPUTED_VALUE"""),6.9)</f>
        <v>6.9</v>
      </c>
      <c r="H176" s="74">
        <f ca="1">IFERROR(__xludf.DUMMYFUNCTION("""COMPUTED_VALUE"""),9.66)</f>
        <v>9.66</v>
      </c>
      <c r="I176" s="74">
        <f ca="1">IFERROR(__xludf.DUMMYFUNCTION("""COMPUTED_VALUE"""),30)</f>
        <v>30</v>
      </c>
    </row>
    <row r="177" spans="2:9" ht="27" customHeight="1">
      <c r="B177" s="73" t="str">
        <f ca="1">IFERROR(__xludf.DUMMYFUNCTION("""COMPUTED_VALUE"""),"NAUXIL")</f>
        <v>NAUXIL</v>
      </c>
      <c r="C177" s="73" t="str">
        <f ca="1">IFERROR(__xludf.DUMMYFUNCTION("""COMPUTED_VALUE"""),"FRASCO 30ML")</f>
        <v>FRASCO 30ML</v>
      </c>
      <c r="D177" s="73" t="str">
        <f ca="1">IFERROR(__xludf.DUMMYFUNCTION("""COMPUTED_VALUE"""),"DOXILAMINA 10MG+PIRIDOXINA 10MG")</f>
        <v>DOXILAMINA 10MG+PIRIDOXINA 10MG</v>
      </c>
      <c r="E177" s="73" t="str">
        <f ca="1">IFERROR(__xludf.DUMMYFUNCTION("""COMPUTED_VALUE"""),"QUALIPHARM")</f>
        <v>QUALIPHARM</v>
      </c>
      <c r="F177" s="75">
        <f ca="1">IFERROR(__xludf.DUMMYFUNCTION("""COMPUTED_VALUE"""),46017)</f>
        <v>46017</v>
      </c>
      <c r="G177" s="74">
        <f ca="1">IFERROR(__xludf.DUMMYFUNCTION("""COMPUTED_VALUE"""),20)</f>
        <v>20</v>
      </c>
      <c r="H177" s="74">
        <f ca="1">IFERROR(__xludf.DUMMYFUNCTION("""COMPUTED_VALUE"""),28)</f>
        <v>28</v>
      </c>
      <c r="I177" s="74">
        <f ca="1">IFERROR(__xludf.DUMMYFUNCTION("""COMPUTED_VALUE"""),30)</f>
        <v>30</v>
      </c>
    </row>
    <row r="178" spans="2:9" ht="27" customHeight="1">
      <c r="B178" s="73" t="str">
        <f ca="1">IFERROR(__xludf.DUMMYFUNCTION("""COMPUTED_VALUE"""),"NEOTREX")</f>
        <v>NEOTREX</v>
      </c>
      <c r="C178" s="73" t="str">
        <f ca="1">IFERROR(__xludf.DUMMYFUNCTION("""COMPUTED_VALUE"""),"CAJA 20 TABLETAS")</f>
        <v>CAJA 20 TABLETAS</v>
      </c>
      <c r="D178" s="73" t="str">
        <f ca="1">IFERROR(__xludf.DUMMYFUNCTION("""COMPUTED_VALUE"""),"LEVOSULPIRIDE 25MG")</f>
        <v>LEVOSULPIRIDE 25MG</v>
      </c>
      <c r="E178" s="73" t="str">
        <f ca="1">IFERROR(__xludf.DUMMYFUNCTION("""COMPUTED_VALUE"""),"FARMEX")</f>
        <v>FARMEX</v>
      </c>
      <c r="F178" s="75">
        <f ca="1">IFERROR(__xludf.DUMMYFUNCTION("""COMPUTED_VALUE"""),45715)</f>
        <v>45715</v>
      </c>
      <c r="G178" s="74">
        <f ca="1">IFERROR(__xludf.DUMMYFUNCTION("""COMPUTED_VALUE"""),65)</f>
        <v>65</v>
      </c>
      <c r="H178" s="74">
        <f ca="1">IFERROR(__xludf.DUMMYFUNCTION("""COMPUTED_VALUE"""),91)</f>
        <v>91</v>
      </c>
      <c r="I178" s="74">
        <f ca="1">IFERROR(__xludf.DUMMYFUNCTION("""COMPUTED_VALUE"""),100)</f>
        <v>100</v>
      </c>
    </row>
    <row r="179" spans="2:9" ht="27" customHeight="1">
      <c r="B179" s="73" t="str">
        <f ca="1">IFERROR(__xludf.DUMMYFUNCTION("""COMPUTED_VALUE"""),"NEURO EXKEN")</f>
        <v>NEURO EXKEN</v>
      </c>
      <c r="C179" s="73" t="str">
        <f ca="1">IFERROR(__xludf.DUMMYFUNCTION("""COMPUTED_VALUE"""),"CAJA 20 TABLETAS")</f>
        <v>CAJA 20 TABLETAS</v>
      </c>
      <c r="D179" s="73" t="str">
        <f ca="1">IFERROR(__xludf.DUMMYFUNCTION("""COMPUTED_VALUE"""),"DEXKETOPROFENO/VITAMINAS NEUROTROPAS B1, B6 y B12")</f>
        <v>DEXKETOPROFENO/VITAMINAS NEUROTROPAS B1, B6 y B12</v>
      </c>
      <c r="E179" s="73" t="str">
        <f ca="1">IFERROR(__xludf.DUMMYFUNCTION("""COMPUTED_VALUE"""),"PHARA")</f>
        <v>PHARA</v>
      </c>
      <c r="F179" s="75">
        <f ca="1">IFERROR(__xludf.DUMMYFUNCTION("""COMPUTED_VALUE"""),45683)</f>
        <v>45683</v>
      </c>
      <c r="G179" s="74">
        <f ca="1">IFERROR(__xludf.DUMMYFUNCTION("""COMPUTED_VALUE"""),84.03)</f>
        <v>84.03</v>
      </c>
      <c r="H179" s="74">
        <f ca="1">IFERROR(__xludf.DUMMYFUNCTION("""COMPUTED_VALUE"""),117.642)</f>
        <v>117.642</v>
      </c>
      <c r="I179" s="74">
        <f ca="1">IFERROR(__xludf.DUMMYFUNCTION("""COMPUTED_VALUE"""),125)</f>
        <v>125</v>
      </c>
    </row>
    <row r="180" spans="2:9" ht="27" customHeight="1">
      <c r="B180" s="73" t="str">
        <f ca="1">IFERROR(__xludf.DUMMYFUNCTION("""COMPUTED_VALUE"""),"NIC")</f>
        <v>NIC</v>
      </c>
      <c r="C180" s="73" t="str">
        <f ca="1">IFERROR(__xludf.DUMMYFUNCTION("""COMPUTED_VALUE"""),"CAJA 10 TABLETAS")</f>
        <v>CAJA 10 TABLETAS</v>
      </c>
      <c r="D180" s="73" t="str">
        <f ca="1">IFERROR(__xludf.DUMMYFUNCTION("""COMPUTED_VALUE"""),"CLARITROMICINA 500MG")</f>
        <v>CLARITROMICINA 500MG</v>
      </c>
      <c r="E180" s="73" t="str">
        <f ca="1">IFERROR(__xludf.DUMMYFUNCTION("""COMPUTED_VALUE"""),"FARMEX")</f>
        <v>FARMEX</v>
      </c>
      <c r="F180" s="75">
        <f ca="1">IFERROR(__xludf.DUMMYFUNCTION("""COMPUTED_VALUE"""),46018)</f>
        <v>46018</v>
      </c>
      <c r="G180" s="74">
        <f ca="1">IFERROR(__xludf.DUMMYFUNCTION("""COMPUTED_VALUE"""),110)</f>
        <v>110</v>
      </c>
      <c r="H180" s="74">
        <f ca="1">IFERROR(__xludf.DUMMYFUNCTION("""COMPUTED_VALUE"""),154)</f>
        <v>154</v>
      </c>
      <c r="I180" s="74">
        <f ca="1">IFERROR(__xludf.DUMMYFUNCTION("""COMPUTED_VALUE"""),155)</f>
        <v>155</v>
      </c>
    </row>
    <row r="181" spans="2:9" ht="27" customHeight="1">
      <c r="B181" s="73" t="str">
        <f ca="1">IFERROR(__xludf.DUMMYFUNCTION("""COMPUTED_VALUE"""),"NIC")</f>
        <v>NIC</v>
      </c>
      <c r="C181" s="73" t="str">
        <f ca="1">IFERROR(__xludf.DUMMYFUNCTION("""COMPUTED_VALUE"""),"FRASCO 60ML")</f>
        <v>FRASCO 60ML</v>
      </c>
      <c r="D181" s="73" t="str">
        <f ca="1">IFERROR(__xludf.DUMMYFUNCTION("""COMPUTED_VALUE"""),"CLARITROMICINA 250MG")</f>
        <v>CLARITROMICINA 250MG</v>
      </c>
      <c r="E181" s="73" t="str">
        <f ca="1">IFERROR(__xludf.DUMMYFUNCTION("""COMPUTED_VALUE"""),"FARMEX")</f>
        <v>FARMEX</v>
      </c>
      <c r="F181" s="75">
        <f ca="1">IFERROR(__xludf.DUMMYFUNCTION("""COMPUTED_VALUE"""),45774)</f>
        <v>45774</v>
      </c>
      <c r="G181" s="74">
        <f ca="1">IFERROR(__xludf.DUMMYFUNCTION("""COMPUTED_VALUE"""),110)</f>
        <v>110</v>
      </c>
      <c r="H181" s="74">
        <f ca="1">IFERROR(__xludf.DUMMYFUNCTION("""COMPUTED_VALUE"""),154)</f>
        <v>154</v>
      </c>
      <c r="I181" s="74">
        <f ca="1">IFERROR(__xludf.DUMMYFUNCTION("""COMPUTED_VALUE"""),155)</f>
        <v>155</v>
      </c>
    </row>
    <row r="182" spans="2:9" ht="27" customHeight="1">
      <c r="B182" s="73" t="str">
        <f ca="1">IFERROR(__xludf.DUMMYFUNCTION("""COMPUTED_VALUE"""),"NOLAXONA")</f>
        <v>NOLAXONA</v>
      </c>
      <c r="C182" s="73" t="str">
        <f ca="1">IFERROR(__xludf.DUMMYFUNCTION("""COMPUTED_VALUE"""),"AMPOLLA")</f>
        <v>AMPOLLA</v>
      </c>
      <c r="D182" s="73" t="str">
        <f ca="1">IFERROR(__xludf.DUMMYFUNCTION("""COMPUTED_VALUE"""),"CLORHIDRATO DE NOLAXONA")</f>
        <v>CLORHIDRATO DE NOLAXONA</v>
      </c>
      <c r="E182" s="73"/>
      <c r="F182" s="75">
        <f ca="1">IFERROR(__xludf.DUMMYFUNCTION("""COMPUTED_VALUE"""),45684)</f>
        <v>45684</v>
      </c>
      <c r="G182" s="74">
        <f ca="1">IFERROR(__xludf.DUMMYFUNCTION("""COMPUTED_VALUE"""),68)</f>
        <v>68</v>
      </c>
      <c r="H182" s="74">
        <f ca="1">IFERROR(__xludf.DUMMYFUNCTION("""COMPUTED_VALUE"""),95.2)</f>
        <v>95.2</v>
      </c>
      <c r="I182" s="74">
        <f ca="1">IFERROR(__xludf.DUMMYFUNCTION("""COMPUTED_VALUE"""),95)</f>
        <v>95</v>
      </c>
    </row>
    <row r="183" spans="2:9" ht="27" customHeight="1">
      <c r="B183" s="73" t="str">
        <f ca="1">IFERROR(__xludf.DUMMYFUNCTION("""COMPUTED_VALUE"""),"NORBRAIN")</f>
        <v>NORBRAIN</v>
      </c>
      <c r="C183" s="73" t="str">
        <f ca="1">IFERROR(__xludf.DUMMYFUNCTION("""COMPUTED_VALUE"""),"CAJA 30 SOBRES")</f>
        <v>CAJA 30 SOBRES</v>
      </c>
      <c r="D183" s="73" t="str">
        <f ca="1">IFERROR(__xludf.DUMMYFUNCTION("""COMPUTED_VALUE"""),"ACIDO OLEICO, AACIDO ROSMARÍNICO, CALÉNDULA, ACIDO GAMMA-AMNOBUTÍTICO")</f>
        <v>ACIDO OLEICO, AACIDO ROSMARÍNICO, CALÉNDULA, ACIDO GAMMA-AMNOBUTÍTICO</v>
      </c>
      <c r="E183" s="73" t="str">
        <f ca="1">IFERROR(__xludf.DUMMYFUNCTION("""COMPUTED_VALUE"""),"PHARMALAT")</f>
        <v>PHARMALAT</v>
      </c>
      <c r="F183" s="75">
        <f ca="1">IFERROR(__xludf.DUMMYFUNCTION("""COMPUTED_VALUE"""),45987)</f>
        <v>45987</v>
      </c>
      <c r="G183" s="74">
        <f ca="1">IFERROR(__xludf.DUMMYFUNCTION("""COMPUTED_VALUE"""),1348)</f>
        <v>1348</v>
      </c>
      <c r="H183" s="74">
        <f ca="1">IFERROR(__xludf.DUMMYFUNCTION("""COMPUTED_VALUE"""),1887.2)</f>
        <v>1887.2</v>
      </c>
      <c r="I183" s="74">
        <f ca="1">IFERROR(__xludf.DUMMYFUNCTION("""COMPUTED_VALUE"""),1900)</f>
        <v>1900</v>
      </c>
    </row>
    <row r="184" spans="2:9" ht="27" customHeight="1">
      <c r="B184" s="73" t="str">
        <f ca="1">IFERROR(__xludf.DUMMYFUNCTION("""COMPUTED_VALUE"""),"NOREPENEFRINA")</f>
        <v>NOREPENEFRINA</v>
      </c>
      <c r="C184" s="73" t="str">
        <f ca="1">IFERROR(__xludf.DUMMYFUNCTION("""COMPUTED_VALUE"""),"AMPOLLA 4 ML")</f>
        <v>AMPOLLA 4 ML</v>
      </c>
      <c r="D184" s="73" t="str">
        <f ca="1">IFERROR(__xludf.DUMMYFUNCTION("""COMPUTED_VALUE"""),"se usa para aumentar la presión arterial baja")</f>
        <v>se usa para aumentar la presión arterial baja</v>
      </c>
      <c r="E184" s="73" t="str">
        <f ca="1">IFERROR(__xludf.DUMMYFUNCTION("""COMPUTED_VALUE"""),"QUALITY")</f>
        <v>QUALITY</v>
      </c>
      <c r="F184" s="75">
        <f ca="1">IFERROR(__xludf.DUMMYFUNCTION("""COMPUTED_VALUE"""),45714)</f>
        <v>45714</v>
      </c>
      <c r="G184" s="74">
        <f ca="1">IFERROR(__xludf.DUMMYFUNCTION("""COMPUTED_VALUE"""),51.75)</f>
        <v>51.75</v>
      </c>
      <c r="H184" s="74">
        <f ca="1">IFERROR(__xludf.DUMMYFUNCTION("""COMPUTED_VALUE"""),72.45)</f>
        <v>72.45</v>
      </c>
      <c r="I184" s="74">
        <f ca="1">IFERROR(__xludf.DUMMYFUNCTION("""COMPUTED_VALUE"""),75)</f>
        <v>75</v>
      </c>
    </row>
    <row r="185" spans="2:9" ht="27" customHeight="1">
      <c r="B185" s="73" t="str">
        <f ca="1">IFERROR(__xludf.DUMMYFUNCTION("""COMPUTED_VALUE"""),"NOVA CISTEINA")</f>
        <v>NOVA CISTEINA</v>
      </c>
      <c r="C185" s="73" t="str">
        <f ca="1">IFERROR(__xludf.DUMMYFUNCTION("""COMPUTED_VALUE"""),"COMPRIMIDO EFERVECENTE")</f>
        <v>COMPRIMIDO EFERVECENTE</v>
      </c>
      <c r="D185" s="73" t="str">
        <f ca="1">IFERROR(__xludf.DUMMYFUNCTION("""COMPUTED_VALUE"""),"N-ACETILCISTEÍNA")</f>
        <v>N-ACETILCISTEÍNA</v>
      </c>
      <c r="E185" s="73" t="str">
        <f ca="1">IFERROR(__xludf.DUMMYFUNCTION("""COMPUTED_VALUE"""),"NOVALAB")</f>
        <v>NOVALAB</v>
      </c>
      <c r="F185" s="75">
        <f ca="1">IFERROR(__xludf.DUMMYFUNCTION("""COMPUTED_VALUE"""),45835)</f>
        <v>45835</v>
      </c>
      <c r="G185" s="74">
        <f ca="1">IFERROR(__xludf.DUMMYFUNCTION("""COMPUTED_VALUE"""),110.25)</f>
        <v>110.25</v>
      </c>
      <c r="H185" s="74">
        <f ca="1">IFERROR(__xludf.DUMMYFUNCTION("""COMPUTED_VALUE"""),154.35)</f>
        <v>154.35</v>
      </c>
      <c r="I185" s="74">
        <f ca="1">IFERROR(__xludf.DUMMYFUNCTION("""COMPUTED_VALUE"""),160)</f>
        <v>160</v>
      </c>
    </row>
    <row r="186" spans="2:9" ht="27" customHeight="1">
      <c r="B186" s="73" t="str">
        <f ca="1">IFERROR(__xludf.DUMMYFUNCTION("""COMPUTED_VALUE"""),"NÚCLEO C.M.P. FORTE")</f>
        <v>NÚCLEO C.M.P. FORTE</v>
      </c>
      <c r="C186" s="73" t="str">
        <f ca="1">IFERROR(__xludf.DUMMYFUNCTION("""COMPUTED_VALUE"""),"CAJA 30 CAPSULAS")</f>
        <v>CAJA 30 CAPSULAS</v>
      </c>
      <c r="D186" s="73" t="str">
        <f ca="1">IFERROR(__xludf.DUMMYFUNCTION("""COMPUTED_VALUE"""),"CAJA 30 CAPSULAS")</f>
        <v>CAJA 30 CAPSULAS</v>
      </c>
      <c r="E186" s="73" t="str">
        <f ca="1">IFERROR(__xludf.DUMMYFUNCTION("""COMPUTED_VALUE"""),"BOFASA")</f>
        <v>BOFASA</v>
      </c>
      <c r="F186" s="75">
        <f ca="1">IFERROR(__xludf.DUMMYFUNCTION("""COMPUTED_VALUE"""),45773)</f>
        <v>45773</v>
      </c>
      <c r="G186" s="74">
        <f ca="1">IFERROR(__xludf.DUMMYFUNCTION("""COMPUTED_VALUE"""),130.45)</f>
        <v>130.44999999999999</v>
      </c>
      <c r="H186" s="74">
        <f ca="1">IFERROR(__xludf.DUMMYFUNCTION("""COMPUTED_VALUE"""),182.63)</f>
        <v>182.63</v>
      </c>
      <c r="I186" s="74">
        <f ca="1">IFERROR(__xludf.DUMMYFUNCTION("""COMPUTED_VALUE"""),198)</f>
        <v>198</v>
      </c>
    </row>
    <row r="187" spans="2:9" ht="27" customHeight="1">
      <c r="B187" s="73" t="str">
        <f ca="1">IFERROR(__xludf.DUMMYFUNCTION("""COMPUTED_VALUE"""),"NÚCLEO C.M.P. FORTE")</f>
        <v>NÚCLEO C.M.P. FORTE</v>
      </c>
      <c r="C187" s="73" t="str">
        <f ca="1">IFERROR(__xludf.DUMMYFUNCTION("""COMPUTED_VALUE"""),"CAJA 3 AMPOLLAS")</f>
        <v>CAJA 3 AMPOLLAS</v>
      </c>
      <c r="D187" s="73" t="str">
        <f ca="1">IFERROR(__xludf.DUMMYFUNCTION("""COMPUTED_VALUE"""),"CAJA 3 AMPOLLAS")</f>
        <v>CAJA 3 AMPOLLAS</v>
      </c>
      <c r="E187" s="73" t="str">
        <f ca="1">IFERROR(__xludf.DUMMYFUNCTION("""COMPUTED_VALUE"""),"BOFASA")</f>
        <v>BOFASA</v>
      </c>
      <c r="F187" s="75">
        <f ca="1">IFERROR(__xludf.DUMMYFUNCTION("""COMPUTED_VALUE"""),45834)</f>
        <v>45834</v>
      </c>
      <c r="G187" s="74">
        <f ca="1">IFERROR(__xludf.DUMMYFUNCTION("""COMPUTED_VALUE"""),123.45)</f>
        <v>123.45</v>
      </c>
      <c r="H187" s="74">
        <f ca="1">IFERROR(__xludf.DUMMYFUNCTION("""COMPUTED_VALUE"""),172.83)</f>
        <v>172.83</v>
      </c>
      <c r="I187" s="74">
        <f ca="1">IFERROR(__xludf.DUMMYFUNCTION("""COMPUTED_VALUE"""),175)</f>
        <v>175</v>
      </c>
    </row>
    <row r="188" spans="2:9" ht="27" customHeight="1">
      <c r="B188" s="73" t="str">
        <f ca="1">IFERROR(__xludf.DUMMYFUNCTION("""COMPUTED_VALUE"""),"ODCAN")</f>
        <v>ODCAN</v>
      </c>
      <c r="C188" s="73" t="str">
        <f ca="1">IFERROR(__xludf.DUMMYFUNCTION("""COMPUTED_VALUE"""),"CAJA 2 TAB.")</f>
        <v>CAJA 2 TAB.</v>
      </c>
      <c r="D188" s="73" t="str">
        <f ca="1">IFERROR(__xludf.DUMMYFUNCTION("""COMPUTED_VALUE"""),"FLUCONAZOL")</f>
        <v>FLUCONAZOL</v>
      </c>
      <c r="E188" s="73" t="str">
        <f ca="1">IFERROR(__xludf.DUMMYFUNCTION("""COMPUTED_VALUE"""),"PRISM")</f>
        <v>PRISM</v>
      </c>
      <c r="F188" s="75">
        <f ca="1">IFERROR(__xludf.DUMMYFUNCTION("""COMPUTED_VALUE"""),45956)</f>
        <v>45956</v>
      </c>
      <c r="G188" s="74">
        <f ca="1">IFERROR(__xludf.DUMMYFUNCTION("""COMPUTED_VALUE"""),10)</f>
        <v>10</v>
      </c>
      <c r="H188" s="74">
        <f ca="1">IFERROR(__xludf.DUMMYFUNCTION("""COMPUTED_VALUE"""),14)</f>
        <v>14</v>
      </c>
      <c r="I188" s="74">
        <f ca="1">IFERROR(__xludf.DUMMYFUNCTION("""COMPUTED_VALUE"""),15)</f>
        <v>15</v>
      </c>
    </row>
    <row r="189" spans="2:9" ht="27" customHeight="1">
      <c r="B189" s="73" t="str">
        <f ca="1">IFERROR(__xludf.DUMMYFUNCTION("""COMPUTED_VALUE"""),"OMEPPRAZOL 20MG")</f>
        <v>OMEPPRAZOL 20MG</v>
      </c>
      <c r="C189" s="73" t="str">
        <f ca="1">IFERROR(__xludf.DUMMYFUNCTION("""COMPUTED_VALUE"""),"BLISTER DE 10 TAB.")</f>
        <v>BLISTER DE 10 TAB.</v>
      </c>
      <c r="D189" s="73" t="str">
        <f ca="1">IFERROR(__xludf.DUMMYFUNCTION("""COMPUTED_VALUE"""),"OMEPFRAZOL 20MG")</f>
        <v>OMEPFRAZOL 20MG</v>
      </c>
      <c r="E189" s="73" t="str">
        <f ca="1">IFERROR(__xludf.DUMMYFUNCTION("""COMPUTED_VALUE"""),"CAPLIN POINT")</f>
        <v>CAPLIN POINT</v>
      </c>
      <c r="F189" s="75">
        <f ca="1">IFERROR(__xludf.DUMMYFUNCTION("""COMPUTED_VALUE"""),45835)</f>
        <v>45835</v>
      </c>
      <c r="G189" s="74">
        <f ca="1">IFERROR(__xludf.DUMMYFUNCTION("""COMPUTED_VALUE"""),10.3)</f>
        <v>10.3</v>
      </c>
      <c r="H189" s="74">
        <f ca="1">IFERROR(__xludf.DUMMYFUNCTION("""COMPUTED_VALUE"""),14.42)</f>
        <v>14.42</v>
      </c>
      <c r="I189" s="74">
        <f ca="1">IFERROR(__xludf.DUMMYFUNCTION("""COMPUTED_VALUE"""),20)</f>
        <v>20</v>
      </c>
    </row>
    <row r="190" spans="2:9" ht="27" customHeight="1">
      <c r="B190" s="73" t="str">
        <f ca="1">IFERROR(__xludf.DUMMYFUNCTION("""COMPUTED_VALUE"""),"OMEPRAZOL 40MG")</f>
        <v>OMEPRAZOL 40MG</v>
      </c>
      <c r="C190" s="73" t="str">
        <f ca="1">IFERROR(__xludf.DUMMYFUNCTION("""COMPUTED_VALUE"""),"FRASCO IV")</f>
        <v>FRASCO IV</v>
      </c>
      <c r="D190" s="73" t="str">
        <f ca="1">IFERROR(__xludf.DUMMYFUNCTION("""COMPUTED_VALUE"""),"OMEPRAZOL 40MG")</f>
        <v>OMEPRAZOL 40MG</v>
      </c>
      <c r="E190" s="73" t="str">
        <f ca="1">IFERROR(__xludf.DUMMYFUNCTION("""COMPUTED_VALUE"""),"VITALIS")</f>
        <v>VITALIS</v>
      </c>
      <c r="F190" s="75">
        <f ca="1">IFERROR(__xludf.DUMMYFUNCTION("""COMPUTED_VALUE"""),45927)</f>
        <v>45927</v>
      </c>
      <c r="G190" s="74">
        <f ca="1">IFERROR(__xludf.DUMMYFUNCTION("""COMPUTED_VALUE"""),8.7)</f>
        <v>8.6999999999999993</v>
      </c>
      <c r="H190" s="74">
        <f ca="1">IFERROR(__xludf.DUMMYFUNCTION("""COMPUTED_VALUE"""),12.18)</f>
        <v>12.18</v>
      </c>
      <c r="I190" s="74">
        <f ca="1">IFERROR(__xludf.DUMMYFUNCTION("""COMPUTED_VALUE"""),40)</f>
        <v>40</v>
      </c>
    </row>
    <row r="191" spans="2:9" ht="27" customHeight="1">
      <c r="B191" s="73" t="str">
        <f ca="1">IFERROR(__xludf.DUMMYFUNCTION("""COMPUTED_VALUE"""),"ONDASETRÓN 8MG.")</f>
        <v>ONDASETRÓN 8MG.</v>
      </c>
      <c r="C191" s="73" t="str">
        <f ca="1">IFERROR(__xludf.DUMMYFUNCTION("""COMPUTED_VALUE"""),"AMPOLLA")</f>
        <v>AMPOLLA</v>
      </c>
      <c r="D191" s="73" t="str">
        <f ca="1">IFERROR(__xludf.DUMMYFUNCTION("""COMPUTED_VALUE"""),"ONDASETRÓN")</f>
        <v>ONDASETRÓN</v>
      </c>
      <c r="E191" s="73" t="str">
        <f ca="1">IFERROR(__xludf.DUMMYFUNCTION("""COMPUTED_VALUE"""),"P&amp;C PHARMA")</f>
        <v>P&amp;C PHARMA</v>
      </c>
      <c r="F191" s="75">
        <f ca="1">IFERROR(__xludf.DUMMYFUNCTION("""COMPUTED_VALUE"""),45865)</f>
        <v>45865</v>
      </c>
      <c r="G191" s="74">
        <f ca="1">IFERROR(__xludf.DUMMYFUNCTION("""COMPUTED_VALUE"""),35)</f>
        <v>35</v>
      </c>
      <c r="H191" s="74">
        <f ca="1">IFERROR(__xludf.DUMMYFUNCTION("""COMPUTED_VALUE"""),49)</f>
        <v>49</v>
      </c>
      <c r="I191" s="74">
        <f ca="1">IFERROR(__xludf.DUMMYFUNCTION("""COMPUTED_VALUE"""),85)</f>
        <v>85</v>
      </c>
    </row>
    <row r="192" spans="2:9" ht="27" customHeight="1">
      <c r="B192" s="73" t="str">
        <f ca="1">IFERROR(__xludf.DUMMYFUNCTION("""COMPUTED_VALUE"""),"ORAXIMA")</f>
        <v>ORAXIMA</v>
      </c>
      <c r="C192" s="73" t="str">
        <f ca="1">IFERROR(__xludf.DUMMYFUNCTION("""COMPUTED_VALUE"""),"SPRAY 30ML")</f>
        <v>SPRAY 30ML</v>
      </c>
      <c r="D192" s="73" t="str">
        <f ca="1">IFERROR(__xludf.DUMMYFUNCTION("""COMPUTED_VALUE"""),"PROPOLEO, MANZANILLA, ACEITES ESENCIALES")</f>
        <v>PROPOLEO, MANZANILLA, ACEITES ESENCIALES</v>
      </c>
      <c r="E192" s="73" t="str">
        <f ca="1">IFERROR(__xludf.DUMMYFUNCTION("""COMPUTED_VALUE"""),"VIZCAINO")</f>
        <v>VIZCAINO</v>
      </c>
      <c r="F192" s="75">
        <f ca="1">IFERROR(__xludf.DUMMYFUNCTION("""COMPUTED_VALUE"""),45864)</f>
        <v>45864</v>
      </c>
      <c r="G192" s="74">
        <f ca="1">IFERROR(__xludf.DUMMYFUNCTION("""COMPUTED_VALUE"""),96.04)</f>
        <v>96.04</v>
      </c>
      <c r="H192" s="74">
        <f ca="1">IFERROR(__xludf.DUMMYFUNCTION("""COMPUTED_VALUE"""),134.456)</f>
        <v>134.45599999999999</v>
      </c>
      <c r="I192" s="74">
        <f ca="1">IFERROR(__xludf.DUMMYFUNCTION("""COMPUTED_VALUE"""),130)</f>
        <v>130</v>
      </c>
    </row>
    <row r="193" spans="2:9" ht="27" customHeight="1">
      <c r="B193" s="73" t="str">
        <f ca="1">IFERROR(__xludf.DUMMYFUNCTION("""COMPUTED_VALUE"""),"OSMAX")</f>
        <v>OSMAX</v>
      </c>
      <c r="C193" s="73" t="str">
        <f ca="1">IFERROR(__xludf.DUMMYFUNCTION("""COMPUTED_VALUE"""),"CAJA 4 TAB.")</f>
        <v>CAJA 4 TAB.</v>
      </c>
      <c r="D193" s="73" t="str">
        <f ca="1">IFERROR(__xludf.DUMMYFUNCTION("""COMPUTED_VALUE"""),"ALENDRONATO SÓDICO 70MG")</f>
        <v>ALENDRONATO SÓDICO 70MG</v>
      </c>
      <c r="E193" s="73" t="str">
        <f ca="1">IFERROR(__xludf.DUMMYFUNCTION("""COMPUTED_VALUE"""),"NIUMED GROUP")</f>
        <v>NIUMED GROUP</v>
      </c>
      <c r="F193" s="75">
        <f ca="1">IFERROR(__xludf.DUMMYFUNCTION("""COMPUTED_VALUE"""),45864)</f>
        <v>45864</v>
      </c>
      <c r="G193" s="74">
        <f ca="1">IFERROR(__xludf.DUMMYFUNCTION("""COMPUTED_VALUE"""),57.5)</f>
        <v>57.5</v>
      </c>
      <c r="H193" s="74">
        <f ca="1">IFERROR(__xludf.DUMMYFUNCTION("""COMPUTED_VALUE"""),80.5)</f>
        <v>80.5</v>
      </c>
      <c r="I193" s="74">
        <f ca="1">IFERROR(__xludf.DUMMYFUNCTION("""COMPUTED_VALUE"""),80)</f>
        <v>80</v>
      </c>
    </row>
    <row r="194" spans="2:9" ht="27" customHeight="1">
      <c r="B194" s="73" t="str">
        <f ca="1">IFERROR(__xludf.DUMMYFUNCTION("""COMPUTED_VALUE"""),"OTROZOL 500")</f>
        <v>OTROZOL 500</v>
      </c>
      <c r="C194" s="73" t="str">
        <f ca="1">IFERROR(__xludf.DUMMYFUNCTION("""COMPUTED_VALUE"""),"FRASCO 100ML.")</f>
        <v>FRASCO 100ML.</v>
      </c>
      <c r="D194" s="73" t="str">
        <f ca="1">IFERROR(__xludf.DUMMYFUNCTION("""COMPUTED_VALUE"""),"METRONIDAZOL 500MG")</f>
        <v>METRONIDAZOL 500MG</v>
      </c>
      <c r="E194" s="73" t="str">
        <f ca="1">IFERROR(__xludf.DUMMYFUNCTION("""COMPUTED_VALUE"""),"PISA")</f>
        <v>PISA</v>
      </c>
      <c r="F194" s="75">
        <f ca="1">IFERROR(__xludf.DUMMYFUNCTION("""COMPUTED_VALUE"""),45926)</f>
        <v>45926</v>
      </c>
      <c r="G194" s="74">
        <f ca="1">IFERROR(__xludf.DUMMYFUNCTION("""COMPUTED_VALUE"""),20)</f>
        <v>20</v>
      </c>
      <c r="H194" s="74">
        <f ca="1">IFERROR(__xludf.DUMMYFUNCTION("""COMPUTED_VALUE"""),28)</f>
        <v>28</v>
      </c>
      <c r="I194" s="74">
        <f ca="1">IFERROR(__xludf.DUMMYFUNCTION("""COMPUTED_VALUE"""),30)</f>
        <v>30</v>
      </c>
    </row>
    <row r="195" spans="2:9" ht="27" customHeight="1">
      <c r="B195" s="73" t="str">
        <f ca="1">IFERROR(__xludf.DUMMYFUNCTION("""COMPUTED_VALUE"""),"PAÑAL DESECHABLE NIÑO")</f>
        <v>PAÑAL DESECHABLE NIÑO</v>
      </c>
      <c r="C195" s="73" t="str">
        <f ca="1">IFERROR(__xludf.DUMMYFUNCTION("""COMPUTED_VALUE"""),"UNIDAD")</f>
        <v>UNIDAD</v>
      </c>
      <c r="D195" s="73" t="str">
        <f ca="1">IFERROR(__xludf.DUMMYFUNCTION("""COMPUTED_VALUE"""),"PAÑALES")</f>
        <v>PAÑALES</v>
      </c>
      <c r="E195" s="73" t="str">
        <f ca="1">IFERROR(__xludf.DUMMYFUNCTION("""COMPUTED_VALUE"""),"SUPER MAS")</f>
        <v>SUPER MAS</v>
      </c>
      <c r="F195" s="75">
        <f ca="1">IFERROR(__xludf.DUMMYFUNCTION("""COMPUTED_VALUE"""),45714)</f>
        <v>45714</v>
      </c>
      <c r="G195" s="74">
        <f ca="1">IFERROR(__xludf.DUMMYFUNCTION("""COMPUTED_VALUE"""),3)</f>
        <v>3</v>
      </c>
      <c r="H195" s="74">
        <f ca="1">IFERROR(__xludf.DUMMYFUNCTION("""COMPUTED_VALUE"""),4.2)</f>
        <v>4.2</v>
      </c>
      <c r="I195" s="74">
        <f ca="1">IFERROR(__xludf.DUMMYFUNCTION("""COMPUTED_VALUE"""),5)</f>
        <v>5</v>
      </c>
    </row>
    <row r="196" spans="2:9" ht="27" customHeight="1">
      <c r="B196" s="73" t="str">
        <f ca="1">IFERROR(__xludf.DUMMYFUNCTION("""COMPUTED_VALUE"""),"Pañale Desechable Adulto")</f>
        <v>Pañale Desechable Adulto</v>
      </c>
      <c r="C196" s="73" t="str">
        <f ca="1">IFERROR(__xludf.DUMMYFUNCTION("""COMPUTED_VALUE"""),"paquete 6")</f>
        <v>paquete 6</v>
      </c>
      <c r="D196" s="73" t="str">
        <f ca="1">IFERROR(__xludf.DUMMYFUNCTION("""COMPUTED_VALUE"""),"INNOVA MED")</f>
        <v>INNOVA MED</v>
      </c>
      <c r="E196" s="73" t="str">
        <f ca="1">IFERROR(__xludf.DUMMYFUNCTION("""COMPUTED_VALUE"""),"SUPER MAS")</f>
        <v>SUPER MAS</v>
      </c>
      <c r="F196" s="75">
        <f ca="1">IFERROR(__xludf.DUMMYFUNCTION("""COMPUTED_VALUE"""),45956)</f>
        <v>45956</v>
      </c>
      <c r="G196" s="74">
        <f ca="1">IFERROR(__xludf.DUMMYFUNCTION("""COMPUTED_VALUE"""),6.5)</f>
        <v>6.5</v>
      </c>
      <c r="H196" s="74">
        <f ca="1">IFERROR(__xludf.DUMMYFUNCTION("""COMPUTED_VALUE"""),9.1)</f>
        <v>9.1</v>
      </c>
      <c r="I196" s="74">
        <f ca="1">IFERROR(__xludf.DUMMYFUNCTION("""COMPUTED_VALUE"""),10)</f>
        <v>10</v>
      </c>
    </row>
    <row r="197" spans="2:9" ht="27" customHeight="1">
      <c r="B197" s="73" t="str">
        <f ca="1">IFERROR(__xludf.DUMMYFUNCTION("""COMPUTED_VALUE"""),"PARACO-DENK 500/30 MG")</f>
        <v>PARACO-DENK 500/30 MG</v>
      </c>
      <c r="C197" s="73" t="str">
        <f ca="1">IFERROR(__xludf.DUMMYFUNCTION("""COMPUTED_VALUE"""),"CAJA 20 COMPRIMIDOS")</f>
        <v>CAJA 20 COMPRIMIDOS</v>
      </c>
      <c r="D197" s="73" t="str">
        <f ca="1">IFERROR(__xludf.DUMMYFUNCTION("""COMPUTED_VALUE"""),"PARACETAMOL 500MG/FOSFATO DE CODEÍNA HEMIHIDRATADO 30MG")</f>
        <v>PARACETAMOL 500MG/FOSFATO DE CODEÍNA HEMIHIDRATADO 30MG</v>
      </c>
      <c r="E197" s="73" t="str">
        <f ca="1">IFERROR(__xludf.DUMMYFUNCTION("""COMPUTED_VALUE"""),"QUALIPHARM")</f>
        <v>QUALIPHARM</v>
      </c>
      <c r="F197" s="75">
        <f ca="1">IFERROR(__xludf.DUMMYFUNCTION("""COMPUTED_VALUE"""),45926)</f>
        <v>45926</v>
      </c>
      <c r="G197" s="74">
        <f ca="1">IFERROR(__xludf.DUMMYFUNCTION("""COMPUTED_VALUE"""),79.09)</f>
        <v>79.09</v>
      </c>
      <c r="H197" s="74">
        <f ca="1">IFERROR(__xludf.DUMMYFUNCTION("""COMPUTED_VALUE"""),110.726)</f>
        <v>110.726</v>
      </c>
      <c r="I197" s="74">
        <f ca="1">IFERROR(__xludf.DUMMYFUNCTION("""COMPUTED_VALUE"""),110)</f>
        <v>110</v>
      </c>
    </row>
    <row r="198" spans="2:9" ht="27" customHeight="1">
      <c r="B198" s="73" t="str">
        <f ca="1">IFERROR(__xludf.DUMMYFUNCTION("""COMPUTED_VALUE"""),"PARACONICA")</f>
        <v>PARACONICA</v>
      </c>
      <c r="C198" s="73" t="str">
        <f ca="1">IFERROR(__xludf.DUMMYFUNCTION("""COMPUTED_VALUE"""),"FRASCO IV")</f>
        <v>FRASCO IV</v>
      </c>
      <c r="D198" s="73" t="str">
        <f ca="1">IFERROR(__xludf.DUMMYFUNCTION("""COMPUTED_VALUE"""),"PARACONICA")</f>
        <v>PARACONICA</v>
      </c>
      <c r="E198" s="73" t="str">
        <f ca="1">IFERROR(__xludf.DUMMYFUNCTION("""COMPUTED_VALUE"""),"LANQUETAN")</f>
        <v>LANQUETAN</v>
      </c>
      <c r="F198" s="75">
        <f ca="1">IFERROR(__xludf.DUMMYFUNCTION("""COMPUTED_VALUE"""),45683)</f>
        <v>45683</v>
      </c>
      <c r="G198" s="74">
        <f ca="1">IFERROR(__xludf.DUMMYFUNCTION("""COMPUTED_VALUE"""),60)</f>
        <v>60</v>
      </c>
      <c r="H198" s="74">
        <f ca="1">IFERROR(__xludf.DUMMYFUNCTION("""COMPUTED_VALUE"""),84)</f>
        <v>84</v>
      </c>
      <c r="I198" s="74">
        <f ca="1">IFERROR(__xludf.DUMMYFUNCTION("""COMPUTED_VALUE"""),90)</f>
        <v>90</v>
      </c>
    </row>
    <row r="199" spans="2:9" ht="27" customHeight="1">
      <c r="B199" s="73" t="str">
        <f ca="1">IFERROR(__xludf.DUMMYFUNCTION("""COMPUTED_VALUE"""),"PENICLOR")</f>
        <v>PENICLOR</v>
      </c>
      <c r="C199" s="73" t="str">
        <f ca="1">IFERROR(__xludf.DUMMYFUNCTION("""COMPUTED_VALUE"""),"CAPSULA BLISTER")</f>
        <v>CAPSULA BLISTER</v>
      </c>
      <c r="D199" s="73" t="str">
        <f ca="1">IFERROR(__xludf.DUMMYFUNCTION("""COMPUTED_VALUE"""),"DICLOXACILINA 500MG")</f>
        <v>DICLOXACILINA 500MG</v>
      </c>
      <c r="E199" s="73" t="str">
        <f ca="1">IFERROR(__xludf.DUMMYFUNCTION("""COMPUTED_VALUE"""),"PHARMADEL")</f>
        <v>PHARMADEL</v>
      </c>
      <c r="F199" s="75">
        <f ca="1">IFERROR(__xludf.DUMMYFUNCTION("""COMPUTED_VALUE"""),45834)</f>
        <v>45834</v>
      </c>
      <c r="G199" s="74">
        <f ca="1">IFERROR(__xludf.DUMMYFUNCTION("""COMPUTED_VALUE"""),45)</f>
        <v>45</v>
      </c>
      <c r="H199" s="74">
        <f ca="1">IFERROR(__xludf.DUMMYFUNCTION("""COMPUTED_VALUE"""),63)</f>
        <v>63</v>
      </c>
      <c r="I199" s="74">
        <f ca="1">IFERROR(__xludf.DUMMYFUNCTION("""COMPUTED_VALUE"""),65)</f>
        <v>65</v>
      </c>
    </row>
    <row r="200" spans="2:9" ht="27" customHeight="1">
      <c r="B200" s="73" t="str">
        <f ca="1">IFERROR(__xludf.DUMMYFUNCTION("""COMPUTED_VALUE"""),"PENICLOR")</f>
        <v>PENICLOR</v>
      </c>
      <c r="C200" s="73" t="str">
        <f ca="1">IFERROR(__xludf.DUMMYFUNCTION("""COMPUTED_VALUE"""),"FRASCO 90ML")</f>
        <v>FRASCO 90ML</v>
      </c>
      <c r="D200" s="73" t="str">
        <f ca="1">IFERROR(__xludf.DUMMYFUNCTION("""COMPUTED_VALUE"""),"DICLOXACILINA 250MG/5ML")</f>
        <v>DICLOXACILINA 250MG/5ML</v>
      </c>
      <c r="E200" s="73" t="str">
        <f ca="1">IFERROR(__xludf.DUMMYFUNCTION("""COMPUTED_VALUE"""),"PHARMADEL")</f>
        <v>PHARMADEL</v>
      </c>
      <c r="F200" s="75">
        <f ca="1">IFERROR(__xludf.DUMMYFUNCTION("""COMPUTED_VALUE"""),45926)</f>
        <v>45926</v>
      </c>
      <c r="G200" s="74">
        <f ca="1">IFERROR(__xludf.DUMMYFUNCTION("""COMPUTED_VALUE"""),100)</f>
        <v>100</v>
      </c>
      <c r="H200" s="74">
        <f ca="1">IFERROR(__xludf.DUMMYFUNCTION("""COMPUTED_VALUE"""),140)</f>
        <v>140</v>
      </c>
      <c r="I200" s="74">
        <f ca="1">IFERROR(__xludf.DUMMYFUNCTION("""COMPUTED_VALUE"""),145)</f>
        <v>145</v>
      </c>
    </row>
    <row r="201" spans="2:9" ht="27" customHeight="1">
      <c r="B201" s="73" t="str">
        <f ca="1">IFERROR(__xludf.DUMMYFUNCTION("""COMPUTED_VALUE"""),"PHANEX")</f>
        <v>PHANEX</v>
      </c>
      <c r="C201" s="73" t="str">
        <f ca="1">IFERROR(__xludf.DUMMYFUNCTION("""COMPUTED_VALUE"""),"CAJA 30 SOBRES")</f>
        <v>CAJA 30 SOBRES</v>
      </c>
      <c r="D201" s="73" t="str">
        <f ca="1">IFERROR(__xludf.DUMMYFUNCTION("""COMPUTED_VALUE"""),"ESOMEPRAZOL 10MG")</f>
        <v>ESOMEPRAZOL 10MG</v>
      </c>
      <c r="E201" s="73" t="str">
        <f ca="1">IFERROR(__xludf.DUMMYFUNCTION("""COMPUTED_VALUE"""),"PHARA")</f>
        <v>PHARA</v>
      </c>
      <c r="F201" s="75">
        <f ca="1">IFERROR(__xludf.DUMMYFUNCTION("""COMPUTED_VALUE"""),45956)</f>
        <v>45956</v>
      </c>
      <c r="G201" s="74">
        <f ca="1">IFERROR(__xludf.DUMMYFUNCTION("""COMPUTED_VALUE"""),121.18)</f>
        <v>121.18</v>
      </c>
      <c r="H201" s="74">
        <f ca="1">IFERROR(__xludf.DUMMYFUNCTION("""COMPUTED_VALUE"""),169.652)</f>
        <v>169.65199999999999</v>
      </c>
      <c r="I201" s="74">
        <f ca="1">IFERROR(__xludf.DUMMYFUNCTION("""COMPUTED_VALUE"""),170)</f>
        <v>170</v>
      </c>
    </row>
    <row r="202" spans="2:9" ht="27" customHeight="1">
      <c r="B202" s="73" t="str">
        <f ca="1">IFERROR(__xludf.DUMMYFUNCTION("""COMPUTED_VALUE"""),"PHARA AMEB")</f>
        <v>PHARA AMEB</v>
      </c>
      <c r="C202" s="73" t="str">
        <f ca="1">IFERROR(__xludf.DUMMYFUNCTION("""COMPUTED_VALUE"""),"BLISTER 10 TAB.")</f>
        <v>BLISTER 10 TAB.</v>
      </c>
      <c r="D202" s="73" t="str">
        <f ca="1">IFERROR(__xludf.DUMMYFUNCTION("""COMPUTED_VALUE"""),"METRONIDAZOL 500MG")</f>
        <v>METRONIDAZOL 500MG</v>
      </c>
      <c r="E202" s="73" t="str">
        <f ca="1">IFERROR(__xludf.DUMMYFUNCTION("""COMPUTED_VALUE"""),"PHARA")</f>
        <v>PHARA</v>
      </c>
      <c r="F202" s="75">
        <f ca="1">IFERROR(__xludf.DUMMYFUNCTION("""COMPUTED_VALUE"""),45715)</f>
        <v>45715</v>
      </c>
      <c r="G202" s="74">
        <f ca="1">IFERROR(__xludf.DUMMYFUNCTION("""COMPUTED_VALUE"""),28)</f>
        <v>28</v>
      </c>
      <c r="H202" s="74">
        <f ca="1">IFERROR(__xludf.DUMMYFUNCTION("""COMPUTED_VALUE"""),39.2)</f>
        <v>39.200000000000003</v>
      </c>
      <c r="I202" s="74">
        <f ca="1">IFERROR(__xludf.DUMMYFUNCTION("""COMPUTED_VALUE"""),45)</f>
        <v>45</v>
      </c>
    </row>
    <row r="203" spans="2:9" ht="27" customHeight="1">
      <c r="B203" s="73" t="str">
        <f ca="1">IFERROR(__xludf.DUMMYFUNCTION("""COMPUTED_VALUE"""),"PHARA ENTEROBIOTICS")</f>
        <v>PHARA ENTEROBIOTICS</v>
      </c>
      <c r="C203" s="73" t="str">
        <f ca="1">IFERROR(__xludf.DUMMYFUNCTION("""COMPUTED_VALUE"""),"CAJA 10 AMP. BEBIBLES")</f>
        <v>CAJA 10 AMP. BEBIBLES</v>
      </c>
      <c r="D203" s="73" t="str">
        <f ca="1">IFERROR(__xludf.DUMMYFUNCTION("""COMPUTED_VALUE"""),"ESPORAS DE BACILIUS CLAUSII")</f>
        <v>ESPORAS DE BACILIUS CLAUSII</v>
      </c>
      <c r="E203" s="73" t="str">
        <f ca="1">IFERROR(__xludf.DUMMYFUNCTION("""COMPUTED_VALUE"""),"PHARA")</f>
        <v>PHARA</v>
      </c>
      <c r="F203" s="75">
        <f ca="1">IFERROR(__xludf.DUMMYFUNCTION("""COMPUTED_VALUE"""),45864)</f>
        <v>45864</v>
      </c>
      <c r="G203" s="74">
        <f ca="1">IFERROR(__xludf.DUMMYFUNCTION("""COMPUTED_VALUE"""),110)</f>
        <v>110</v>
      </c>
      <c r="H203" s="74">
        <f ca="1">IFERROR(__xludf.DUMMYFUNCTION("""COMPUTED_VALUE"""),154)</f>
        <v>154</v>
      </c>
      <c r="I203" s="74">
        <f ca="1">IFERROR(__xludf.DUMMYFUNCTION("""COMPUTED_VALUE"""),155)</f>
        <v>155</v>
      </c>
    </row>
    <row r="204" spans="2:9" ht="27" customHeight="1">
      <c r="B204" s="73" t="str">
        <f ca="1">IFERROR(__xludf.DUMMYFUNCTION("""COMPUTED_VALUE"""),"PHARA VIT GERIÁTRICO")</f>
        <v>PHARA VIT GERIÁTRICO</v>
      </c>
      <c r="C204" s="73" t="str">
        <f ca="1">IFERROR(__xludf.DUMMYFUNCTION("""COMPUTED_VALUE"""),"30 AMPOLLAS BEBIBLES")</f>
        <v>30 AMPOLLAS BEBIBLES</v>
      </c>
      <c r="D204" s="73" t="str">
        <f ca="1">IFERROR(__xludf.DUMMYFUNCTION("""COMPUTED_VALUE"""),"MULTIVITAMINICO")</f>
        <v>MULTIVITAMINICO</v>
      </c>
      <c r="E204" s="73" t="str">
        <f ca="1">IFERROR(__xludf.DUMMYFUNCTION("""COMPUTED_VALUE"""),"PHARA FARMECO")</f>
        <v>PHARA FARMECO</v>
      </c>
      <c r="F204" s="75">
        <f ca="1">IFERROR(__xludf.DUMMYFUNCTION("""COMPUTED_VALUE"""),45773)</f>
        <v>45773</v>
      </c>
      <c r="G204" s="74">
        <f ca="1">IFERROR(__xludf.DUMMYFUNCTION("""COMPUTED_VALUE"""),180)</f>
        <v>180</v>
      </c>
      <c r="H204" s="74">
        <f ca="1">IFERROR(__xludf.DUMMYFUNCTION("""COMPUTED_VALUE"""),252)</f>
        <v>252</v>
      </c>
      <c r="I204" s="74">
        <f ca="1">IFERROR(__xludf.DUMMYFUNCTION("""COMPUTED_VALUE"""),255)</f>
        <v>255</v>
      </c>
    </row>
    <row r="205" spans="2:9" ht="27" customHeight="1">
      <c r="B205" s="73" t="str">
        <f ca="1">IFERROR(__xludf.DUMMYFUNCTION("""COMPUTED_VALUE"""),"PIODAY M")</f>
        <v>PIODAY M</v>
      </c>
      <c r="C205" s="73" t="str">
        <f ca="1">IFERROR(__xludf.DUMMYFUNCTION("""COMPUTED_VALUE"""),"CAJA 30 TABLETAS")</f>
        <v>CAJA 30 TABLETAS</v>
      </c>
      <c r="D205" s="73" t="str">
        <f ca="1">IFERROR(__xludf.DUMMYFUNCTION("""COMPUTED_VALUE"""),"PIOGLITAZONA 15mg + METFORMINA clorhidrato 500 mg tabletas")</f>
        <v>PIOGLITAZONA 15mg + METFORMINA clorhidrato 500 mg tabletas</v>
      </c>
      <c r="E205" s="73" t="str">
        <f ca="1">IFERROR(__xludf.DUMMYFUNCTION("""COMPUTED_VALUE"""),"PRISM")</f>
        <v>PRISM</v>
      </c>
      <c r="F205" s="75">
        <f ca="1">IFERROR(__xludf.DUMMYFUNCTION("""COMPUTED_VALUE"""),45956)</f>
        <v>45956</v>
      </c>
      <c r="G205" s="74">
        <f ca="1">IFERROR(__xludf.DUMMYFUNCTION("""COMPUTED_VALUE"""),189.54)</f>
        <v>189.54</v>
      </c>
      <c r="H205" s="74">
        <f ca="1">IFERROR(__xludf.DUMMYFUNCTION("""COMPUTED_VALUE"""),265.356)</f>
        <v>265.35599999999999</v>
      </c>
      <c r="I205" s="74">
        <f ca="1">IFERROR(__xludf.DUMMYFUNCTION("""COMPUTED_VALUE"""),270)</f>
        <v>270</v>
      </c>
    </row>
    <row r="206" spans="2:9" ht="27" customHeight="1">
      <c r="B206" s="73" t="str">
        <f ca="1">IFERROR(__xludf.DUMMYFUNCTION("""COMPUTED_VALUE"""),"PIPERACILINA Y TAZOBACTAM")</f>
        <v>PIPERACILINA Y TAZOBACTAM</v>
      </c>
      <c r="C206" s="73" t="str">
        <f ca="1">IFERROR(__xludf.DUMMYFUNCTION("""COMPUTED_VALUE"""),"FRASCO IV")</f>
        <v>FRASCO IV</v>
      </c>
      <c r="D206" s="73" t="str">
        <f ca="1">IFERROR(__xludf.DUMMYFUNCTION("""COMPUTED_VALUE"""),"PIPERACILINA Y TAZOBACTAM")</f>
        <v>PIPERACILINA Y TAZOBACTAM</v>
      </c>
      <c r="E206" s="73" t="str">
        <f ca="1">IFERROR(__xludf.DUMMYFUNCTION("""COMPUTED_VALUE"""),"POLIFARMA")</f>
        <v>POLIFARMA</v>
      </c>
      <c r="F206" s="75">
        <f ca="1">IFERROR(__xludf.DUMMYFUNCTION("""COMPUTED_VALUE"""),45683)</f>
        <v>45683</v>
      </c>
      <c r="G206" s="74">
        <f ca="1">IFERROR(__xludf.DUMMYFUNCTION("""COMPUTED_VALUE"""),46.55)</f>
        <v>46.55</v>
      </c>
      <c r="H206" s="74">
        <f ca="1">IFERROR(__xludf.DUMMYFUNCTION("""COMPUTED_VALUE"""),65.17)</f>
        <v>65.17</v>
      </c>
      <c r="I206" s="74">
        <f ca="1">IFERROR(__xludf.DUMMYFUNCTION("""COMPUTED_VALUE"""),70)</f>
        <v>70</v>
      </c>
    </row>
    <row r="207" spans="2:9" ht="27" customHeight="1">
      <c r="B207" s="73" t="str">
        <f ca="1">IFERROR(__xludf.DUMMYFUNCTION("""COMPUTED_VALUE"""),"PRANEX")</f>
        <v>PRANEX</v>
      </c>
      <c r="C207" s="73" t="str">
        <f ca="1">IFERROR(__xludf.DUMMYFUNCTION("""COMPUTED_VALUE"""),"CAJA 15 CAPSULAS")</f>
        <v>CAJA 15 CAPSULAS</v>
      </c>
      <c r="D207" s="73" t="str">
        <f ca="1">IFERROR(__xludf.DUMMYFUNCTION("""COMPUTED_VALUE"""),"ESOMEPRAZOL 40MG")</f>
        <v>ESOMEPRAZOL 40MG</v>
      </c>
      <c r="E207" s="73" t="str">
        <f ca="1">IFERROR(__xludf.DUMMYFUNCTION("""COMPUTED_VALUE"""),"PHARA")</f>
        <v>PHARA</v>
      </c>
      <c r="F207" s="75">
        <f ca="1">IFERROR(__xludf.DUMMYFUNCTION("""COMPUTED_VALUE"""),45956)</f>
        <v>45956</v>
      </c>
      <c r="G207" s="74">
        <f ca="1">IFERROR(__xludf.DUMMYFUNCTION("""COMPUTED_VALUE"""),100)</f>
        <v>100</v>
      </c>
      <c r="H207" s="74">
        <f ca="1">IFERROR(__xludf.DUMMYFUNCTION("""COMPUTED_VALUE"""),140)</f>
        <v>140</v>
      </c>
      <c r="I207" s="74">
        <f ca="1">IFERROR(__xludf.DUMMYFUNCTION("""COMPUTED_VALUE"""),200)</f>
        <v>200</v>
      </c>
    </row>
    <row r="208" spans="2:9" ht="27" customHeight="1">
      <c r="B208" s="73" t="str">
        <f ca="1">IFERROR(__xludf.DUMMYFUNCTION("""COMPUTED_VALUE"""),"PREDNICET 20MG")</f>
        <v>PREDNICET 20MG</v>
      </c>
      <c r="C208" s="73" t="str">
        <f ca="1">IFERROR(__xludf.DUMMYFUNCTION("""COMPUTED_VALUE"""),"CAJA 10 TABLETAS")</f>
        <v>CAJA 10 TABLETAS</v>
      </c>
      <c r="D208" s="73" t="str">
        <f ca="1">IFERROR(__xludf.DUMMYFUNCTION("""COMPUTED_VALUE"""),"PREDNISOLONA 20MG")</f>
        <v>PREDNISOLONA 20MG</v>
      </c>
      <c r="E208" s="73" t="str">
        <f ca="1">IFERROR(__xludf.DUMMYFUNCTION("""COMPUTED_VALUE"""),"MEDPHARMA")</f>
        <v>MEDPHARMA</v>
      </c>
      <c r="F208" s="75">
        <f ca="1">IFERROR(__xludf.DUMMYFUNCTION("""COMPUTED_VALUE"""),45957)</f>
        <v>45957</v>
      </c>
      <c r="G208" s="74">
        <f ca="1">IFERROR(__xludf.DUMMYFUNCTION("""COMPUTED_VALUE"""),69.28)</f>
        <v>69.28</v>
      </c>
      <c r="H208" s="74">
        <f ca="1">IFERROR(__xludf.DUMMYFUNCTION("""COMPUTED_VALUE"""),96.992)</f>
        <v>96.992000000000004</v>
      </c>
      <c r="I208" s="74">
        <f ca="1">IFERROR(__xludf.DUMMYFUNCTION("""COMPUTED_VALUE"""),100)</f>
        <v>100</v>
      </c>
    </row>
    <row r="209" spans="2:9" ht="27" customHeight="1">
      <c r="B209" s="73" t="str">
        <f ca="1">IFERROR(__xludf.DUMMYFUNCTION("""COMPUTED_VALUE"""),"PRELACTA")</f>
        <v>PRELACTA</v>
      </c>
      <c r="C209" s="73" t="str">
        <f ca="1">IFERROR(__xludf.DUMMYFUNCTION("""COMPUTED_VALUE"""),"CAJA 28 TABLETAS")</f>
        <v>CAJA 28 TABLETAS</v>
      </c>
      <c r="D209" s="73" t="str">
        <f ca="1">IFERROR(__xludf.DUMMYFUNCTION("""COMPUTED_VALUE"""),"SUPLEMENTO DE VITAMINAS Y MINERALES")</f>
        <v>SUPLEMENTO DE VITAMINAS Y MINERALES</v>
      </c>
      <c r="E209" s="73" t="str">
        <f ca="1">IFERROR(__xludf.DUMMYFUNCTION("""COMPUTED_VALUE"""),"QUALIPHARM")</f>
        <v>QUALIPHARM</v>
      </c>
      <c r="F209" s="75">
        <f ca="1">IFERROR(__xludf.DUMMYFUNCTION("""COMPUTED_VALUE"""),46017)</f>
        <v>46017</v>
      </c>
      <c r="G209" s="74">
        <f ca="1">IFERROR(__xludf.DUMMYFUNCTION("""COMPUTED_VALUE"""),65)</f>
        <v>65</v>
      </c>
      <c r="H209" s="74">
        <f ca="1">IFERROR(__xludf.DUMMYFUNCTION("""COMPUTED_VALUE"""),91)</f>
        <v>91</v>
      </c>
      <c r="I209" s="74">
        <f ca="1">IFERROR(__xludf.DUMMYFUNCTION("""COMPUTED_VALUE"""),100)</f>
        <v>100</v>
      </c>
    </row>
    <row r="210" spans="2:9" ht="27" customHeight="1">
      <c r="B210" s="73" t="str">
        <f ca="1">IFERROR(__xludf.DUMMYFUNCTION("""COMPUTED_VALUE"""),"PRONOCTIUM 3MG.")</f>
        <v>PRONOCTIUM 3MG.</v>
      </c>
      <c r="C210" s="73" t="str">
        <f ca="1">IFERROR(__xludf.DUMMYFUNCTION("""COMPUTED_VALUE"""),"COMPRIMIDOS")</f>
        <v>COMPRIMIDOS</v>
      </c>
      <c r="D210" s="73" t="str">
        <f ca="1">IFERROR(__xludf.DUMMYFUNCTION("""COMPUTED_VALUE"""),"ESZOPICLONA")</f>
        <v>ESZOPICLONA</v>
      </c>
      <c r="E210" s="73" t="str">
        <f ca="1">IFERROR(__xludf.DUMMYFUNCTION("""COMPUTED_VALUE"""),"VIZCAINO")</f>
        <v>VIZCAINO</v>
      </c>
      <c r="F210" s="75">
        <f ca="1">IFERROR(__xludf.DUMMYFUNCTION("""COMPUTED_VALUE"""),45895)</f>
        <v>45895</v>
      </c>
      <c r="G210" s="74">
        <f ca="1">IFERROR(__xludf.DUMMYFUNCTION("""COMPUTED_VALUE"""),171)</f>
        <v>171</v>
      </c>
      <c r="H210" s="74">
        <f ca="1">IFERROR(__xludf.DUMMYFUNCTION("""COMPUTED_VALUE"""),239.4)</f>
        <v>239.4</v>
      </c>
      <c r="I210" s="74">
        <f ca="1">IFERROR(__xludf.DUMMYFUNCTION("""COMPUTED_VALUE"""),240)</f>
        <v>240</v>
      </c>
    </row>
    <row r="211" spans="2:9" ht="27" customHeight="1">
      <c r="B211" s="73" t="str">
        <f ca="1">IFERROR(__xludf.DUMMYFUNCTION("""COMPUTED_VALUE"""),"PROGETIN")</f>
        <v>PROGETIN</v>
      </c>
      <c r="C211" s="73" t="str">
        <f ca="1">IFERROR(__xludf.DUMMYFUNCTION("""COMPUTED_VALUE"""),"CAJA DE 1 AMPOLLA")</f>
        <v>CAJA DE 1 AMPOLLA</v>
      </c>
      <c r="D211" s="73" t="str">
        <f ca="1">IFERROR(__xludf.DUMMYFUNCTION("""COMPUTED_VALUE"""),"ovulación")</f>
        <v>ovulación</v>
      </c>
      <c r="E211" s="73" t="str">
        <f ca="1">IFERROR(__xludf.DUMMYFUNCTION("""COMPUTED_VALUE"""),"COIDE S.A.")</f>
        <v>COIDE S.A.</v>
      </c>
      <c r="F211" s="73" t="str">
        <f ca="1">IFERROR(__xludf.DUMMYFUNCTION("""COMPUTED_VALUE"""),"feb-30")</f>
        <v>feb-30</v>
      </c>
      <c r="G211" s="74">
        <f ca="1">IFERROR(__xludf.DUMMYFUNCTION("""COMPUTED_VALUE"""),30)</f>
        <v>30</v>
      </c>
      <c r="H211" s="74">
        <f ca="1">IFERROR(__xludf.DUMMYFUNCTION("""COMPUTED_VALUE"""),42)</f>
        <v>42</v>
      </c>
      <c r="I211" s="74">
        <f ca="1">IFERROR(__xludf.DUMMYFUNCTION("""COMPUTED_VALUE"""),50)</f>
        <v>50</v>
      </c>
    </row>
    <row r="212" spans="2:9" ht="27" customHeight="1">
      <c r="B212" s="73" t="str">
        <f ca="1">IFERROR(__xludf.DUMMYFUNCTION("""COMPUTED_VALUE"""),"PSICODOL 1MG")</f>
        <v>PSICODOL 1MG</v>
      </c>
      <c r="C212" s="73" t="str">
        <f ca="1">IFERROR(__xludf.DUMMYFUNCTION("""COMPUTED_VALUE"""),"FRASCO 60ML")</f>
        <v>FRASCO 60ML</v>
      </c>
      <c r="D212" s="73" t="str">
        <f ca="1">IFERROR(__xludf.DUMMYFUNCTION("""COMPUTED_VALUE"""),"RISPERIDONA 1MG")</f>
        <v>RISPERIDONA 1MG</v>
      </c>
      <c r="E212" s="73" t="str">
        <f ca="1">IFERROR(__xludf.DUMMYFUNCTION("""COMPUTED_VALUE"""),"MEDPHARMA")</f>
        <v>MEDPHARMA</v>
      </c>
      <c r="F212" s="75">
        <f ca="1">IFERROR(__xludf.DUMMYFUNCTION("""COMPUTED_VALUE"""),45864)</f>
        <v>45864</v>
      </c>
      <c r="G212" s="74">
        <f ca="1">IFERROR(__xludf.DUMMYFUNCTION("""COMPUTED_VALUE"""),144.9)</f>
        <v>144.9</v>
      </c>
      <c r="H212" s="74">
        <f ca="1">IFERROR(__xludf.DUMMYFUNCTION("""COMPUTED_VALUE"""),202.86)</f>
        <v>202.86</v>
      </c>
      <c r="I212" s="74">
        <f ca="1">IFERROR(__xludf.DUMMYFUNCTION("""COMPUTED_VALUE"""),205)</f>
        <v>205</v>
      </c>
    </row>
    <row r="213" spans="2:9" ht="27" customHeight="1">
      <c r="B213" s="73" t="str">
        <f ca="1">IFERROR(__xludf.DUMMYFUNCTION("""COMPUTED_VALUE"""),"PULMOKAST")</f>
        <v>PULMOKAST</v>
      </c>
      <c r="C213" s="73" t="str">
        <f ca="1">IFERROR(__xludf.DUMMYFUNCTION("""COMPUTED_VALUE"""),"CAJA 30 TABLETAS")</f>
        <v>CAJA 30 TABLETAS</v>
      </c>
      <c r="D213" s="73" t="str">
        <f ca="1">IFERROR(__xludf.DUMMYFUNCTION("""COMPUTED_VALUE"""),"MONTELUKAST 10MG")</f>
        <v>MONTELUKAST 10MG</v>
      </c>
      <c r="E213" s="73" t="str">
        <f ca="1">IFERROR(__xludf.DUMMYFUNCTION("""COMPUTED_VALUE"""),"INFASA")</f>
        <v>INFASA</v>
      </c>
      <c r="F213" s="75">
        <f ca="1">IFERROR(__xludf.DUMMYFUNCTION("""COMPUTED_VALUE"""),45956)</f>
        <v>45956</v>
      </c>
      <c r="G213" s="74">
        <f ca="1">IFERROR(__xludf.DUMMYFUNCTION("""COMPUTED_VALUE"""),94.5)</f>
        <v>94.5</v>
      </c>
      <c r="H213" s="74">
        <f ca="1">IFERROR(__xludf.DUMMYFUNCTION("""COMPUTED_VALUE"""),132.3)</f>
        <v>132.30000000000001</v>
      </c>
      <c r="I213" s="74">
        <f ca="1">IFERROR(__xludf.DUMMYFUNCTION("""COMPUTED_VALUE"""),150)</f>
        <v>150</v>
      </c>
    </row>
    <row r="214" spans="2:9" ht="27" customHeight="1">
      <c r="B214" s="73" t="str">
        <f ca="1">IFERROR(__xludf.DUMMYFUNCTION("""COMPUTED_VALUE"""),"RANITIDINA")</f>
        <v>RANITIDINA</v>
      </c>
      <c r="C214" s="73" t="str">
        <f ca="1">IFERROR(__xludf.DUMMYFUNCTION("""COMPUTED_VALUE"""),"AMPOLLA")</f>
        <v>AMPOLLA</v>
      </c>
      <c r="D214" s="73" t="str">
        <f ca="1">IFERROR(__xludf.DUMMYFUNCTION("""COMPUTED_VALUE"""),"RANITIDINA")</f>
        <v>RANITIDINA</v>
      </c>
      <c r="E214" s="73" t="str">
        <f ca="1">IFERROR(__xludf.DUMMYFUNCTION("""COMPUTED_VALUE"""),"VITALIS")</f>
        <v>VITALIS</v>
      </c>
      <c r="F214" s="75">
        <f ca="1">IFERROR(__xludf.DUMMYFUNCTION("""COMPUTED_VALUE"""),45926)</f>
        <v>45926</v>
      </c>
      <c r="G214" s="74">
        <f ca="1">IFERROR(__xludf.DUMMYFUNCTION("""COMPUTED_VALUE"""),2.25)</f>
        <v>2.25</v>
      </c>
      <c r="H214" s="74">
        <f ca="1">IFERROR(__xludf.DUMMYFUNCTION("""COMPUTED_VALUE"""),3.15)</f>
        <v>3.15</v>
      </c>
      <c r="I214" s="74">
        <f ca="1">IFERROR(__xludf.DUMMYFUNCTION("""COMPUTED_VALUE"""),30)</f>
        <v>30</v>
      </c>
    </row>
    <row r="215" spans="2:9" ht="27" customHeight="1">
      <c r="B215" s="73" t="str">
        <f ca="1">IFERROR(__xludf.DUMMYFUNCTION("""COMPUTED_VALUE"""),"RECTO MENADERM")</f>
        <v>RECTO MENADERM</v>
      </c>
      <c r="C215" s="73" t="str">
        <f ca="1">IFERROR(__xludf.DUMMYFUNCTION("""COMPUTED_VALUE"""),"POMADA RECTAL TUBO 30G.")</f>
        <v>POMADA RECTAL TUBO 30G.</v>
      </c>
      <c r="D215" s="73" t="str">
        <f ca="1">IFERROR(__xludf.DUMMYFUNCTION("""COMPUTED_VALUE"""),"BECLOMETASONA DIPROPIONATO")</f>
        <v>BECLOMETASONA DIPROPIONATO</v>
      </c>
      <c r="E215" s="73" t="str">
        <f ca="1">IFERROR(__xludf.DUMMYFUNCTION("""COMPUTED_VALUE"""),"MENARINI")</f>
        <v>MENARINI</v>
      </c>
      <c r="F215" s="75">
        <f ca="1">IFERROR(__xludf.DUMMYFUNCTION("""COMPUTED_VALUE"""),45715)</f>
        <v>45715</v>
      </c>
      <c r="G215" s="74">
        <f ca="1">IFERROR(__xludf.DUMMYFUNCTION("""COMPUTED_VALUE"""),111.22)</f>
        <v>111.22</v>
      </c>
      <c r="H215" s="74">
        <f ca="1">IFERROR(__xludf.DUMMYFUNCTION("""COMPUTED_VALUE"""),155.708)</f>
        <v>155.708</v>
      </c>
      <c r="I215" s="74">
        <f ca="1">IFERROR(__xludf.DUMMYFUNCTION("""COMPUTED_VALUE"""),155)</f>
        <v>155</v>
      </c>
    </row>
    <row r="216" spans="2:9" ht="27" customHeight="1">
      <c r="B216" s="73" t="str">
        <f ca="1">IFERROR(__xludf.DUMMYFUNCTION("""COMPUTED_VALUE"""),"RELAJAMED 2ML")</f>
        <v>RELAJAMED 2ML</v>
      </c>
      <c r="C216" s="73" t="str">
        <f ca="1">IFERROR(__xludf.DUMMYFUNCTION("""COMPUTED_VALUE"""),"AMPOLLA 2 ML")</f>
        <v>AMPOLLA 2 ML</v>
      </c>
      <c r="D216" s="73" t="str">
        <f ca="1">IFERROR(__xludf.DUMMYFUNCTION("""COMPUTED_VALUE"""),"TIOCOLCHICOSIDO 4MG.")</f>
        <v>TIOCOLCHICOSIDO 4MG.</v>
      </c>
      <c r="E216" s="73" t="str">
        <f ca="1">IFERROR(__xludf.DUMMYFUNCTION("""COMPUTED_VALUE"""),"MOBA")</f>
        <v>MOBA</v>
      </c>
      <c r="F216" s="75">
        <f ca="1">IFERROR(__xludf.DUMMYFUNCTION("""COMPUTED_VALUE"""),45897)</f>
        <v>45897</v>
      </c>
      <c r="G216" s="74">
        <f ca="1">IFERROR(__xludf.DUMMYFUNCTION("""COMPUTED_VALUE"""),18)</f>
        <v>18</v>
      </c>
      <c r="H216" s="74">
        <f ca="1">IFERROR(__xludf.DUMMYFUNCTION("""COMPUTED_VALUE"""),25.2)</f>
        <v>25.2</v>
      </c>
      <c r="I216" s="74">
        <f ca="1">IFERROR(__xludf.DUMMYFUNCTION("""COMPUTED_VALUE"""),25)</f>
        <v>25</v>
      </c>
    </row>
    <row r="217" spans="2:9" ht="27" customHeight="1">
      <c r="B217" s="73" t="str">
        <f ca="1">IFERROR(__xludf.DUMMYFUNCTION("""COMPUTED_VALUE"""),"RENUVEN")</f>
        <v>RENUVEN</v>
      </c>
      <c r="C217" s="73" t="str">
        <f ca="1">IFERROR(__xludf.DUMMYFUNCTION("""COMPUTED_VALUE"""),"CAJA 30 CÁPUSLAS")</f>
        <v>CAJA 30 CÁPUSLAS</v>
      </c>
      <c r="D217" s="73" t="str">
        <f ca="1">IFERROR(__xludf.DUMMYFUNCTION("""COMPUTED_VALUE"""),"DLOPIDOGREL 75MG + ÁCIDO ACETILSALICÍLICA 75MG")</f>
        <v>DLOPIDOGREL 75MG + ÁCIDO ACETILSALICÍLICA 75MG</v>
      </c>
      <c r="E217" s="73" t="str">
        <f ca="1">IFERROR(__xludf.DUMMYFUNCTION("""COMPUTED_VALUE"""),"PHARA FARMECO")</f>
        <v>PHARA FARMECO</v>
      </c>
      <c r="F217" s="75">
        <f ca="1">IFERROR(__xludf.DUMMYFUNCTION("""COMPUTED_VALUE"""),45683)</f>
        <v>45683</v>
      </c>
      <c r="G217" s="74">
        <f ca="1">IFERROR(__xludf.DUMMYFUNCTION("""COMPUTED_VALUE"""),180)</f>
        <v>180</v>
      </c>
      <c r="H217" s="74">
        <f ca="1">IFERROR(__xludf.DUMMYFUNCTION("""COMPUTED_VALUE"""),252)</f>
        <v>252</v>
      </c>
      <c r="I217" s="74">
        <f ca="1">IFERROR(__xludf.DUMMYFUNCTION("""COMPUTED_VALUE"""),255)</f>
        <v>255</v>
      </c>
    </row>
    <row r="218" spans="2:9" ht="27" customHeight="1">
      <c r="B218" s="73" t="str">
        <f ca="1">IFERROR(__xludf.DUMMYFUNCTION("""COMPUTED_VALUE"""),"RILATEN")</f>
        <v>RILATEN</v>
      </c>
      <c r="C218" s="73" t="str">
        <f ca="1">IFERROR(__xludf.DUMMYFUNCTION("""COMPUTED_VALUE"""),"AMPOLLA")</f>
        <v>AMPOLLA</v>
      </c>
      <c r="D218" s="73" t="str">
        <f ca="1">IFERROR(__xludf.DUMMYFUNCTION("""COMPUTED_VALUE"""),"ROCIVERINA 20MG")</f>
        <v>ROCIVERINA 20MG</v>
      </c>
      <c r="E218" s="73" t="str">
        <f ca="1">IFERROR(__xludf.DUMMYFUNCTION("""COMPUTED_VALUE"""),"MENARINI FARMEN SA")</f>
        <v>MENARINI FARMEN SA</v>
      </c>
      <c r="F218" s="75">
        <f ca="1">IFERROR(__xludf.DUMMYFUNCTION("""COMPUTED_VALUE"""),45895)</f>
        <v>45895</v>
      </c>
      <c r="G218" s="74">
        <f ca="1">IFERROR(__xludf.DUMMYFUNCTION("""COMPUTED_VALUE"""),14.02)</f>
        <v>14.02</v>
      </c>
      <c r="H218" s="74">
        <f ca="1">IFERROR(__xludf.DUMMYFUNCTION("""COMPUTED_VALUE"""),19.628)</f>
        <v>19.628</v>
      </c>
      <c r="I218" s="74">
        <f ca="1">IFERROR(__xludf.DUMMYFUNCTION("""COMPUTED_VALUE"""),30)</f>
        <v>30</v>
      </c>
    </row>
    <row r="219" spans="2:9" ht="27" customHeight="1">
      <c r="B219" s="73" t="str">
        <f ca="1">IFERROR(__xludf.DUMMYFUNCTION("""COMPUTED_VALUE"""),"RIMOSS")</f>
        <v>RIMOSS</v>
      </c>
      <c r="C219" s="73" t="str">
        <f ca="1">IFERROR(__xludf.DUMMYFUNCTION("""COMPUTED_VALUE"""),"SPRAY NASAL 12ML")</f>
        <v>SPRAY NASAL 12ML</v>
      </c>
      <c r="D219" s="73" t="str">
        <f ca="1">IFERROR(__xludf.DUMMYFUNCTION("""COMPUTED_VALUE"""),"MOMETASONA FUROATO")</f>
        <v>MOMETASONA FUROATO</v>
      </c>
      <c r="E219" s="73" t="str">
        <f ca="1">IFERROR(__xludf.DUMMYFUNCTION("""COMPUTED_VALUE"""),"WELLCO")</f>
        <v>WELLCO</v>
      </c>
      <c r="F219" s="75">
        <f ca="1">IFERROR(__xludf.DUMMYFUNCTION("""COMPUTED_VALUE"""),45835)</f>
        <v>45835</v>
      </c>
      <c r="G219" s="74">
        <f ca="1">IFERROR(__xludf.DUMMYFUNCTION("""COMPUTED_VALUE"""),175)</f>
        <v>175</v>
      </c>
      <c r="H219" s="74">
        <f ca="1">IFERROR(__xludf.DUMMYFUNCTION("""COMPUTED_VALUE"""),245)</f>
        <v>245</v>
      </c>
      <c r="I219" s="74">
        <f ca="1">IFERROR(__xludf.DUMMYFUNCTION("""COMPUTED_VALUE"""),245)</f>
        <v>245</v>
      </c>
    </row>
    <row r="220" spans="2:9" ht="27" customHeight="1">
      <c r="B220" s="73" t="str">
        <f ca="1">IFERROR(__xludf.DUMMYFUNCTION("""COMPUTED_VALUE"""),"RUPAZZER")</f>
        <v>RUPAZZER</v>
      </c>
      <c r="C220" s="73" t="str">
        <f ca="1">IFERROR(__xludf.DUMMYFUNCTION("""COMPUTED_VALUE"""),"CAJA 10 TABLETAS")</f>
        <v>CAJA 10 TABLETAS</v>
      </c>
      <c r="D220" s="73" t="str">
        <f ca="1">IFERROR(__xludf.DUMMYFUNCTION("""COMPUTED_VALUE"""),"RUPATADINA 10MG")</f>
        <v>RUPATADINA 10MG</v>
      </c>
      <c r="E220" s="73" t="str">
        <f ca="1">IFERROR(__xludf.DUMMYFUNCTION("""COMPUTED_VALUE"""),"WINZZER")</f>
        <v>WINZZER</v>
      </c>
      <c r="F220" s="75">
        <f ca="1">IFERROR(__xludf.DUMMYFUNCTION("""COMPUTED_VALUE"""),45986)</f>
        <v>45986</v>
      </c>
      <c r="G220" s="74">
        <f ca="1">IFERROR(__xludf.DUMMYFUNCTION("""COMPUTED_VALUE"""),88)</f>
        <v>88</v>
      </c>
      <c r="H220" s="74">
        <f ca="1">IFERROR(__xludf.DUMMYFUNCTION("""COMPUTED_VALUE"""),123.2)</f>
        <v>123.2</v>
      </c>
      <c r="I220" s="74">
        <f ca="1">IFERROR(__xludf.DUMMYFUNCTION("""COMPUTED_VALUE"""),125)</f>
        <v>125</v>
      </c>
    </row>
    <row r="221" spans="2:9" ht="27" customHeight="1">
      <c r="B221" s="73" t="str">
        <f ca="1">IFERROR(__xludf.DUMMYFUNCTION("""COMPUTED_VALUE"""),"RUPAZZER")</f>
        <v>RUPAZZER</v>
      </c>
      <c r="C221" s="73" t="str">
        <f ca="1">IFERROR(__xludf.DUMMYFUNCTION("""COMPUTED_VALUE"""),"FRASCO 120ML.")</f>
        <v>FRASCO 120ML.</v>
      </c>
      <c r="D221" s="73" t="str">
        <f ca="1">IFERROR(__xludf.DUMMYFUNCTION("""COMPUTED_VALUE"""),"RUPATADINA 1MG/ML")</f>
        <v>RUPATADINA 1MG/ML</v>
      </c>
      <c r="E221" s="73" t="str">
        <f ca="1">IFERROR(__xludf.DUMMYFUNCTION("""COMPUTED_VALUE"""),"WINZZER")</f>
        <v>WINZZER</v>
      </c>
      <c r="F221" s="75">
        <f ca="1">IFERROR(__xludf.DUMMYFUNCTION("""COMPUTED_VALUE"""),45986)</f>
        <v>45986</v>
      </c>
      <c r="G221" s="74">
        <f ca="1">IFERROR(__xludf.DUMMYFUNCTION("""COMPUTED_VALUE"""),85.14)</f>
        <v>85.14</v>
      </c>
      <c r="H221" s="74">
        <f ca="1">IFERROR(__xludf.DUMMYFUNCTION("""COMPUTED_VALUE"""),119.196)</f>
        <v>119.196</v>
      </c>
      <c r="I221" s="74">
        <f ca="1">IFERROR(__xludf.DUMMYFUNCTION("""COMPUTED_VALUE"""),125)</f>
        <v>125</v>
      </c>
    </row>
    <row r="222" spans="2:9" ht="27" customHeight="1">
      <c r="B222" s="73" t="str">
        <f ca="1">IFERROR(__xludf.DUMMYFUNCTION("""COMPUTED_VALUE"""),"S.C.I.")</f>
        <v>S.C.I.</v>
      </c>
      <c r="C222" s="73" t="str">
        <f ca="1">IFERROR(__xludf.DUMMYFUNCTION("""COMPUTED_VALUE"""),"CAJA 30 COMPRIMIDOS")</f>
        <v>CAJA 30 COMPRIMIDOS</v>
      </c>
      <c r="D222" s="73" t="str">
        <f ca="1">IFERROR(__xludf.DUMMYFUNCTION("""COMPUTED_VALUE"""),"BROMURO DE OTILONIO 40MG")</f>
        <v>BROMURO DE OTILONIO 40MG</v>
      </c>
      <c r="E222" s="73" t="str">
        <f ca="1">IFERROR(__xludf.DUMMYFUNCTION("""COMPUTED_VALUE"""),"INFASA")</f>
        <v>INFASA</v>
      </c>
      <c r="F222" s="75">
        <f ca="1">IFERROR(__xludf.DUMMYFUNCTION("""COMPUTED_VALUE"""),45716)</f>
        <v>45716</v>
      </c>
      <c r="G222" s="74">
        <f ca="1">IFERROR(__xludf.DUMMYFUNCTION("""COMPUTED_VALUE"""),86.12)</f>
        <v>86.12</v>
      </c>
      <c r="H222" s="74">
        <f ca="1">IFERROR(__xludf.DUMMYFUNCTION("""COMPUTED_VALUE"""),120.568)</f>
        <v>120.568</v>
      </c>
      <c r="I222" s="74">
        <f ca="1">IFERROR(__xludf.DUMMYFUNCTION("""COMPUTED_VALUE"""),120)</f>
        <v>120</v>
      </c>
    </row>
    <row r="223" spans="2:9" ht="27" customHeight="1">
      <c r="B223" s="73" t="str">
        <f ca="1">IFERROR(__xludf.DUMMYFUNCTION("""COMPUTED_VALUE"""),"SARCOPHAR")</f>
        <v>SARCOPHAR</v>
      </c>
      <c r="C223" s="73" t="str">
        <f ca="1">IFERROR(__xludf.DUMMYFUNCTION("""COMPUTED_VALUE"""),"CREMA TOPICA 60ML")</f>
        <v>CREMA TOPICA 60ML</v>
      </c>
      <c r="D223" s="73" t="str">
        <f ca="1">IFERROR(__xludf.DUMMYFUNCTION("""COMPUTED_VALUE"""),"PERMETRINA AL 5%")</f>
        <v>PERMETRINA AL 5%</v>
      </c>
      <c r="E223" s="73" t="str">
        <f ca="1">IFERROR(__xludf.DUMMYFUNCTION("""COMPUTED_VALUE"""),"PHARBEST, S.A.")</f>
        <v>PHARBEST, S.A.</v>
      </c>
      <c r="F223" s="75">
        <f ca="1">IFERROR(__xludf.DUMMYFUNCTION("""COMPUTED_VALUE"""),45683)</f>
        <v>45683</v>
      </c>
      <c r="G223" s="74">
        <f ca="1">IFERROR(__xludf.DUMMYFUNCTION("""COMPUTED_VALUE"""),50.6)</f>
        <v>50.6</v>
      </c>
      <c r="H223" s="74">
        <f ca="1">IFERROR(__xludf.DUMMYFUNCTION("""COMPUTED_VALUE"""),70.84)</f>
        <v>70.84</v>
      </c>
      <c r="I223" s="74">
        <f ca="1">IFERROR(__xludf.DUMMYFUNCTION("""COMPUTED_VALUE"""),70)</f>
        <v>70</v>
      </c>
    </row>
    <row r="224" spans="2:9" ht="27" customHeight="1">
      <c r="B224" s="73" t="str">
        <f ca="1">IFERROR(__xludf.DUMMYFUNCTION("""COMPUTED_VALUE"""),"SECBIL")</f>
        <v>SECBIL</v>
      </c>
      <c r="C224" s="73" t="str">
        <f ca="1">IFERROR(__xludf.DUMMYFUNCTION("""COMPUTED_VALUE"""),"CAJA 4 TAB.")</f>
        <v>CAJA 4 TAB.</v>
      </c>
      <c r="D224" s="73" t="str">
        <f ca="1">IFERROR(__xludf.DUMMYFUNCTION("""COMPUTED_VALUE"""),"SECNIDAZOL 500MG")</f>
        <v>SECNIDAZOL 500MG</v>
      </c>
      <c r="E224" s="73" t="str">
        <f ca="1">IFERROR(__xludf.DUMMYFUNCTION("""COMPUTED_VALUE"""),"BILE FARMACÉUTICA")</f>
        <v>BILE FARMACÉUTICA</v>
      </c>
      <c r="F224" s="75">
        <f ca="1">IFERROR(__xludf.DUMMYFUNCTION("""COMPUTED_VALUE"""),45773)</f>
        <v>45773</v>
      </c>
      <c r="G224" s="74">
        <f ca="1">IFERROR(__xludf.DUMMYFUNCTION("""COMPUTED_VALUE"""),40)</f>
        <v>40</v>
      </c>
      <c r="H224" s="74">
        <f ca="1">IFERROR(__xludf.DUMMYFUNCTION("""COMPUTED_VALUE"""),56)</f>
        <v>56</v>
      </c>
      <c r="I224" s="74">
        <f ca="1">IFERROR(__xludf.DUMMYFUNCTION("""COMPUTED_VALUE"""),60)</f>
        <v>60</v>
      </c>
    </row>
    <row r="225" spans="1:9" ht="27" customHeight="1">
      <c r="B225" s="73" t="str">
        <f ca="1">IFERROR(__xludf.DUMMYFUNCTION("""COMPUTED_VALUE"""),"SEDALGINA COMPUESTA")</f>
        <v>SEDALGINA COMPUESTA</v>
      </c>
      <c r="C225" s="73" t="str">
        <f ca="1">IFERROR(__xludf.DUMMYFUNCTION("""COMPUTED_VALUE"""),"AMPOLLA 2ML")</f>
        <v>AMPOLLA 2ML</v>
      </c>
      <c r="D225" s="73" t="str">
        <f ca="1">IFERROR(__xludf.DUMMYFUNCTION("""COMPUTED_VALUE"""),"SEDALGINA COMPUESTA")</f>
        <v>SEDALGINA COMPUESTA</v>
      </c>
      <c r="E225" s="73" t="str">
        <f ca="1">IFERROR(__xludf.DUMMYFUNCTION("""COMPUTED_VALUE"""),"BONIN/DISSA")</f>
        <v>BONIN/DISSA</v>
      </c>
      <c r="F225" s="75">
        <f ca="1">IFERROR(__xludf.DUMMYFUNCTION("""COMPUTED_VALUE"""),45988)</f>
        <v>45988</v>
      </c>
      <c r="G225" s="74">
        <f ca="1">IFERROR(__xludf.DUMMYFUNCTION("""COMPUTED_VALUE"""),17.9)</f>
        <v>17.899999999999999</v>
      </c>
      <c r="H225" s="74">
        <f ca="1">IFERROR(__xludf.DUMMYFUNCTION("""COMPUTED_VALUE"""),25.06)</f>
        <v>25.06</v>
      </c>
      <c r="I225" s="74">
        <f ca="1">IFERROR(__xludf.DUMMYFUNCTION("""COMPUTED_VALUE"""),30)</f>
        <v>30</v>
      </c>
    </row>
    <row r="226" spans="1:9" ht="27" customHeight="1">
      <c r="B226" s="73" t="str">
        <f ca="1">IFERROR(__xludf.DUMMYFUNCTION("""COMPUTED_VALUE"""),"SEPTIDEX")</f>
        <v>SEPTIDEX</v>
      </c>
      <c r="C226" s="73" t="str">
        <f ca="1">IFERROR(__xludf.DUMMYFUNCTION("""COMPUTED_VALUE"""),"AEROSOL 40G")</f>
        <v>AEROSOL 40G</v>
      </c>
      <c r="D226" s="73" t="str">
        <f ca="1">IFERROR(__xludf.DUMMYFUNCTION("""COMPUTED_VALUE"""),"AEROSOL")</f>
        <v>AEROSOL</v>
      </c>
      <c r="E226" s="73" t="str">
        <f ca="1">IFERROR(__xludf.DUMMYFUNCTION("""COMPUTED_VALUE"""),"MEDPHARMA")</f>
        <v>MEDPHARMA</v>
      </c>
      <c r="F226" s="75">
        <f ca="1">IFERROR(__xludf.DUMMYFUNCTION("""COMPUTED_VALUE"""),45956)</f>
        <v>45956</v>
      </c>
      <c r="G226" s="74">
        <f ca="1">IFERROR(__xludf.DUMMYFUNCTION("""COMPUTED_VALUE"""),61.28)</f>
        <v>61.28</v>
      </c>
      <c r="H226" s="74">
        <f ca="1">IFERROR(__xludf.DUMMYFUNCTION("""COMPUTED_VALUE"""),85.792)</f>
        <v>85.792000000000002</v>
      </c>
      <c r="I226" s="74">
        <f ca="1">IFERROR(__xludf.DUMMYFUNCTION("""COMPUTED_VALUE"""),90)</f>
        <v>90</v>
      </c>
    </row>
    <row r="227" spans="1:9" ht="27" customHeight="1">
      <c r="B227" s="73" t="str">
        <f ca="1">IFERROR(__xludf.DUMMYFUNCTION("""COMPUTED_VALUE"""),"SERTAL GOTAS")</f>
        <v>SERTAL GOTAS</v>
      </c>
      <c r="C227" s="73" t="str">
        <f ca="1">IFERROR(__xludf.DUMMYFUNCTION("""COMPUTED_VALUE"""),"GOTERO 20ML")</f>
        <v>GOTERO 20ML</v>
      </c>
      <c r="D227" s="73" t="str">
        <f ca="1">IFERROR(__xludf.DUMMYFUNCTION("""COMPUTED_VALUE"""),"PROPINOS CLORHIDRATO 1%")</f>
        <v>PROPINOS CLORHIDRATO 1%</v>
      </c>
      <c r="E227" s="73" t="str">
        <f ca="1">IFERROR(__xludf.DUMMYFUNCTION("""COMPUTED_VALUE"""),"MEGALABS")</f>
        <v>MEGALABS</v>
      </c>
      <c r="F227" s="75">
        <f ca="1">IFERROR(__xludf.DUMMYFUNCTION("""COMPUTED_VALUE"""),45804)</f>
        <v>45804</v>
      </c>
      <c r="G227" s="74">
        <f ca="1">IFERROR(__xludf.DUMMYFUNCTION("""COMPUTED_VALUE"""),56.87)</f>
        <v>56.87</v>
      </c>
      <c r="H227" s="74">
        <f ca="1">IFERROR(__xludf.DUMMYFUNCTION("""COMPUTED_VALUE"""),79.618)</f>
        <v>79.617999999999995</v>
      </c>
      <c r="I227" s="74">
        <f ca="1">IFERROR(__xludf.DUMMYFUNCTION("""COMPUTED_VALUE"""),80)</f>
        <v>80</v>
      </c>
    </row>
    <row r="228" spans="1:9" ht="27" customHeight="1">
      <c r="B228" s="73" t="str">
        <f ca="1">IFERROR(__xludf.DUMMYFUNCTION("""COMPUTED_VALUE"""),"SERTAL PERLAS")</f>
        <v>SERTAL PERLAS</v>
      </c>
      <c r="C228" s="73" t="str">
        <f ca="1">IFERROR(__xludf.DUMMYFUNCTION("""COMPUTED_VALUE"""),"CAJA 10 CAPSULAS")</f>
        <v>CAJA 10 CAPSULAS</v>
      </c>
      <c r="D228" s="73" t="str">
        <f ca="1">IFERROR(__xludf.DUMMYFUNCTION("""COMPUTED_VALUE"""),"PROPINOX CLORHIDRATO 20MG")</f>
        <v>PROPINOX CLORHIDRATO 20MG</v>
      </c>
      <c r="E228" s="73" t="str">
        <f ca="1">IFERROR(__xludf.DUMMYFUNCTION("""COMPUTED_VALUE"""),"MEGALABS")</f>
        <v>MEGALABS</v>
      </c>
      <c r="F228" s="75">
        <f ca="1">IFERROR(__xludf.DUMMYFUNCTION("""COMPUTED_VALUE"""),45926)</f>
        <v>45926</v>
      </c>
      <c r="G228" s="74">
        <f ca="1">IFERROR(__xludf.DUMMYFUNCTION("""COMPUTED_VALUE"""),49.88)</f>
        <v>49.88</v>
      </c>
      <c r="H228" s="74">
        <f ca="1">IFERROR(__xludf.DUMMYFUNCTION("""COMPUTED_VALUE"""),69.832)</f>
        <v>69.831999999999994</v>
      </c>
      <c r="I228" s="74">
        <f ca="1">IFERROR(__xludf.DUMMYFUNCTION("""COMPUTED_VALUE"""),70)</f>
        <v>70</v>
      </c>
    </row>
    <row r="229" spans="1:9" ht="27" customHeight="1">
      <c r="B229" s="73" t="str">
        <f ca="1">IFERROR(__xludf.DUMMYFUNCTION("""COMPUTED_VALUE"""),"SITAGLIPTINA + METFORMINA")</f>
        <v>SITAGLIPTINA + METFORMINA</v>
      </c>
      <c r="C229" s="73" t="str">
        <f ca="1">IFERROR(__xludf.DUMMYFUNCTION("""COMPUTED_VALUE"""),"BLISTER 10 TAB.")</f>
        <v>BLISTER 10 TAB.</v>
      </c>
      <c r="D229" s="73" t="str">
        <f ca="1">IFERROR(__xludf.DUMMYFUNCTION("""COMPUTED_VALUE"""),"SITAGLIPTINA 50 MG./ METFORMINA 1000 MG.")</f>
        <v>SITAGLIPTINA 50 MG./ METFORMINA 1000 MG.</v>
      </c>
      <c r="E229" s="73" t="str">
        <f ca="1">IFERROR(__xludf.DUMMYFUNCTION("""COMPUTED_VALUE"""),"SEVEN PHARMA")</f>
        <v>SEVEN PHARMA</v>
      </c>
      <c r="F229" s="75">
        <f ca="1">IFERROR(__xludf.DUMMYFUNCTION("""COMPUTED_VALUE"""),45956)</f>
        <v>45956</v>
      </c>
      <c r="G229" s="74">
        <f ca="1">IFERROR(__xludf.DUMMYFUNCTION("""COMPUTED_VALUE"""),27.5)</f>
        <v>27.5</v>
      </c>
      <c r="H229" s="74">
        <f ca="1">IFERROR(__xludf.DUMMYFUNCTION("""COMPUTED_VALUE"""),38.5)</f>
        <v>38.5</v>
      </c>
      <c r="I229" s="74">
        <f ca="1">IFERROR(__xludf.DUMMYFUNCTION("""COMPUTED_VALUE"""),40)</f>
        <v>40</v>
      </c>
    </row>
    <row r="230" spans="1:9" ht="27" customHeight="1">
      <c r="B230" s="73" t="str">
        <f ca="1">IFERROR(__xludf.DUMMYFUNCTION("""COMPUTED_VALUE"""),"SOMAZINA 500MG (ISOCRANEOL)")</f>
        <v>SOMAZINA 500MG (ISOCRANEOL)</v>
      </c>
      <c r="C230" s="73" t="str">
        <f ca="1">IFERROR(__xludf.DUMMYFUNCTION("""COMPUTED_VALUE"""),"AMPOLLA")</f>
        <v>AMPOLLA</v>
      </c>
      <c r="D230" s="73" t="str">
        <f ca="1">IFERROR(__xludf.DUMMYFUNCTION("""COMPUTED_VALUE"""),"CITICOLINA 500MG")</f>
        <v>CITICOLINA 500MG</v>
      </c>
      <c r="E230" s="73" t="str">
        <f ca="1">IFERROR(__xludf.DUMMYFUNCTION("""COMPUTED_VALUE"""),"FERRER")</f>
        <v>FERRER</v>
      </c>
      <c r="F230" s="75">
        <f ca="1">IFERROR(__xludf.DUMMYFUNCTION("""COMPUTED_VALUE"""),45926)</f>
        <v>45926</v>
      </c>
      <c r="G230" s="74">
        <f ca="1">IFERROR(__xludf.DUMMYFUNCTION("""COMPUTED_VALUE"""),37.98)</f>
        <v>37.979999999999997</v>
      </c>
      <c r="H230" s="74">
        <f ca="1">IFERROR(__xludf.DUMMYFUNCTION("""COMPUTED_VALUE"""),53.172)</f>
        <v>53.171999999999997</v>
      </c>
      <c r="I230" s="74">
        <f ca="1">IFERROR(__xludf.DUMMYFUNCTION("""COMPUTED_VALUE"""),55)</f>
        <v>55</v>
      </c>
    </row>
    <row r="231" spans="1:9" ht="27" customHeight="1">
      <c r="B231" s="73" t="str">
        <f ca="1">IFERROR(__xludf.DUMMYFUNCTION("""COMPUTED_VALUE"""),"STORVAS 20")</f>
        <v>STORVAS 20</v>
      </c>
      <c r="C231" s="73" t="str">
        <f ca="1">IFERROR(__xludf.DUMMYFUNCTION("""COMPUTED_VALUE"""),"CAJA 30 TABLETAS")</f>
        <v>CAJA 30 TABLETAS</v>
      </c>
      <c r="D231" s="73" t="str">
        <f ca="1">IFERROR(__xludf.DUMMYFUNCTION("""COMPUTED_VALUE"""),"ATORVASTATINA, HIPOLIPEMIANTE")</f>
        <v>ATORVASTATINA, HIPOLIPEMIANTE</v>
      </c>
      <c r="E231" s="73" t="str">
        <f ca="1">IFERROR(__xludf.DUMMYFUNCTION("""COMPUTED_VALUE"""),"PHARMEDIC")</f>
        <v>PHARMEDIC</v>
      </c>
      <c r="F231" s="75">
        <f ca="1">IFERROR(__xludf.DUMMYFUNCTION("""COMPUTED_VALUE"""),45742)</f>
        <v>45742</v>
      </c>
      <c r="G231" s="74">
        <f ca="1">IFERROR(__xludf.DUMMYFUNCTION("""COMPUTED_VALUE"""),138.51)</f>
        <v>138.51</v>
      </c>
      <c r="H231" s="74">
        <f ca="1">IFERROR(__xludf.DUMMYFUNCTION("""COMPUTED_VALUE"""),193.914)</f>
        <v>193.91399999999999</v>
      </c>
      <c r="I231" s="74">
        <f ca="1">IFERROR(__xludf.DUMMYFUNCTION("""COMPUTED_VALUE"""),195)</f>
        <v>195</v>
      </c>
    </row>
    <row r="232" spans="1:9" ht="27" customHeight="1">
      <c r="B232" s="73" t="str">
        <f ca="1">IFERROR(__xludf.DUMMYFUNCTION("""COMPUTED_VALUE"""),"SUERO DEXTROSA AL 10%")</f>
        <v>SUERO DEXTROSA AL 10%</v>
      </c>
      <c r="C232" s="73" t="str">
        <f ca="1">IFERROR(__xludf.DUMMYFUNCTION("""COMPUTED_VALUE"""),"FRASCO 1000ML.")</f>
        <v>FRASCO 1000ML.</v>
      </c>
      <c r="D232" s="73" t="str">
        <f ca="1">IFERROR(__xludf.DUMMYFUNCTION("""COMPUTED_VALUE"""),"GLUCOSA AL 10%")</f>
        <v>GLUCOSA AL 10%</v>
      </c>
      <c r="E232" s="73" t="str">
        <f ca="1">IFERROR(__xludf.DUMMYFUNCTION("""COMPUTED_VALUE"""),"PISA")</f>
        <v>PISA</v>
      </c>
      <c r="F232" s="75">
        <f ca="1">IFERROR(__xludf.DUMMYFUNCTION("""COMPUTED_VALUE"""),45773)</f>
        <v>45773</v>
      </c>
      <c r="G232" s="74">
        <f ca="1">IFERROR(__xludf.DUMMYFUNCTION("""COMPUTED_VALUE"""),13)</f>
        <v>13</v>
      </c>
      <c r="H232" s="74">
        <f ca="1">IFERROR(__xludf.DUMMYFUNCTION("""COMPUTED_VALUE"""),18.2)</f>
        <v>18.2</v>
      </c>
      <c r="I232" s="74">
        <f ca="1">IFERROR(__xludf.DUMMYFUNCTION("""COMPUTED_VALUE"""),20)</f>
        <v>20</v>
      </c>
    </row>
    <row r="233" spans="1:9" ht="27" customHeight="1">
      <c r="B233" s="73" t="str">
        <f ca="1">IFERROR(__xludf.DUMMYFUNCTION("""COMPUTED_VALUE"""),"SUERO DEXTROSA AL 5%")</f>
        <v>SUERO DEXTROSA AL 5%</v>
      </c>
      <c r="C233" s="73" t="str">
        <f ca="1">IFERROR(__xludf.DUMMYFUNCTION("""COMPUTED_VALUE"""),"FRASCO 1000ML.")</f>
        <v>FRASCO 1000ML.</v>
      </c>
      <c r="D233" s="73" t="str">
        <f ca="1">IFERROR(__xludf.DUMMYFUNCTION("""COMPUTED_VALUE"""),"GLUCOSA AL 5%")</f>
        <v>GLUCOSA AL 5%</v>
      </c>
      <c r="E233" s="73" t="str">
        <f ca="1">IFERROR(__xludf.DUMMYFUNCTION("""COMPUTED_VALUE"""),"PISA")</f>
        <v>PISA</v>
      </c>
      <c r="F233" s="75">
        <f ca="1">IFERROR(__xludf.DUMMYFUNCTION("""COMPUTED_VALUE"""),45955)</f>
        <v>45955</v>
      </c>
      <c r="G233" s="74">
        <f ca="1">IFERROR(__xludf.DUMMYFUNCTION("""COMPUTED_VALUE"""),12)</f>
        <v>12</v>
      </c>
      <c r="H233" s="74">
        <f ca="1">IFERROR(__xludf.DUMMYFUNCTION("""COMPUTED_VALUE"""),16.8)</f>
        <v>16.8</v>
      </c>
      <c r="I233" s="74">
        <f ca="1">IFERROR(__xludf.DUMMYFUNCTION("""COMPUTED_VALUE"""),20)</f>
        <v>20</v>
      </c>
    </row>
    <row r="234" spans="1:9" ht="27" customHeight="1">
      <c r="B234" s="73" t="str">
        <f ca="1">IFERROR(__xludf.DUMMYFUNCTION("""COMPUTED_VALUE"""),"SUERO HARTMAN")</f>
        <v>SUERO HARTMAN</v>
      </c>
      <c r="C234" s="73" t="str">
        <f ca="1">IFERROR(__xludf.DUMMYFUNCTION("""COMPUTED_VALUE"""),"FRASCO 1000ML.")</f>
        <v>FRASCO 1000ML.</v>
      </c>
      <c r="D234" s="73" t="str">
        <f ca="1">IFERROR(__xludf.DUMMYFUNCTION("""COMPUTED_VALUE"""),"SOLUCIÓN HARTMAN")</f>
        <v>SOLUCIÓN HARTMAN</v>
      </c>
      <c r="E234" s="73" t="str">
        <f ca="1">IFERROR(__xludf.DUMMYFUNCTION("""COMPUTED_VALUE"""),"PISA")</f>
        <v>PISA</v>
      </c>
      <c r="F234" s="75">
        <f ca="1">IFERROR(__xludf.DUMMYFUNCTION("""COMPUTED_VALUE"""),45715)</f>
        <v>45715</v>
      </c>
      <c r="G234" s="74">
        <f ca="1">IFERROR(__xludf.DUMMYFUNCTION("""COMPUTED_VALUE"""),12)</f>
        <v>12</v>
      </c>
      <c r="H234" s="74">
        <f ca="1">IFERROR(__xludf.DUMMYFUNCTION("""COMPUTED_VALUE"""),16.8)</f>
        <v>16.8</v>
      </c>
      <c r="I234" s="74">
        <f ca="1">IFERROR(__xludf.DUMMYFUNCTION("""COMPUTED_VALUE"""),20)</f>
        <v>20</v>
      </c>
    </row>
    <row r="235" spans="1:9" ht="27" customHeight="1">
      <c r="B235" s="73" t="str">
        <f ca="1">IFERROR(__xludf.DUMMYFUNCTION("""COMPUTED_VALUE"""),"SUERO MIXTO")</f>
        <v>SUERO MIXTO</v>
      </c>
      <c r="C235" s="73" t="str">
        <f ca="1">IFERROR(__xludf.DUMMYFUNCTION("""COMPUTED_VALUE"""),"FRASCO 1000ML.")</f>
        <v>FRASCO 1000ML.</v>
      </c>
      <c r="D235" s="73" t="str">
        <f ca="1">IFERROR(__xludf.DUMMYFUNCTION("""COMPUTED_VALUE"""),"SOLUCION DE ELECTROLITOS ORALES")</f>
        <v>SOLUCION DE ELECTROLITOS ORALES</v>
      </c>
      <c r="E235" s="73" t="str">
        <f ca="1">IFERROR(__xludf.DUMMYFUNCTION("""COMPUTED_VALUE"""),"PISA")</f>
        <v>PISA</v>
      </c>
      <c r="F235" s="75">
        <f ca="1">IFERROR(__xludf.DUMMYFUNCTION("""COMPUTED_VALUE"""),45742)</f>
        <v>45742</v>
      </c>
      <c r="G235" s="74">
        <f ca="1">IFERROR(__xludf.DUMMYFUNCTION("""COMPUTED_VALUE"""),12)</f>
        <v>12</v>
      </c>
      <c r="H235" s="74">
        <f ca="1">IFERROR(__xludf.DUMMYFUNCTION("""COMPUTED_VALUE"""),16.8)</f>
        <v>16.8</v>
      </c>
      <c r="I235" s="74">
        <f ca="1">IFERROR(__xludf.DUMMYFUNCTION("""COMPUTED_VALUE"""),20)</f>
        <v>20</v>
      </c>
    </row>
    <row r="236" spans="1:9" ht="27" customHeight="1">
      <c r="B236" s="73" t="str">
        <f ca="1">IFERROR(__xludf.DUMMYFUNCTION("""COMPUTED_VALUE"""),"SUERO ORAL HIDRAVIDA")</f>
        <v>SUERO ORAL HIDRAVIDA</v>
      </c>
      <c r="C236" s="73" t="str">
        <f ca="1">IFERROR(__xludf.DUMMYFUNCTION("""COMPUTED_VALUE"""),"FRASCO 625ML")</f>
        <v>FRASCO 625ML</v>
      </c>
      <c r="D236" s="73" t="str">
        <f ca="1">IFERROR(__xludf.DUMMYFUNCTION("""COMPUTED_VALUE"""),"SOLUCIÓN DE ELECTROLITOS ORALES")</f>
        <v>SOLUCIÓN DE ELECTROLITOS ORALES</v>
      </c>
      <c r="E236" s="73" t="str">
        <f ca="1">IFERROR(__xludf.DUMMYFUNCTION("""COMPUTED_VALUE"""),"PISA")</f>
        <v>PISA</v>
      </c>
      <c r="F236" s="75">
        <f ca="1">IFERROR(__xludf.DUMMYFUNCTION("""COMPUTED_VALUE"""),45926)</f>
        <v>45926</v>
      </c>
      <c r="G236" s="74">
        <f ca="1">IFERROR(__xludf.DUMMYFUNCTION("""COMPUTED_VALUE"""),12.88)</f>
        <v>12.88</v>
      </c>
      <c r="H236" s="74">
        <f ca="1">IFERROR(__xludf.DUMMYFUNCTION("""COMPUTED_VALUE"""),18.032)</f>
        <v>18.032</v>
      </c>
      <c r="I236" s="74">
        <f ca="1">IFERROR(__xludf.DUMMYFUNCTION("""COMPUTED_VALUE"""),18)</f>
        <v>18</v>
      </c>
    </row>
    <row r="237" spans="1:9" ht="27" customHeight="1">
      <c r="B237" s="73" t="str">
        <f ca="1">IFERROR(__xludf.DUMMYFUNCTION("""COMPUTED_VALUE"""),"SUERO SALINO")</f>
        <v>SUERO SALINO</v>
      </c>
      <c r="C237" s="73" t="str">
        <f ca="1">IFERROR(__xludf.DUMMYFUNCTION("""COMPUTED_VALUE"""),"FRASCO 100ML.")</f>
        <v>FRASCO 100ML.</v>
      </c>
      <c r="D237" s="73" t="str">
        <f ca="1">IFERROR(__xludf.DUMMYFUNCTION("""COMPUTED_VALUE"""),"CLORURO DE SODIO 0.9%")</f>
        <v>CLORURO DE SODIO 0.9%</v>
      </c>
      <c r="E237" s="73" t="str">
        <f ca="1">IFERROR(__xludf.DUMMYFUNCTION("""COMPUTED_VALUE"""),"PISA")</f>
        <v>PISA</v>
      </c>
      <c r="F237" s="75">
        <f ca="1">IFERROR(__xludf.DUMMYFUNCTION("""COMPUTED_VALUE"""),45773)</f>
        <v>45773</v>
      </c>
      <c r="G237" s="74">
        <f ca="1">IFERROR(__xludf.DUMMYFUNCTION("""COMPUTED_VALUE"""),6.5)</f>
        <v>6.5</v>
      </c>
      <c r="H237" s="74">
        <f ca="1">IFERROR(__xludf.DUMMYFUNCTION("""COMPUTED_VALUE"""),9.1)</f>
        <v>9.1</v>
      </c>
      <c r="I237" s="74">
        <f ca="1">IFERROR(__xludf.DUMMYFUNCTION("""COMPUTED_VALUE"""),15)</f>
        <v>15</v>
      </c>
    </row>
    <row r="238" spans="1:9" ht="27" customHeight="1">
      <c r="B238" s="73" t="str">
        <f ca="1">IFERROR(__xludf.DUMMYFUNCTION("""COMPUTED_VALUE"""),"SUERO SALINO")</f>
        <v>SUERO SALINO</v>
      </c>
      <c r="C238" s="73" t="str">
        <f ca="1">IFERROR(__xludf.DUMMYFUNCTION("""COMPUTED_VALUE"""),"FRASCO 1000ML.")</f>
        <v>FRASCO 1000ML.</v>
      </c>
      <c r="D238" s="73" t="str">
        <f ca="1">IFERROR(__xludf.DUMMYFUNCTION("""COMPUTED_VALUE"""),"CLORURO DE SODIO 0.9%")</f>
        <v>CLORURO DE SODIO 0.9%</v>
      </c>
      <c r="E238" s="73" t="str">
        <f ca="1">IFERROR(__xludf.DUMMYFUNCTION("""COMPUTED_VALUE"""),"PISA")</f>
        <v>PISA</v>
      </c>
      <c r="F238" s="75">
        <f ca="1">IFERROR(__xludf.DUMMYFUNCTION("""COMPUTED_VALUE"""),45895)</f>
        <v>45895</v>
      </c>
      <c r="G238" s="74">
        <f ca="1">IFERROR(__xludf.DUMMYFUNCTION("""COMPUTED_VALUE"""),12)</f>
        <v>12</v>
      </c>
      <c r="H238" s="74">
        <f ca="1">IFERROR(__xludf.DUMMYFUNCTION("""COMPUTED_VALUE"""),16.8)</f>
        <v>16.8</v>
      </c>
      <c r="I238" s="74">
        <f ca="1">IFERROR(__xludf.DUMMYFUNCTION("""COMPUTED_VALUE"""),20)</f>
        <v>20</v>
      </c>
    </row>
    <row r="239" spans="1:9" ht="27" customHeight="1">
      <c r="B239" s="73" t="str">
        <f ca="1">IFERROR(__xludf.DUMMYFUNCTION("""COMPUTED_VALUE"""),"SUERO SALINO")</f>
        <v>SUERO SALINO</v>
      </c>
      <c r="C239" s="73" t="str">
        <f ca="1">IFERROR(__xludf.DUMMYFUNCTION("""COMPUTED_VALUE"""),"BOLSA 3000ML")</f>
        <v>BOLSA 3000ML</v>
      </c>
      <c r="D239" s="73" t="str">
        <f ca="1">IFERROR(__xludf.DUMMYFUNCTION("""COMPUTED_VALUE"""),"CLORURO DE SODIO 0.9%")</f>
        <v>CLORURO DE SODIO 0.9%</v>
      </c>
      <c r="E239" s="73" t="str">
        <f ca="1">IFERROR(__xludf.DUMMYFUNCTION("""COMPUTED_VALUE"""),"PISA")</f>
        <v>PISA</v>
      </c>
      <c r="F239" s="75">
        <f ca="1">IFERROR(__xludf.DUMMYFUNCTION("""COMPUTED_VALUE"""),45865)</f>
        <v>45865</v>
      </c>
      <c r="G239" s="74">
        <f ca="1">IFERROR(__xludf.DUMMYFUNCTION("""COMPUTED_VALUE"""),67.5)</f>
        <v>67.5</v>
      </c>
      <c r="H239" s="74">
        <f ca="1">IFERROR(__xludf.DUMMYFUNCTION("""COMPUTED_VALUE"""),94.5)</f>
        <v>94.5</v>
      </c>
      <c r="I239" s="74">
        <f ca="1">IFERROR(__xludf.DUMMYFUNCTION("""COMPUTED_VALUE"""),95)</f>
        <v>95</v>
      </c>
    </row>
    <row r="240" spans="1:9" ht="27" customHeight="1">
      <c r="A240" s="73"/>
      <c r="B240" s="73" t="str">
        <f ca="1">IFERROR(__xludf.DUMMYFUNCTION("""COMPUTED_VALUE"""),"SULFATO DE ATROPINA")</f>
        <v>SULFATO DE ATROPINA</v>
      </c>
      <c r="C240" s="73" t="str">
        <f ca="1">IFERROR(__xludf.DUMMYFUNCTION("""COMPUTED_VALUE"""),"AMPOLLA 2ML")</f>
        <v>AMPOLLA 2ML</v>
      </c>
      <c r="D240" s="73" t="str">
        <f ca="1">IFERROR(__xludf.DUMMYFUNCTION("""COMPUTED_VALUE"""),"SULFATO DE ATROPINA")</f>
        <v>SULFATO DE ATROPINA</v>
      </c>
      <c r="E240" s="73" t="str">
        <f ca="1">IFERROR(__xludf.DUMMYFUNCTION("""COMPUTED_VALUE"""),"BONIN")</f>
        <v>BONIN</v>
      </c>
      <c r="F240" s="75">
        <f ca="1">IFERROR(__xludf.DUMMYFUNCTION("""COMPUTED_VALUE"""),45956)</f>
        <v>45956</v>
      </c>
      <c r="G240" s="74">
        <f ca="1">IFERROR(__xludf.DUMMYFUNCTION("""COMPUTED_VALUE"""),4.8)</f>
        <v>4.8</v>
      </c>
      <c r="H240" s="74">
        <f ca="1">IFERROR(__xludf.DUMMYFUNCTION("""COMPUTED_VALUE"""),6.72)</f>
        <v>6.72</v>
      </c>
      <c r="I240" s="74">
        <f ca="1">IFERROR(__xludf.DUMMYFUNCTION("""COMPUTED_VALUE"""),15)</f>
        <v>15</v>
      </c>
    </row>
    <row r="241" spans="2:9" ht="27" customHeight="1">
      <c r="B241" s="73" t="str">
        <f ca="1">IFERROR(__xludf.DUMMYFUNCTION("""COMPUTED_VALUE"""),"SULFATO DE MAGNESIO")</f>
        <v>SULFATO DE MAGNESIO</v>
      </c>
      <c r="C241" s="73" t="str">
        <f ca="1">IFERROR(__xludf.DUMMYFUNCTION("""COMPUTED_VALUE"""),"AMPOLLA 10ML")</f>
        <v>AMPOLLA 10ML</v>
      </c>
      <c r="D241" s="73" t="str">
        <f ca="1">IFERROR(__xludf.DUMMYFUNCTION("""COMPUTED_VALUE"""),"SULFATO DE MAGNESIO 50%")</f>
        <v>SULFATO DE MAGNESIO 50%</v>
      </c>
      <c r="E241" s="73" t="str">
        <f ca="1">IFERROR(__xludf.DUMMYFUNCTION("""COMPUTED_VALUE"""),"VIJOSA")</f>
        <v>VIJOSA</v>
      </c>
      <c r="F241" s="75">
        <f ca="1">IFERROR(__xludf.DUMMYFUNCTION("""COMPUTED_VALUE"""),45865)</f>
        <v>45865</v>
      </c>
      <c r="G241" s="74">
        <f ca="1">IFERROR(__xludf.DUMMYFUNCTION("""COMPUTED_VALUE"""),31.75)</f>
        <v>31.75</v>
      </c>
      <c r="H241" s="74">
        <f ca="1">IFERROR(__xludf.DUMMYFUNCTION("""COMPUTED_VALUE"""),44.45)</f>
        <v>44.45</v>
      </c>
      <c r="I241" s="74">
        <f ca="1">IFERROR(__xludf.DUMMYFUNCTION("""COMPUTED_VALUE"""),55)</f>
        <v>55</v>
      </c>
    </row>
    <row r="242" spans="2:9" ht="27" customHeight="1">
      <c r="B242" s="73" t="str">
        <f ca="1">IFERROR(__xludf.DUMMYFUNCTION("""COMPUTED_VALUE"""),"SUPER BELIRON")</f>
        <v>SUPER BELIRON</v>
      </c>
      <c r="C242" s="73" t="str">
        <f ca="1">IFERROR(__xludf.DUMMYFUNCTION("""COMPUTED_VALUE"""),"CAJA 2 TABLETAS")</f>
        <v>CAJA 2 TABLETAS</v>
      </c>
      <c r="D242" s="73" t="str">
        <f ca="1">IFERROR(__xludf.DUMMYFUNCTION("""COMPUTED_VALUE"""),"SILDENAFIL 50MG, DAPOXETINA HCI 30MG")</f>
        <v>SILDENAFIL 50MG, DAPOXETINA HCI 30MG</v>
      </c>
      <c r="E242" s="73" t="str">
        <f ca="1">IFERROR(__xludf.DUMMYFUNCTION("""COMPUTED_VALUE"""),"PHARMADEL")</f>
        <v>PHARMADEL</v>
      </c>
      <c r="F242" s="75">
        <f ca="1">IFERROR(__xludf.DUMMYFUNCTION("""COMPUTED_VALUE"""),45773)</f>
        <v>45773</v>
      </c>
      <c r="G242" s="74">
        <f ca="1">IFERROR(__xludf.DUMMYFUNCTION("""COMPUTED_VALUE"""),40.5)</f>
        <v>40.5</v>
      </c>
      <c r="H242" s="74">
        <f ca="1">IFERROR(__xludf.DUMMYFUNCTION("""COMPUTED_VALUE"""),56.7)</f>
        <v>56.7</v>
      </c>
      <c r="I242" s="74">
        <f ca="1">IFERROR(__xludf.DUMMYFUNCTION("""COMPUTED_VALUE"""),60)</f>
        <v>60</v>
      </c>
    </row>
    <row r="243" spans="2:9" ht="27" customHeight="1">
      <c r="B243" s="73" t="str">
        <f ca="1">IFERROR(__xludf.DUMMYFUNCTION("""COMPUTED_VALUE"""),"TAGLIP")</f>
        <v>TAGLIP</v>
      </c>
      <c r="C243" s="73" t="str">
        <f ca="1">IFERROR(__xludf.DUMMYFUNCTION("""COMPUTED_VALUE"""),"CAJA 30 TABLETAS")</f>
        <v>CAJA 30 TABLETAS</v>
      </c>
      <c r="D243" s="73" t="str">
        <f ca="1">IFERROR(__xludf.DUMMYFUNCTION("""COMPUTED_VALUE"""),"SITAGLIPTINA 100MG.")</f>
        <v>SITAGLIPTINA 100MG.</v>
      </c>
      <c r="E243" s="73" t="str">
        <f ca="1">IFERROR(__xludf.DUMMYFUNCTION("""COMPUTED_VALUE"""),"QUALIPHARM")</f>
        <v>QUALIPHARM</v>
      </c>
      <c r="F243" s="75">
        <f ca="1">IFERROR(__xludf.DUMMYFUNCTION("""COMPUTED_VALUE"""),45987)</f>
        <v>45987</v>
      </c>
      <c r="G243" s="74">
        <f ca="1">IFERROR(__xludf.DUMMYFUNCTION("""COMPUTED_VALUE"""),105)</f>
        <v>105</v>
      </c>
      <c r="H243" s="74">
        <f ca="1">IFERROR(__xludf.DUMMYFUNCTION("""COMPUTED_VALUE"""),147)</f>
        <v>147</v>
      </c>
      <c r="I243" s="74">
        <f ca="1">IFERROR(__xludf.DUMMYFUNCTION("""COMPUTED_VALUE"""),150)</f>
        <v>150</v>
      </c>
    </row>
    <row r="244" spans="2:9" ht="27" customHeight="1">
      <c r="B244" s="73" t="str">
        <f ca="1">IFERROR(__xludf.DUMMYFUNCTION("""COMPUTED_VALUE"""),"TIAMINA")</f>
        <v>TIAMINA</v>
      </c>
      <c r="C244" s="73" t="str">
        <f ca="1">IFERROR(__xludf.DUMMYFUNCTION("""COMPUTED_VALUE"""),"FRASCO 10ML")</f>
        <v>FRASCO 10ML</v>
      </c>
      <c r="D244" s="73" t="str">
        <f ca="1">IFERROR(__xludf.DUMMYFUNCTION("""COMPUTED_VALUE"""),"TIAMINA HCI, VITAMINA B1")</f>
        <v>TIAMINA HCI, VITAMINA B1</v>
      </c>
      <c r="E244" s="73" t="str">
        <f ca="1">IFERROR(__xludf.DUMMYFUNCTION("""COMPUTED_VALUE"""),"BONIN")</f>
        <v>BONIN</v>
      </c>
      <c r="F244" s="75">
        <f ca="1">IFERROR(__xludf.DUMMYFUNCTION("""COMPUTED_VALUE"""),45716)</f>
        <v>45716</v>
      </c>
      <c r="G244" s="74">
        <f ca="1">IFERROR(__xludf.DUMMYFUNCTION("""COMPUTED_VALUE"""),8.75)</f>
        <v>8.75</v>
      </c>
      <c r="H244" s="74">
        <f ca="1">IFERROR(__xludf.DUMMYFUNCTION("""COMPUTED_VALUE"""),12.25)</f>
        <v>12.25</v>
      </c>
      <c r="I244" s="74">
        <f ca="1">IFERROR(__xludf.DUMMYFUNCTION("""COMPUTED_VALUE"""),30)</f>
        <v>30</v>
      </c>
    </row>
    <row r="245" spans="2:9" ht="27" customHeight="1">
      <c r="B245" s="73" t="str">
        <f ca="1">IFERROR(__xludf.DUMMYFUNCTION("""COMPUTED_VALUE"""),"TIAMINAL B12")</f>
        <v>TIAMINAL B12</v>
      </c>
      <c r="C245" s="73" t="str">
        <f ca="1">IFERROR(__xludf.DUMMYFUNCTION("""COMPUTED_VALUE"""),"CAJA 30 CAPSULAS")</f>
        <v>CAJA 30 CAPSULAS</v>
      </c>
      <c r="D245" s="73" t="str">
        <f ca="1">IFERROR(__xludf.DUMMYFUNCTION("""COMPUTED_VALUE"""),"CIANOCOBALAMINA, PRIRDOXINA, TIAMINA")</f>
        <v>CIANOCOBALAMINA, PRIRDOXINA, TIAMINA</v>
      </c>
      <c r="E245" s="73" t="str">
        <f ca="1">IFERROR(__xludf.DUMMYFUNCTION("""COMPUTED_VALUE"""),"SILANES")</f>
        <v>SILANES</v>
      </c>
      <c r="F245" s="75">
        <f ca="1">IFERROR(__xludf.DUMMYFUNCTION("""COMPUTED_VALUE"""),45987)</f>
        <v>45987</v>
      </c>
      <c r="G245" s="74">
        <f ca="1">IFERROR(__xludf.DUMMYFUNCTION("""COMPUTED_VALUE"""),66.42)</f>
        <v>66.42</v>
      </c>
      <c r="H245" s="74">
        <f ca="1">IFERROR(__xludf.DUMMYFUNCTION("""COMPUTED_VALUE"""),92.988)</f>
        <v>92.988</v>
      </c>
      <c r="I245" s="74">
        <f ca="1">IFERROR(__xludf.DUMMYFUNCTION("""COMPUTED_VALUE"""),95)</f>
        <v>95</v>
      </c>
    </row>
    <row r="246" spans="2:9" ht="27" customHeight="1">
      <c r="B246" s="73" t="str">
        <f ca="1">IFERROR(__xludf.DUMMYFUNCTION("""COMPUTED_VALUE"""),"TIBONELLA")</f>
        <v>TIBONELLA</v>
      </c>
      <c r="C246" s="73" t="str">
        <f ca="1">IFERROR(__xludf.DUMMYFUNCTION("""COMPUTED_VALUE"""),"CAJA 28 TABLETAS")</f>
        <v>CAJA 28 TABLETAS</v>
      </c>
      <c r="D246" s="73" t="str">
        <f ca="1">IFERROR(__xludf.DUMMYFUNCTION("""COMPUTED_VALUE"""),"TIBOLONA 2,5MG.")</f>
        <v>TIBOLONA 2,5MG.</v>
      </c>
      <c r="E246" s="73" t="str">
        <f ca="1">IFERROR(__xludf.DUMMYFUNCTION("""COMPUTED_VALUE"""),"CHALVER")</f>
        <v>CHALVER</v>
      </c>
      <c r="F246" s="75">
        <f ca="1">IFERROR(__xludf.DUMMYFUNCTION("""COMPUTED_VALUE"""),45895)</f>
        <v>45895</v>
      </c>
      <c r="G246" s="74">
        <f ca="1">IFERROR(__xludf.DUMMYFUNCTION("""COMPUTED_VALUE"""),175.52)</f>
        <v>175.52</v>
      </c>
      <c r="H246" s="74">
        <f ca="1">IFERROR(__xludf.DUMMYFUNCTION("""COMPUTED_VALUE"""),245.728)</f>
        <v>245.72800000000001</v>
      </c>
      <c r="I246" s="74">
        <f ca="1">IFERROR(__xludf.DUMMYFUNCTION("""COMPUTED_VALUE"""),245)</f>
        <v>245</v>
      </c>
    </row>
    <row r="247" spans="2:9" ht="27" customHeight="1">
      <c r="B247" s="73" t="str">
        <f ca="1">IFERROR(__xludf.DUMMYFUNCTION("""COMPUTED_VALUE"""),"TOALLA FEMENINA")</f>
        <v>TOALLA FEMENINA</v>
      </c>
      <c r="C247" s="73" t="str">
        <f ca="1">IFERROR(__xludf.DUMMYFUNCTION("""COMPUTED_VALUE"""),"UNIDAD")</f>
        <v>UNIDAD</v>
      </c>
      <c r="D247" s="73" t="str">
        <f ca="1">IFERROR(__xludf.DUMMYFUNCTION("""COMPUTED_VALUE"""),"TOALLA")</f>
        <v>TOALLA</v>
      </c>
      <c r="E247" s="73" t="str">
        <f ca="1">IFERROR(__xludf.DUMMYFUNCTION("""COMPUTED_VALUE"""),"SUPER MAS")</f>
        <v>SUPER MAS</v>
      </c>
      <c r="F247" s="75">
        <f ca="1">IFERROR(__xludf.DUMMYFUNCTION("""COMPUTED_VALUE"""),45714)</f>
        <v>45714</v>
      </c>
      <c r="G247" s="74">
        <f ca="1">IFERROR(__xludf.DUMMYFUNCTION("""COMPUTED_VALUE"""),5.25)</f>
        <v>5.25</v>
      </c>
      <c r="H247" s="74">
        <f ca="1">IFERROR(__xludf.DUMMYFUNCTION("""COMPUTED_VALUE"""),7.35)</f>
        <v>7.35</v>
      </c>
      <c r="I247" s="74">
        <f ca="1">IFERROR(__xludf.DUMMYFUNCTION("""COMPUTED_VALUE"""),10)</f>
        <v>10</v>
      </c>
    </row>
    <row r="248" spans="2:9" ht="27" customHeight="1">
      <c r="B248" s="73" t="str">
        <f ca="1">IFERROR(__xludf.DUMMYFUNCTION("""COMPUTED_VALUE"""),"TOPIBEST ""HC""")</f>
        <v>TOPIBEST "HC"</v>
      </c>
      <c r="C248" s="73" t="str">
        <f ca="1">IFERROR(__xludf.DUMMYFUNCTION("""COMPUTED_VALUE"""),"CREMA 30G.")</f>
        <v>CREMA 30G.</v>
      </c>
      <c r="D248" s="73" t="str">
        <f ca="1">IFERROR(__xludf.DUMMYFUNCTION("""COMPUTED_VALUE"""),"CREMA DERMATOLOGICA DE HIDROCORTIZONA 0.5%")</f>
        <v>CREMA DERMATOLOGICA DE HIDROCORTIZONA 0.5%</v>
      </c>
      <c r="E248" s="73" t="str">
        <f ca="1">IFERROR(__xludf.DUMMYFUNCTION("""COMPUTED_VALUE"""),"PHARBEST, S.A.")</f>
        <v>PHARBEST, S.A.</v>
      </c>
      <c r="F248" s="75">
        <f ca="1">IFERROR(__xludf.DUMMYFUNCTION("""COMPUTED_VALUE"""),45864)</f>
        <v>45864</v>
      </c>
      <c r="G248" s="74">
        <f ca="1">IFERROR(__xludf.DUMMYFUNCTION("""COMPUTED_VALUE"""),92.66)</f>
        <v>92.66</v>
      </c>
      <c r="H248" s="74">
        <f ca="1">IFERROR(__xludf.DUMMYFUNCTION("""COMPUTED_VALUE"""),129.724)</f>
        <v>129.72399999999999</v>
      </c>
      <c r="I248" s="74">
        <f ca="1">IFERROR(__xludf.DUMMYFUNCTION("""COMPUTED_VALUE"""),145)</f>
        <v>145</v>
      </c>
    </row>
    <row r="249" spans="2:9" ht="27" customHeight="1">
      <c r="B249" s="73" t="str">
        <f ca="1">IFERROR(__xludf.DUMMYFUNCTION("""COMPUTED_VALUE"""),"TRAMADOL")</f>
        <v>TRAMADOL</v>
      </c>
      <c r="C249" s="73" t="str">
        <f ca="1">IFERROR(__xludf.DUMMYFUNCTION("""COMPUTED_VALUE"""),"AMPOLLA 2ML")</f>
        <v>AMPOLLA 2ML</v>
      </c>
      <c r="D249" s="73" t="str">
        <f ca="1">IFERROR(__xludf.DUMMYFUNCTION("""COMPUTED_VALUE"""),"TRAMADOL")</f>
        <v>TRAMADOL</v>
      </c>
      <c r="E249" s="73" t="str">
        <f ca="1">IFERROR(__xludf.DUMMYFUNCTION("""COMPUTED_VALUE"""),"VITALIS")</f>
        <v>VITALIS</v>
      </c>
      <c r="F249" s="75">
        <f ca="1">IFERROR(__xludf.DUMMYFUNCTION("""COMPUTED_VALUE"""),45835)</f>
        <v>45835</v>
      </c>
      <c r="G249" s="74">
        <f ca="1">IFERROR(__xludf.DUMMYFUNCTION("""COMPUTED_VALUE"""),2.28)</f>
        <v>2.2799999999999998</v>
      </c>
      <c r="H249" s="74">
        <f ca="1">IFERROR(__xludf.DUMMYFUNCTION("""COMPUTED_VALUE"""),3.19199999999999)</f>
        <v>3.19199999999999</v>
      </c>
      <c r="I249" s="74">
        <f ca="1">IFERROR(__xludf.DUMMYFUNCTION("""COMPUTED_VALUE"""),30)</f>
        <v>30</v>
      </c>
    </row>
    <row r="250" spans="2:9" ht="27" customHeight="1">
      <c r="B250" s="73" t="str">
        <f ca="1">IFERROR(__xludf.DUMMYFUNCTION("""COMPUTED_VALUE"""),"TRANEXIN")</f>
        <v>TRANEXIN</v>
      </c>
      <c r="C250" s="73" t="str">
        <f ca="1">IFERROR(__xludf.DUMMYFUNCTION("""COMPUTED_VALUE"""),"AMPOLLA 5ML")</f>
        <v>AMPOLLA 5ML</v>
      </c>
      <c r="D250" s="73" t="str">
        <f ca="1">IFERROR(__xludf.DUMMYFUNCTION("""COMPUTED_VALUE"""),"ACIDO TRANEXÁNICO")</f>
        <v>ACIDO TRANEXÁNICO</v>
      </c>
      <c r="E250" s="73" t="str">
        <f ca="1">IFERROR(__xludf.DUMMYFUNCTION("""COMPUTED_VALUE"""),"AGEFINSA")</f>
        <v>AGEFINSA</v>
      </c>
      <c r="F250" s="75">
        <f ca="1">IFERROR(__xludf.DUMMYFUNCTION("""COMPUTED_VALUE"""),45865)</f>
        <v>45865</v>
      </c>
      <c r="G250" s="74">
        <f ca="1">IFERROR(__xludf.DUMMYFUNCTION("""COMPUTED_VALUE"""),125)</f>
        <v>125</v>
      </c>
      <c r="H250" s="74">
        <f ca="1">IFERROR(__xludf.DUMMYFUNCTION("""COMPUTED_VALUE"""),175)</f>
        <v>175</v>
      </c>
      <c r="I250" s="74">
        <f ca="1">IFERROR(__xludf.DUMMYFUNCTION("""COMPUTED_VALUE"""),175)</f>
        <v>175</v>
      </c>
    </row>
    <row r="251" spans="2:9" ht="27" customHeight="1">
      <c r="B251" s="73" t="str">
        <f ca="1">IFERROR(__xludf.DUMMYFUNCTION("""COMPUTED_VALUE"""),"TRIACID")</f>
        <v>TRIACID</v>
      </c>
      <c r="C251" s="73" t="str">
        <f ca="1">IFERROR(__xludf.DUMMYFUNCTION("""COMPUTED_VALUE"""),"CAJA 30 CAPSULAS")</f>
        <v>CAJA 30 CAPSULAS</v>
      </c>
      <c r="D251" s="73" t="str">
        <f ca="1">IFERROR(__xludf.DUMMYFUNCTION("""COMPUTED_VALUE"""),"BROMURO DE PINAVERIO 100MG + SIMETICONA 300MG")</f>
        <v>BROMURO DE PINAVERIO 100MG + SIMETICONA 300MG</v>
      </c>
      <c r="E251" s="73" t="str">
        <f ca="1">IFERROR(__xludf.DUMMYFUNCTION("""COMPUTED_VALUE"""),"MEDPHARMA")</f>
        <v>MEDPHARMA</v>
      </c>
      <c r="F251" s="75">
        <f ca="1">IFERROR(__xludf.DUMMYFUNCTION("""COMPUTED_VALUE"""),45774)</f>
        <v>45774</v>
      </c>
      <c r="G251" s="74">
        <f ca="1">IFERROR(__xludf.DUMMYFUNCTION("""COMPUTED_VALUE"""),125.49)</f>
        <v>125.49</v>
      </c>
      <c r="H251" s="74">
        <f ca="1">IFERROR(__xludf.DUMMYFUNCTION("""COMPUTED_VALUE"""),175.685999999999)</f>
        <v>175.68599999999901</v>
      </c>
      <c r="I251" s="74">
        <f ca="1">IFERROR(__xludf.DUMMYFUNCTION("""COMPUTED_VALUE"""),175)</f>
        <v>175</v>
      </c>
    </row>
    <row r="252" spans="2:9" ht="27" customHeight="1">
      <c r="B252" s="73" t="str">
        <f ca="1">IFERROR(__xludf.DUMMYFUNCTION("""COMPUTED_VALUE"""),"TRIGOPAX")</f>
        <v>TRIGOPAX</v>
      </c>
      <c r="C252" s="73" t="str">
        <f ca="1">IFERROR(__xludf.DUMMYFUNCTION("""COMPUTED_VALUE"""),"CREMA 30G.")</f>
        <v>CREMA 30G.</v>
      </c>
      <c r="D252" s="73" t="str">
        <f ca="1">IFERROR(__xludf.DUMMYFUNCTION("""COMPUTED_VALUE"""),"CREMA CALMANTE Y PROTECTORA DE LA PIEL")</f>
        <v>CREMA CALMANTE Y PROTECTORA DE LA PIEL</v>
      </c>
      <c r="E252" s="73" t="str">
        <f ca="1">IFERROR(__xludf.DUMMYFUNCTION("""COMPUTED_VALUE"""),"ACM LAB. DERMATOLOGIQUE")</f>
        <v>ACM LAB. DERMATOLOGIQUE</v>
      </c>
      <c r="F252" s="75">
        <f ca="1">IFERROR(__xludf.DUMMYFUNCTION("""COMPUTED_VALUE"""),45803)</f>
        <v>45803</v>
      </c>
      <c r="G252" s="74">
        <f ca="1">IFERROR(__xludf.DUMMYFUNCTION("""COMPUTED_VALUE"""),159.49)</f>
        <v>159.49</v>
      </c>
      <c r="H252" s="74">
        <f ca="1">IFERROR(__xludf.DUMMYFUNCTION("""COMPUTED_VALUE"""),223.286)</f>
        <v>223.286</v>
      </c>
      <c r="I252" s="74">
        <f ca="1">IFERROR(__xludf.DUMMYFUNCTION("""COMPUTED_VALUE"""),225)</f>
        <v>225</v>
      </c>
    </row>
    <row r="253" spans="2:9" ht="27" customHeight="1">
      <c r="B253" s="73" t="str">
        <f ca="1">IFERROR(__xludf.DUMMYFUNCTION("""COMPUTED_VALUE"""),"TRIPACK-DEL")</f>
        <v>TRIPACK-DEL</v>
      </c>
      <c r="C253" s="73" t="str">
        <f ca="1">IFERROR(__xludf.DUMMYFUNCTION("""COMPUTED_VALUE"""),"CAJA 10 BLISTER")</f>
        <v>CAJA 10 BLISTER</v>
      </c>
      <c r="D253" s="73" t="str">
        <f ca="1">IFERROR(__xludf.DUMMYFUNCTION("""COMPUTED_VALUE"""),"AMOXICILINA, LEVOFLOXACINA Y ESOMEPRAZOL")</f>
        <v>AMOXICILINA, LEVOFLOXACINA Y ESOMEPRAZOL</v>
      </c>
      <c r="E253" s="73" t="str">
        <f ca="1">IFERROR(__xludf.DUMMYFUNCTION("""COMPUTED_VALUE"""),"PHARMADEL")</f>
        <v>PHARMADEL</v>
      </c>
      <c r="F253" s="75">
        <f ca="1">IFERROR(__xludf.DUMMYFUNCTION("""COMPUTED_VALUE"""),45926)</f>
        <v>45926</v>
      </c>
      <c r="G253" s="74">
        <f ca="1">IFERROR(__xludf.DUMMYFUNCTION("""COMPUTED_VALUE"""),250)</f>
        <v>250</v>
      </c>
      <c r="H253" s="74">
        <f ca="1">IFERROR(__xludf.DUMMYFUNCTION("""COMPUTED_VALUE"""),350)</f>
        <v>350</v>
      </c>
      <c r="I253" s="74">
        <f ca="1">IFERROR(__xludf.DUMMYFUNCTION("""COMPUTED_VALUE"""),350)</f>
        <v>350</v>
      </c>
    </row>
    <row r="254" spans="2:9" ht="27" customHeight="1">
      <c r="B254" s="73" t="str">
        <f ca="1">IFERROR(__xludf.DUMMYFUNCTION("""COMPUTED_VALUE"""),"TUSILEXIL")</f>
        <v>TUSILEXIL</v>
      </c>
      <c r="C254" s="73" t="str">
        <f ca="1">IFERROR(__xludf.DUMMYFUNCTION("""COMPUTED_VALUE"""),"FRASCO 120ML.")</f>
        <v>FRASCO 120ML.</v>
      </c>
      <c r="D254" s="73" t="str">
        <f ca="1">IFERROR(__xludf.DUMMYFUNCTION("""COMPUTED_VALUE"""),"CARBOXIMETILCISTEÌNA/DEXTROMETORFANO/BROMHIDRATO/CLOFGENIRAMINA MALEATO")</f>
        <v>CARBOXIMETILCISTEÌNA/DEXTROMETORFANO/BROMHIDRATO/CLOFGENIRAMINA MALEATO</v>
      </c>
      <c r="E254" s="73" t="str">
        <f ca="1">IFERROR(__xludf.DUMMYFUNCTION("""COMPUTED_VALUE"""),"LETERAGO")</f>
        <v>LETERAGO</v>
      </c>
      <c r="F254" s="75">
        <f ca="1">IFERROR(__xludf.DUMMYFUNCTION("""COMPUTED_VALUE"""),45742)</f>
        <v>45742</v>
      </c>
      <c r="G254" s="74">
        <f ca="1">IFERROR(__xludf.DUMMYFUNCTION("""COMPUTED_VALUE"""),77.25)</f>
        <v>77.25</v>
      </c>
      <c r="H254" s="74">
        <f ca="1">IFERROR(__xludf.DUMMYFUNCTION("""COMPUTED_VALUE"""),108.15)</f>
        <v>108.15</v>
      </c>
      <c r="I254" s="74">
        <f ca="1">IFERROR(__xludf.DUMMYFUNCTION("""COMPUTED_VALUE"""),110)</f>
        <v>110</v>
      </c>
    </row>
    <row r="255" spans="2:9" ht="27" customHeight="1">
      <c r="B255" s="73" t="str">
        <f ca="1">IFERROR(__xludf.DUMMYFUNCTION("""COMPUTED_VALUE"""),"URICRIS")</f>
        <v>URICRIS</v>
      </c>
      <c r="C255" s="73" t="str">
        <f ca="1">IFERROR(__xludf.DUMMYFUNCTION("""COMPUTED_VALUE"""),"CAJA 30 TABLETAS")</f>
        <v>CAJA 30 TABLETAS</v>
      </c>
      <c r="D255" s="73" t="str">
        <f ca="1">IFERROR(__xludf.DUMMYFUNCTION("""COMPUTED_VALUE"""),"ALOPURINOL 300MG.")</f>
        <v>ALOPURINOL 300MG.</v>
      </c>
      <c r="E255" s="73" t="str">
        <f ca="1">IFERROR(__xludf.DUMMYFUNCTION("""COMPUTED_VALUE"""),"PHARMALAT")</f>
        <v>PHARMALAT</v>
      </c>
      <c r="F255" s="75">
        <f ca="1">IFERROR(__xludf.DUMMYFUNCTION("""COMPUTED_VALUE"""),45714)</f>
        <v>45714</v>
      </c>
      <c r="G255" s="74">
        <f ca="1">IFERROR(__xludf.DUMMYFUNCTION("""COMPUTED_VALUE"""),105)</f>
        <v>105</v>
      </c>
      <c r="H255" s="74">
        <f ca="1">IFERROR(__xludf.DUMMYFUNCTION("""COMPUTED_VALUE"""),147)</f>
        <v>147</v>
      </c>
      <c r="I255" s="74">
        <f ca="1">IFERROR(__xludf.DUMMYFUNCTION("""COMPUTED_VALUE"""),150)</f>
        <v>150</v>
      </c>
    </row>
    <row r="256" spans="2:9" ht="27" customHeight="1">
      <c r="B256" s="73" t="str">
        <f ca="1">IFERROR(__xludf.DUMMYFUNCTION("""COMPUTED_VALUE"""),"URINOM XR")</f>
        <v>URINOM XR</v>
      </c>
      <c r="C256" s="73" t="str">
        <f ca="1">IFERROR(__xludf.DUMMYFUNCTION("""COMPUTED_VALUE"""),"CAJA 30 CAPSULAS")</f>
        <v>CAJA 30 CAPSULAS</v>
      </c>
      <c r="D256" s="73" t="str">
        <f ca="1">IFERROR(__xludf.DUMMYFUNCTION("""COMPUTED_VALUE"""),"TAMSULOSINA 0.4MG")</f>
        <v>TAMSULOSINA 0.4MG</v>
      </c>
      <c r="E256" s="73" t="str">
        <f ca="1">IFERROR(__xludf.DUMMYFUNCTION("""COMPUTED_VALUE"""),"PHARMOZ")</f>
        <v>PHARMOZ</v>
      </c>
      <c r="F256" s="75">
        <f ca="1">IFERROR(__xludf.DUMMYFUNCTION("""COMPUTED_VALUE"""),45864)</f>
        <v>45864</v>
      </c>
      <c r="G256" s="74">
        <f ca="1">IFERROR(__xludf.DUMMYFUNCTION("""COMPUTED_VALUE"""),235.98)</f>
        <v>235.98</v>
      </c>
      <c r="H256" s="74">
        <f ca="1">IFERROR(__xludf.DUMMYFUNCTION("""COMPUTED_VALUE"""),330.371999999999)</f>
        <v>330.37199999999899</v>
      </c>
      <c r="I256" s="74">
        <f ca="1">IFERROR(__xludf.DUMMYFUNCTION("""COMPUTED_VALUE"""),335)</f>
        <v>335</v>
      </c>
    </row>
    <row r="257" spans="2:9" ht="27" customHeight="1">
      <c r="B257" s="73" t="str">
        <f ca="1">IFERROR(__xludf.DUMMYFUNCTION("""COMPUTED_VALUE"""),"URITAM D")</f>
        <v>URITAM D</v>
      </c>
      <c r="C257" s="73" t="str">
        <f ca="1">IFERROR(__xludf.DUMMYFUNCTION("""COMPUTED_VALUE"""),"CAJA 30 CAPSULAS")</f>
        <v>CAJA 30 CAPSULAS</v>
      </c>
      <c r="D257" s="73" t="str">
        <f ca="1">IFERROR(__xludf.DUMMYFUNCTION("""COMPUTED_VALUE"""),"DUTASTERIDA 05MG + TAMSULOSINA CLORHIDRATO 0.4MG")</f>
        <v>DUTASTERIDA 05MG + TAMSULOSINA CLORHIDRATO 0.4MG</v>
      </c>
      <c r="E257" s="73" t="str">
        <f ca="1">IFERROR(__xludf.DUMMYFUNCTION("""COMPUTED_VALUE"""),"MEDPHARMA")</f>
        <v>MEDPHARMA</v>
      </c>
      <c r="F257" s="75">
        <f ca="1">IFERROR(__xludf.DUMMYFUNCTION("""COMPUTED_VALUE"""),45685)</f>
        <v>45685</v>
      </c>
      <c r="G257" s="74">
        <f ca="1">IFERROR(__xludf.DUMMYFUNCTION("""COMPUTED_VALUE"""),266.4)</f>
        <v>266.39999999999998</v>
      </c>
      <c r="H257" s="74">
        <f ca="1">IFERROR(__xludf.DUMMYFUNCTION("""COMPUTED_VALUE"""),372.96)</f>
        <v>372.96</v>
      </c>
      <c r="I257" s="74">
        <f ca="1">IFERROR(__xludf.DUMMYFUNCTION("""COMPUTED_VALUE"""),400)</f>
        <v>400</v>
      </c>
    </row>
    <row r="258" spans="2:9" ht="27" customHeight="1">
      <c r="B258" s="73" t="str">
        <f ca="1">IFERROR(__xludf.DUMMYFUNCTION("""COMPUTED_VALUE"""),"UROBERRY FORTE")</f>
        <v>UROBERRY FORTE</v>
      </c>
      <c r="C258" s="73" t="str">
        <f ca="1">IFERROR(__xludf.DUMMYFUNCTION("""COMPUTED_VALUE"""),"CAJA 30 TABLETAS")</f>
        <v>CAJA 30 TABLETAS</v>
      </c>
      <c r="D258" s="73" t="str">
        <f ca="1">IFERROR(__xludf.DUMMYFUNCTION("""COMPUTED_VALUE"""),"EXTRACTO DE CRANBERRY, VITAMINA C")</f>
        <v>EXTRACTO DE CRANBERRY, VITAMINA C</v>
      </c>
      <c r="E258" s="73" t="str">
        <f ca="1">IFERROR(__xludf.DUMMYFUNCTION("""COMPUTED_VALUE"""),"BOFASA")</f>
        <v>BOFASA</v>
      </c>
      <c r="F258" s="75">
        <f ca="1">IFERROR(__xludf.DUMMYFUNCTION("""COMPUTED_VALUE"""),45956)</f>
        <v>45956</v>
      </c>
      <c r="G258" s="74">
        <f ca="1">IFERROR(__xludf.DUMMYFUNCTION("""COMPUTED_VALUE"""),159.6)</f>
        <v>159.6</v>
      </c>
      <c r="H258" s="74">
        <f ca="1">IFERROR(__xludf.DUMMYFUNCTION("""COMPUTED_VALUE"""),223.44)</f>
        <v>223.44</v>
      </c>
      <c r="I258" s="74">
        <f ca="1">IFERROR(__xludf.DUMMYFUNCTION("""COMPUTED_VALUE"""),265)</f>
        <v>265</v>
      </c>
    </row>
    <row r="259" spans="2:9" ht="27" customHeight="1">
      <c r="B259" s="73" t="str">
        <f ca="1">IFERROR(__xludf.DUMMYFUNCTION("""COMPUTED_VALUE"""),"UROXACINA/NORFLOXACINA")</f>
        <v>UROXACINA/NORFLOXACINA</v>
      </c>
      <c r="C259" s="73" t="str">
        <f ca="1">IFERROR(__xludf.DUMMYFUNCTION("""COMPUTED_VALUE"""),"CAJA 10 TABLETAS")</f>
        <v>CAJA 10 TABLETAS</v>
      </c>
      <c r="D259" s="73" t="str">
        <f ca="1">IFERROR(__xludf.DUMMYFUNCTION("""COMPUTED_VALUE"""),"MICTASOL tratamiento de infecciones agudas, crónicas y recurrentes del aparato urinario")</f>
        <v>MICTASOL tratamiento de infecciones agudas, crónicas y recurrentes del aparato urinario</v>
      </c>
      <c r="E259" s="73" t="str">
        <f ca="1">IFERROR(__xludf.DUMMYFUNCTION("""COMPUTED_VALUE"""),"BRULAB")</f>
        <v>BRULAB</v>
      </c>
      <c r="F259" s="75">
        <f ca="1">IFERROR(__xludf.DUMMYFUNCTION("""COMPUTED_VALUE"""),45685)</f>
        <v>45685</v>
      </c>
      <c r="G259" s="74">
        <f ca="1">IFERROR(__xludf.DUMMYFUNCTION("""COMPUTED_VALUE"""),238.89)</f>
        <v>238.89</v>
      </c>
      <c r="H259" s="74">
        <f ca="1">IFERROR(__xludf.DUMMYFUNCTION("""COMPUTED_VALUE"""),334.445999999999)</f>
        <v>334.445999999999</v>
      </c>
      <c r="I259" s="74">
        <f ca="1">IFERROR(__xludf.DUMMYFUNCTION("""COMPUTED_VALUE"""),350)</f>
        <v>350</v>
      </c>
    </row>
    <row r="260" spans="2:9" ht="27" customHeight="1">
      <c r="B260" s="73" t="str">
        <f ca="1">IFERROR(__xludf.DUMMYFUNCTION("""COMPUTED_VALUE"""),"VANCOMICINA")</f>
        <v>VANCOMICINA</v>
      </c>
      <c r="C260" s="73" t="str">
        <f ca="1">IFERROR(__xludf.DUMMYFUNCTION("""COMPUTED_VALUE"""),"POLVO PARA SOLUCIÓN INYEC.")</f>
        <v>POLVO PARA SOLUCIÓN INYEC.</v>
      </c>
      <c r="D260" s="73" t="str">
        <f ca="1">IFERROR(__xludf.DUMMYFUNCTION("""COMPUTED_VALUE"""),"VANCOMICINA")</f>
        <v>VANCOMICINA</v>
      </c>
      <c r="E260" s="73" t="str">
        <f ca="1">IFERROR(__xludf.DUMMYFUNCTION("""COMPUTED_VALUE"""),"VITALIS")</f>
        <v>VITALIS</v>
      </c>
      <c r="F260" s="75">
        <f ca="1">IFERROR(__xludf.DUMMYFUNCTION("""COMPUTED_VALUE"""),45774)</f>
        <v>45774</v>
      </c>
      <c r="G260" s="74">
        <f ca="1">IFERROR(__xludf.DUMMYFUNCTION("""COMPUTED_VALUE"""),15)</f>
        <v>15</v>
      </c>
      <c r="H260" s="74">
        <f ca="1">IFERROR(__xludf.DUMMYFUNCTION("""COMPUTED_VALUE"""),21)</f>
        <v>21</v>
      </c>
      <c r="I260" s="74">
        <f ca="1">IFERROR(__xludf.DUMMYFUNCTION("""COMPUTED_VALUE"""),30)</f>
        <v>30</v>
      </c>
    </row>
    <row r="261" spans="2:9" ht="27" customHeight="1">
      <c r="B261" s="73" t="str">
        <f ca="1">IFERROR(__xludf.DUMMYFUNCTION("""COMPUTED_VALUE"""),"VIDARTIL")</f>
        <v>VIDARTIL</v>
      </c>
      <c r="C261" s="73" t="str">
        <f ca="1">IFERROR(__xludf.DUMMYFUNCTION("""COMPUTED_VALUE"""),"CAJA 30 TAB.")</f>
        <v>CAJA 30 TAB.</v>
      </c>
      <c r="D261" s="73" t="str">
        <f ca="1">IFERROR(__xludf.DUMMYFUNCTION("""COMPUTED_VALUE"""),"VIDAGLIPTINA 50MG.")</f>
        <v>VIDAGLIPTINA 50MG.</v>
      </c>
      <c r="E261" s="73" t="str">
        <f ca="1">IFERROR(__xludf.DUMMYFUNCTION("""COMPUTED_VALUE"""),"UNINOVA")</f>
        <v>UNINOVA</v>
      </c>
      <c r="F261" s="75">
        <f ca="1">IFERROR(__xludf.DUMMYFUNCTION("""COMPUTED_VALUE"""),45895)</f>
        <v>45895</v>
      </c>
      <c r="G261" s="74">
        <f ca="1">IFERROR(__xludf.DUMMYFUNCTION("""COMPUTED_VALUE"""),180.57)</f>
        <v>180.57</v>
      </c>
      <c r="H261" s="74">
        <f ca="1">IFERROR(__xludf.DUMMYFUNCTION("""COMPUTED_VALUE"""),252.798)</f>
        <v>252.798</v>
      </c>
      <c r="I261" s="74">
        <f ca="1">IFERROR(__xludf.DUMMYFUNCTION("""COMPUTED_VALUE"""),255)</f>
        <v>255</v>
      </c>
    </row>
    <row r="262" spans="2:9" ht="27" customHeight="1">
      <c r="B262" s="73" t="str">
        <f ca="1">IFERROR(__xludf.DUMMYFUNCTION("""COMPUTED_VALUE"""),"VINTAX")</f>
        <v>VINTAX</v>
      </c>
      <c r="C262" s="73" t="str">
        <f ca="1">IFERROR(__xludf.DUMMYFUNCTION("""COMPUTED_VALUE"""),"CAJA 2 TABLETAS")</f>
        <v>CAJA 2 TABLETAS</v>
      </c>
      <c r="D262" s="73" t="str">
        <f ca="1">IFERROR(__xludf.DUMMYFUNCTION("""COMPUTED_VALUE"""),"IVERMECTINA 6MG.")</f>
        <v>IVERMECTINA 6MG.</v>
      </c>
      <c r="E262" s="73" t="str">
        <f ca="1">IFERROR(__xludf.DUMMYFUNCTION("""COMPUTED_VALUE"""),"INFASA")</f>
        <v>INFASA</v>
      </c>
      <c r="F262" s="75">
        <f ca="1">IFERROR(__xludf.DUMMYFUNCTION("""COMPUTED_VALUE"""),45987)</f>
        <v>45987</v>
      </c>
      <c r="G262" s="74">
        <f ca="1">IFERROR(__xludf.DUMMYFUNCTION("""COMPUTED_VALUE"""),20)</f>
        <v>20</v>
      </c>
      <c r="H262" s="74">
        <f ca="1">IFERROR(__xludf.DUMMYFUNCTION("""COMPUTED_VALUE"""),28)</f>
        <v>28</v>
      </c>
      <c r="I262" s="74">
        <f ca="1">IFERROR(__xludf.DUMMYFUNCTION("""COMPUTED_VALUE"""),30)</f>
        <v>30</v>
      </c>
    </row>
    <row r="263" spans="2:9" ht="27" customHeight="1">
      <c r="B263" s="73" t="str">
        <f ca="1">IFERROR(__xludf.DUMMYFUNCTION("""COMPUTED_VALUE"""),"VIPAXEN")</f>
        <v>VIPAXEN</v>
      </c>
      <c r="C263" s="73" t="str">
        <f ca="1">IFERROR(__xludf.DUMMYFUNCTION("""COMPUTED_VALUE"""),"CAJA 20 TABLETAS")</f>
        <v>CAJA 20 TABLETAS</v>
      </c>
      <c r="D263" s="73" t="str">
        <f ca="1">IFERROR(__xludf.DUMMYFUNCTION("""COMPUTED_VALUE"""),"IBUPROFENO 300MG + METOCARBAMOL 250MG")</f>
        <v>IBUPROFENO 300MG + METOCARBAMOL 250MG</v>
      </c>
      <c r="E263" s="73" t="str">
        <f ca="1">IFERROR(__xludf.DUMMYFUNCTION("""COMPUTED_VALUE"""),"VIPARSA")</f>
        <v>VIPARSA</v>
      </c>
      <c r="F263" s="75">
        <f ca="1">IFERROR(__xludf.DUMMYFUNCTION("""COMPUTED_VALUE"""),45896)</f>
        <v>45896</v>
      </c>
      <c r="G263" s="74">
        <f ca="1">IFERROR(__xludf.DUMMYFUNCTION("""COMPUTED_VALUE"""),62.31)</f>
        <v>62.31</v>
      </c>
      <c r="H263" s="74">
        <f ca="1">IFERROR(__xludf.DUMMYFUNCTION("""COMPUTED_VALUE"""),87.234)</f>
        <v>87.233999999999995</v>
      </c>
      <c r="I263" s="74">
        <f ca="1">IFERROR(__xludf.DUMMYFUNCTION("""COMPUTED_VALUE"""),90)</f>
        <v>90</v>
      </c>
    </row>
    <row r="264" spans="2:9" ht="27" customHeight="1">
      <c r="B264" s="73" t="str">
        <f ca="1">IFERROR(__xludf.DUMMYFUNCTION("""COMPUTED_VALUE"""),"VIRULEV")</f>
        <v>VIRULEV</v>
      </c>
      <c r="C264" s="73" t="str">
        <f ca="1">IFERROR(__xludf.DUMMYFUNCTION("""COMPUTED_VALUE"""),"CREMA 5G")</f>
        <v>CREMA 5G</v>
      </c>
      <c r="D264" s="73" t="str">
        <f ca="1">IFERROR(__xludf.DUMMYFUNCTION("""COMPUTED_VALUE"""),"ACICLOVIR 5%")</f>
        <v>ACICLOVIR 5%</v>
      </c>
      <c r="E264" s="73" t="str">
        <f ca="1">IFERROR(__xludf.DUMMYFUNCTION("""COMPUTED_VALUE"""),"LEVEN")</f>
        <v>LEVEN</v>
      </c>
      <c r="F264" s="75">
        <f ca="1">IFERROR(__xludf.DUMMYFUNCTION("""COMPUTED_VALUE"""),45956)</f>
        <v>45956</v>
      </c>
      <c r="G264" s="74">
        <f ca="1">IFERROR(__xludf.DUMMYFUNCTION("""COMPUTED_VALUE"""),39.56)</f>
        <v>39.56</v>
      </c>
      <c r="H264" s="74">
        <f ca="1">IFERROR(__xludf.DUMMYFUNCTION("""COMPUTED_VALUE"""),55.384)</f>
        <v>55.384</v>
      </c>
      <c r="I264" s="74">
        <f ca="1">IFERROR(__xludf.DUMMYFUNCTION("""COMPUTED_VALUE"""),60)</f>
        <v>60</v>
      </c>
    </row>
    <row r="265" spans="2:9" ht="27" customHeight="1">
      <c r="B265" s="73" t="str">
        <f ca="1">IFERROR(__xludf.DUMMYFUNCTION("""COMPUTED_VALUE"""),"VIRULEVV400")</f>
        <v>VIRULEVV400</v>
      </c>
      <c r="C265" s="73" t="str">
        <f ca="1">IFERROR(__xludf.DUMMYFUNCTION("""COMPUTED_VALUE"""),"CAJA 20 TABLETAS")</f>
        <v>CAJA 20 TABLETAS</v>
      </c>
      <c r="D265" s="73" t="str">
        <f ca="1">IFERROR(__xludf.DUMMYFUNCTION("""COMPUTED_VALUE"""),"ACICLOVIR 400MG")</f>
        <v>ACICLOVIR 400MG</v>
      </c>
      <c r="E265" s="73" t="str">
        <f ca="1">IFERROR(__xludf.DUMMYFUNCTION("""COMPUTED_VALUE"""),"LEVEN")</f>
        <v>LEVEN</v>
      </c>
      <c r="F265" s="75">
        <f ca="1">IFERROR(__xludf.DUMMYFUNCTION("""COMPUTED_VALUE"""),45834)</f>
        <v>45834</v>
      </c>
      <c r="G265" s="74">
        <f ca="1">IFERROR(__xludf.DUMMYFUNCTION("""COMPUTED_VALUE"""),74.53)</f>
        <v>74.53</v>
      </c>
      <c r="H265" s="74">
        <f ca="1">IFERROR(__xludf.DUMMYFUNCTION("""COMPUTED_VALUE"""),104.342)</f>
        <v>104.342</v>
      </c>
      <c r="I265" s="74">
        <f ca="1">IFERROR(__xludf.DUMMYFUNCTION("""COMPUTED_VALUE"""),105)</f>
        <v>105</v>
      </c>
    </row>
    <row r="266" spans="2:9" ht="27" customHeight="1">
      <c r="B266" s="73" t="str">
        <f ca="1">IFERROR(__xludf.DUMMYFUNCTION("""COMPUTED_VALUE"""),"VITABROX")</f>
        <v>VITABROX</v>
      </c>
      <c r="C266" s="73" t="str">
        <f ca="1">IFERROR(__xludf.DUMMYFUNCTION("""COMPUTED_VALUE"""),"FRASCO 240 ML")</f>
        <v>FRASCO 240 ML</v>
      </c>
      <c r="D266" s="73" t="str">
        <f ca="1">IFERROR(__xludf.DUMMYFUNCTION("""COMPUTED_VALUE"""),"SUPLEMENTO NUTRICIONAL")</f>
        <v>SUPLEMENTO NUTRICIONAL</v>
      </c>
      <c r="E266" s="73" t="str">
        <f ca="1">IFERROR(__xludf.DUMMYFUNCTION("""COMPUTED_VALUE"""),"BROPHARMA")</f>
        <v>BROPHARMA</v>
      </c>
      <c r="F266" s="75">
        <f ca="1">IFERROR(__xludf.DUMMYFUNCTION("""COMPUTED_VALUE"""),45834)</f>
        <v>45834</v>
      </c>
      <c r="G266" s="74">
        <f ca="1">IFERROR(__xludf.DUMMYFUNCTION("""COMPUTED_VALUE"""),38)</f>
        <v>38</v>
      </c>
      <c r="H266" s="74">
        <f ca="1">IFERROR(__xludf.DUMMYFUNCTION("""COMPUTED_VALUE"""),53.2)</f>
        <v>53.2</v>
      </c>
      <c r="I266" s="74">
        <f ca="1">IFERROR(__xludf.DUMMYFUNCTION("""COMPUTED_VALUE"""),55)</f>
        <v>55</v>
      </c>
    </row>
    <row r="267" spans="2:9" ht="27" customHeight="1">
      <c r="B267" s="73" t="str">
        <f ca="1">IFERROR(__xludf.DUMMYFUNCTION("""COMPUTED_VALUE"""),"WINVIT")</f>
        <v>WINVIT</v>
      </c>
      <c r="C267" s="73" t="str">
        <f ca="1">IFERROR(__xludf.DUMMYFUNCTION("""COMPUTED_VALUE"""),"FRASCO 240 ML")</f>
        <v>FRASCO 240 ML</v>
      </c>
      <c r="D267" s="73" t="str">
        <f ca="1">IFERROR(__xludf.DUMMYFUNCTION("""COMPUTED_VALUE"""),"MULTIVITAMINICO")</f>
        <v>MULTIVITAMINICO</v>
      </c>
      <c r="E267" s="73" t="str">
        <f ca="1">IFERROR(__xludf.DUMMYFUNCTION("""COMPUTED_VALUE"""),"WINZZER")</f>
        <v>WINZZER</v>
      </c>
      <c r="F267" s="75">
        <f ca="1">IFERROR(__xludf.DUMMYFUNCTION("""COMPUTED_VALUE"""),45743)</f>
        <v>45743</v>
      </c>
      <c r="G267" s="74">
        <f ca="1">IFERROR(__xludf.DUMMYFUNCTION("""COMPUTED_VALUE"""),63.96)</f>
        <v>63.96</v>
      </c>
      <c r="H267" s="74">
        <f ca="1">IFERROR(__xludf.DUMMYFUNCTION("""COMPUTED_VALUE"""),89.544)</f>
        <v>89.543999999999997</v>
      </c>
      <c r="I267" s="74">
        <f ca="1">IFERROR(__xludf.DUMMYFUNCTION("""COMPUTED_VALUE"""),90)</f>
        <v>90</v>
      </c>
    </row>
    <row r="268" spans="2:9" ht="27" customHeight="1">
      <c r="B268" s="73" t="str">
        <f ca="1">IFERROR(__xludf.DUMMYFUNCTION("""COMPUTED_VALUE"""),"ZETAWIN")</f>
        <v>ZETAWIN</v>
      </c>
      <c r="C268" s="73" t="str">
        <f ca="1">IFERROR(__xludf.DUMMYFUNCTION("""COMPUTED_VALUE"""),"BLISTER 10 TABLETAS")</f>
        <v>BLISTER 10 TABLETAS</v>
      </c>
      <c r="D268" s="73" t="str">
        <f ca="1">IFERROR(__xludf.DUMMYFUNCTION("""COMPUTED_VALUE"""),"PARACETAMOL 500MG.")</f>
        <v>PARACETAMOL 500MG.</v>
      </c>
      <c r="E268" s="73" t="str">
        <f ca="1">IFERROR(__xludf.DUMMYFUNCTION("""COMPUTED_VALUE"""),"WINZZER")</f>
        <v>WINZZER</v>
      </c>
      <c r="F268" s="75">
        <f ca="1">IFERROR(__xludf.DUMMYFUNCTION("""COMPUTED_VALUE"""),45926)</f>
        <v>45926</v>
      </c>
      <c r="G268" s="74">
        <f ca="1">IFERROR(__xludf.DUMMYFUNCTION("""COMPUTED_VALUE"""),6)</f>
        <v>6</v>
      </c>
      <c r="H268" s="74">
        <f ca="1">IFERROR(__xludf.DUMMYFUNCTION("""COMPUTED_VALUE"""),8.4)</f>
        <v>8.4</v>
      </c>
      <c r="I268" s="74">
        <f ca="1">IFERROR(__xludf.DUMMYFUNCTION("""COMPUTED_VALUE"""),10)</f>
        <v>10</v>
      </c>
    </row>
    <row r="269" spans="2:9" ht="27" customHeight="1">
      <c r="B269" s="73" t="str">
        <f ca="1">IFERROR(__xludf.DUMMYFUNCTION("""COMPUTED_VALUE"""),"ZETAWIN FORTE")</f>
        <v>ZETAWIN FORTE</v>
      </c>
      <c r="C269" s="73" t="str">
        <f ca="1">IFERROR(__xludf.DUMMYFUNCTION("""COMPUTED_VALUE"""),"CAJA 20 TABLETAS")</f>
        <v>CAJA 20 TABLETAS</v>
      </c>
      <c r="D269" s="73" t="str">
        <f ca="1">IFERROR(__xludf.DUMMYFUNCTION("""COMPUTED_VALUE"""),"PARACETAMOL 1G")</f>
        <v>PARACETAMOL 1G</v>
      </c>
      <c r="E269" s="73" t="str">
        <f ca="1">IFERROR(__xludf.DUMMYFUNCTION("""COMPUTED_VALUE"""),"WINZZER")</f>
        <v>WINZZER</v>
      </c>
      <c r="F269" s="75">
        <f ca="1">IFERROR(__xludf.DUMMYFUNCTION("""COMPUTED_VALUE"""),45684)</f>
        <v>45684</v>
      </c>
      <c r="G269" s="74">
        <f ca="1">IFERROR(__xludf.DUMMYFUNCTION("""COMPUTED_VALUE"""),55.68)</f>
        <v>55.68</v>
      </c>
      <c r="H269" s="74">
        <f ca="1">IFERROR(__xludf.DUMMYFUNCTION("""COMPUTED_VALUE"""),77.952)</f>
        <v>77.951999999999998</v>
      </c>
      <c r="I269" s="74">
        <f ca="1">IFERROR(__xludf.DUMMYFUNCTION("""COMPUTED_VALUE"""),80)</f>
        <v>80</v>
      </c>
    </row>
    <row r="270" spans="2:9" ht="27" customHeight="1">
      <c r="B270" s="73" t="str">
        <f ca="1">IFERROR(__xludf.DUMMYFUNCTION("""COMPUTED_VALUE"""),"ZETAWIN PLUS")</f>
        <v>ZETAWIN PLUS</v>
      </c>
      <c r="C270" s="73" t="str">
        <f ca="1">IFERROR(__xludf.DUMMYFUNCTION("""COMPUTED_VALUE"""),"CAJA 20 TABLETAS")</f>
        <v>CAJA 20 TABLETAS</v>
      </c>
      <c r="D270" s="73" t="str">
        <f ca="1">IFERROR(__xludf.DUMMYFUNCTION("""COMPUTED_VALUE"""),"PARACETAMOL 325MG + TRAMADOR HCI 37.5MG")</f>
        <v>PARACETAMOL 325MG + TRAMADOR HCI 37.5MG</v>
      </c>
      <c r="E270" s="73" t="str">
        <f ca="1">IFERROR(__xludf.DUMMYFUNCTION("""COMPUTED_VALUE"""),"WINZZER")</f>
        <v>WINZZER</v>
      </c>
      <c r="F270" s="75">
        <f ca="1">IFERROR(__xludf.DUMMYFUNCTION("""COMPUTED_VALUE"""),45957)</f>
        <v>45957</v>
      </c>
      <c r="G270" s="74">
        <f ca="1">IFERROR(__xludf.DUMMYFUNCTION("""COMPUTED_VALUE"""),120)</f>
        <v>120</v>
      </c>
      <c r="H270" s="74">
        <f ca="1">IFERROR(__xludf.DUMMYFUNCTION("""COMPUTED_VALUE"""),168)</f>
        <v>168</v>
      </c>
      <c r="I270" s="74">
        <f ca="1">IFERROR(__xludf.DUMMYFUNCTION("""COMPUTED_VALUE"""),170)</f>
        <v>170</v>
      </c>
    </row>
    <row r="271" spans="2:9" ht="27" customHeight="1">
      <c r="B271" s="73" t="str">
        <f ca="1">IFERROR(__xludf.DUMMYFUNCTION("""COMPUTED_VALUE"""),"DESCARTABLE")</f>
        <v>DESCARTABLE</v>
      </c>
      <c r="C271" s="73" t="str">
        <f ca="1">IFERROR(__xludf.DUMMYFUNCTION("""COMPUTED_VALUE"""),"DESCARTABLE")</f>
        <v>DESCARTABLE</v>
      </c>
      <c r="D271" s="73" t="str">
        <f ca="1">IFERROR(__xludf.DUMMYFUNCTION("""COMPUTED_VALUE"""),"DESCARTABLE")</f>
        <v>DESCARTABLE</v>
      </c>
      <c r="E271" s="73" t="str">
        <f ca="1">IFERROR(__xludf.DUMMYFUNCTION("""COMPUTED_VALUE"""),"DESCARTABLE")</f>
        <v>DESCARTABLE</v>
      </c>
      <c r="F271" s="73" t="str">
        <f ca="1">IFERROR(__xludf.DUMMYFUNCTION("""COMPUTED_VALUE"""),"DESCARTABLE")</f>
        <v>DESCARTABLE</v>
      </c>
      <c r="G271" s="73" t="str">
        <f ca="1">IFERROR(__xludf.DUMMYFUNCTION("""COMPUTED_VALUE"""),"DESCARTABLE")</f>
        <v>DESCARTABLE</v>
      </c>
      <c r="H271" s="73" t="str">
        <f ca="1">IFERROR(__xludf.DUMMYFUNCTION("""COMPUTED_VALUE"""),"DESCARTABLE")</f>
        <v>DESCARTABLE</v>
      </c>
      <c r="I271" s="73" t="str">
        <f ca="1">IFERROR(__xludf.DUMMYFUNCTION("""COMPUTED_VALUE"""),"DESCARTABLE")</f>
        <v>DESCARTABLE</v>
      </c>
    </row>
    <row r="272" spans="2:9" ht="27" customHeight="1">
      <c r="B272" s="73" t="str">
        <f ca="1">IFERROR(__xludf.DUMMYFUNCTION("""COMPUTED_VALUE"""),"Agua Oxigenada Galòn")</f>
        <v>Agua Oxigenada Galòn</v>
      </c>
      <c r="C272" s="73" t="str">
        <f ca="1">IFERROR(__xludf.DUMMYFUNCTION("""COMPUTED_VALUE"""),"GALÓN")</f>
        <v>GALÓN</v>
      </c>
      <c r="D272" s="73"/>
      <c r="E272" s="73" t="str">
        <f ca="1">IFERROR(__xludf.DUMMYFUNCTION("""COMPUTED_VALUE"""),"H&amp;L")</f>
        <v>H&amp;L</v>
      </c>
      <c r="F272" s="75">
        <f ca="1">IFERROR(__xludf.DUMMYFUNCTION("""COMPUTED_VALUE"""),45715)</f>
        <v>45715</v>
      </c>
      <c r="G272" s="74">
        <f ca="1">IFERROR(__xludf.DUMMYFUNCTION("""COMPUTED_VALUE"""),22)</f>
        <v>22</v>
      </c>
      <c r="H272" s="74">
        <f ca="1">IFERROR(__xludf.DUMMYFUNCTION("""COMPUTED_VALUE"""),30.8)</f>
        <v>30.8</v>
      </c>
      <c r="I272" s="74">
        <f ca="1">IFERROR(__xludf.DUMMYFUNCTION("""COMPUTED_VALUE"""),35)</f>
        <v>35</v>
      </c>
    </row>
    <row r="273" spans="2:9" ht="27" customHeight="1">
      <c r="B273" s="73" t="str">
        <f ca="1">IFERROR(__xludf.DUMMYFUNCTION("""COMPUTED_VALUE"""),"Aguja No. 20")</f>
        <v>Aguja No. 20</v>
      </c>
      <c r="C273" s="73" t="str">
        <f ca="1">IFERROR(__xludf.DUMMYFUNCTION("""COMPUTED_VALUE"""),"CAJA 100U.")</f>
        <v>CAJA 100U.</v>
      </c>
      <c r="D273" s="73"/>
      <c r="E273" s="73" t="str">
        <f ca="1">IFERROR(__xludf.DUMMYFUNCTION("""COMPUTED_VALUE"""),"H&amp;L")</f>
        <v>H&amp;L</v>
      </c>
      <c r="F273" s="75">
        <f ca="1">IFERROR(__xludf.DUMMYFUNCTION("""COMPUTED_VALUE"""),45776)</f>
        <v>45776</v>
      </c>
      <c r="G273" s="74">
        <f ca="1">IFERROR(__xludf.DUMMYFUNCTION("""COMPUTED_VALUE"""),28)</f>
        <v>28</v>
      </c>
      <c r="H273" s="74">
        <f ca="1">IFERROR(__xludf.DUMMYFUNCTION("""COMPUTED_VALUE"""),39.2)</f>
        <v>39.200000000000003</v>
      </c>
      <c r="I273" s="74">
        <f ca="1">IFERROR(__xludf.DUMMYFUNCTION("""COMPUTED_VALUE"""),45)</f>
        <v>45</v>
      </c>
    </row>
    <row r="274" spans="2:9" ht="27" customHeight="1">
      <c r="B274" s="73" t="str">
        <f ca="1">IFERROR(__xludf.DUMMYFUNCTION("""COMPUTED_VALUE"""),"Aguja No. 22")</f>
        <v>Aguja No. 22</v>
      </c>
      <c r="C274" s="73" t="str">
        <f ca="1">IFERROR(__xludf.DUMMYFUNCTION("""COMPUTED_VALUE"""),"CAJA 100U.")</f>
        <v>CAJA 100U.</v>
      </c>
      <c r="D274" s="73"/>
      <c r="E274" s="73" t="str">
        <f ca="1">IFERROR(__xludf.DUMMYFUNCTION("""COMPUTED_VALUE"""),"H&amp;L")</f>
        <v>H&amp;L</v>
      </c>
      <c r="F274" s="75">
        <f ca="1">IFERROR(__xludf.DUMMYFUNCTION("""COMPUTED_VALUE"""),45776)</f>
        <v>45776</v>
      </c>
      <c r="G274" s="74">
        <f ca="1">IFERROR(__xludf.DUMMYFUNCTION("""COMPUTED_VALUE"""),27.5)</f>
        <v>27.5</v>
      </c>
      <c r="H274" s="74">
        <f ca="1">IFERROR(__xludf.DUMMYFUNCTION("""COMPUTED_VALUE"""),38.5)</f>
        <v>38.5</v>
      </c>
      <c r="I274" s="74">
        <f ca="1">IFERROR(__xludf.DUMMYFUNCTION("""COMPUTED_VALUE"""),45)</f>
        <v>45</v>
      </c>
    </row>
    <row r="275" spans="2:9" ht="27" customHeight="1">
      <c r="B275" s="73" t="str">
        <f ca="1">IFERROR(__xludf.DUMMYFUNCTION("""COMPUTED_VALUE"""),"Aguja No. 23")</f>
        <v>Aguja No. 23</v>
      </c>
      <c r="C275" s="73" t="str">
        <f ca="1">IFERROR(__xludf.DUMMYFUNCTION("""COMPUTED_VALUE"""),"CAJA 100U.")</f>
        <v>CAJA 100U.</v>
      </c>
      <c r="D275" s="73"/>
      <c r="E275" s="73" t="str">
        <f ca="1">IFERROR(__xludf.DUMMYFUNCTION("""COMPUTED_VALUE"""),"H&amp;L")</f>
        <v>H&amp;L</v>
      </c>
      <c r="F275" s="75">
        <f ca="1">IFERROR(__xludf.DUMMYFUNCTION("""COMPUTED_VALUE"""),45774)</f>
        <v>45774</v>
      </c>
      <c r="G275" s="74">
        <f ca="1">IFERROR(__xludf.DUMMYFUNCTION("""COMPUTED_VALUE"""),28)</f>
        <v>28</v>
      </c>
      <c r="H275" s="74">
        <f ca="1">IFERROR(__xludf.DUMMYFUNCTION("""COMPUTED_VALUE"""),39.2)</f>
        <v>39.200000000000003</v>
      </c>
      <c r="I275" s="74">
        <f ca="1">IFERROR(__xludf.DUMMYFUNCTION("""COMPUTED_VALUE"""),45)</f>
        <v>45</v>
      </c>
    </row>
    <row r="276" spans="2:9" ht="27" customHeight="1">
      <c r="B276" s="73" t="str">
        <f ca="1">IFERROR(__xludf.DUMMYFUNCTION("""COMPUTED_VALUE"""),"Aguja No. 24")</f>
        <v>Aguja No. 24</v>
      </c>
      <c r="C276" s="73" t="str">
        <f ca="1">IFERROR(__xludf.DUMMYFUNCTION("""COMPUTED_VALUE"""),"CAJA 100U.")</f>
        <v>CAJA 100U.</v>
      </c>
      <c r="D276" s="73"/>
      <c r="E276" s="73" t="str">
        <f ca="1">IFERROR(__xludf.DUMMYFUNCTION("""COMPUTED_VALUE"""),"H&amp;L")</f>
        <v>H&amp;L</v>
      </c>
      <c r="F276" s="75">
        <f ca="1">IFERROR(__xludf.DUMMYFUNCTION("""COMPUTED_VALUE"""),45774)</f>
        <v>45774</v>
      </c>
      <c r="G276" s="74">
        <f ca="1">IFERROR(__xludf.DUMMYFUNCTION("""COMPUTED_VALUE"""),53)</f>
        <v>53</v>
      </c>
      <c r="H276" s="74">
        <f ca="1">IFERROR(__xludf.DUMMYFUNCTION("""COMPUTED_VALUE"""),74.2)</f>
        <v>74.2</v>
      </c>
      <c r="I276" s="74">
        <f ca="1">IFERROR(__xludf.DUMMYFUNCTION("""COMPUTED_VALUE"""),80)</f>
        <v>80</v>
      </c>
    </row>
    <row r="277" spans="2:9" ht="27" customHeight="1">
      <c r="B277" s="73" t="str">
        <f ca="1">IFERROR(__xludf.DUMMYFUNCTION("""COMPUTED_VALUE"""),"Aguja No. 25")</f>
        <v>Aguja No. 25</v>
      </c>
      <c r="C277" s="73" t="str">
        <f ca="1">IFERROR(__xludf.DUMMYFUNCTION("""COMPUTED_VALUE"""),"CAJA 100U.")</f>
        <v>CAJA 100U.</v>
      </c>
      <c r="D277" s="73"/>
      <c r="E277" s="73" t="str">
        <f ca="1">IFERROR(__xludf.DUMMYFUNCTION("""COMPUTED_VALUE"""),"MEDICAL M&amp;M")</f>
        <v>MEDICAL M&amp;M</v>
      </c>
      <c r="F277" s="75">
        <f ca="1">IFERROR(__xludf.DUMMYFUNCTION("""COMPUTED_VALUE"""),45927)</f>
        <v>45927</v>
      </c>
      <c r="G277" s="74">
        <f ca="1">IFERROR(__xludf.DUMMYFUNCTION("""COMPUTED_VALUE"""),32)</f>
        <v>32</v>
      </c>
      <c r="H277" s="74">
        <f ca="1">IFERROR(__xludf.DUMMYFUNCTION("""COMPUTED_VALUE"""),44.8)</f>
        <v>44.8</v>
      </c>
      <c r="I277" s="74">
        <f ca="1">IFERROR(__xludf.DUMMYFUNCTION("""COMPUTED_VALUE"""),45)</f>
        <v>45</v>
      </c>
    </row>
    <row r="278" spans="2:9" ht="27" customHeight="1">
      <c r="B278" s="73" t="str">
        <f ca="1">IFERROR(__xludf.DUMMYFUNCTION("""COMPUTED_VALUE"""),"Alcohol Galón")</f>
        <v>Alcohol Galón</v>
      </c>
      <c r="C278" s="73" t="str">
        <f ca="1">IFERROR(__xludf.DUMMYFUNCTION("""COMPUTED_VALUE"""),"Galón")</f>
        <v>Galón</v>
      </c>
      <c r="D278" s="73"/>
      <c r="E278" s="73" t="str">
        <f ca="1">IFERROR(__xludf.DUMMYFUNCTION("""COMPUTED_VALUE"""),"H&amp;L")</f>
        <v>H&amp;L</v>
      </c>
      <c r="F278" s="75">
        <f ca="1">IFERROR(__xludf.DUMMYFUNCTION("""COMPUTED_VALUE"""),45896)</f>
        <v>45896</v>
      </c>
      <c r="G278" s="74">
        <f ca="1">IFERROR(__xludf.DUMMYFUNCTION("""COMPUTED_VALUE"""),72)</f>
        <v>72</v>
      </c>
      <c r="H278" s="74">
        <f ca="1">IFERROR(__xludf.DUMMYFUNCTION("""COMPUTED_VALUE"""),100.8)</f>
        <v>100.8</v>
      </c>
      <c r="I278" s="74">
        <f ca="1">IFERROR(__xludf.DUMMYFUNCTION("""COMPUTED_VALUE"""),105)</f>
        <v>105</v>
      </c>
    </row>
    <row r="279" spans="2:9" ht="27" customHeight="1">
      <c r="B279" s="73" t="str">
        <f ca="1">IFERROR(__xludf.DUMMYFUNCTION("""COMPUTED_VALUE"""),"Algodón Rollo")</f>
        <v>Algodón Rollo</v>
      </c>
      <c r="C279" s="73" t="str">
        <f ca="1">IFERROR(__xludf.DUMMYFUNCTION("""COMPUTED_VALUE"""),"LIBRA")</f>
        <v>LIBRA</v>
      </c>
      <c r="D279" s="73"/>
      <c r="E279" s="73" t="str">
        <f ca="1">IFERROR(__xludf.DUMMYFUNCTION("""COMPUTED_VALUE"""),"H&amp;L")</f>
        <v>H&amp;L</v>
      </c>
      <c r="F279" s="75">
        <f ca="1">IFERROR(__xludf.DUMMYFUNCTION("""COMPUTED_VALUE"""),45990)</f>
        <v>45990</v>
      </c>
      <c r="G279" s="74">
        <f ca="1">IFERROR(__xludf.DUMMYFUNCTION("""COMPUTED_VALUE"""),41)</f>
        <v>41</v>
      </c>
      <c r="H279" s="74">
        <f ca="1">IFERROR(__xludf.DUMMYFUNCTION("""COMPUTED_VALUE"""),57.4)</f>
        <v>57.4</v>
      </c>
      <c r="I279" s="74">
        <f ca="1">IFERROR(__xludf.DUMMYFUNCTION("""COMPUTED_VALUE"""),60)</f>
        <v>60</v>
      </c>
    </row>
    <row r="280" spans="2:9" ht="27" customHeight="1">
      <c r="B280" s="73" t="str">
        <f ca="1">IFERROR(__xludf.DUMMYFUNCTION("""COMPUTED_VALUE"""),"Angiocat 16")</f>
        <v>Angiocat 16</v>
      </c>
      <c r="C280" s="73" t="str">
        <f ca="1">IFERROR(__xludf.DUMMYFUNCTION("""COMPUTED_VALUE"""),"UNIDAD")</f>
        <v>UNIDAD</v>
      </c>
      <c r="D280" s="73"/>
      <c r="E280" s="73" t="str">
        <f ca="1">IFERROR(__xludf.DUMMYFUNCTION("""COMPUTED_VALUE"""),"H&amp;L")</f>
        <v>H&amp;L</v>
      </c>
      <c r="F280" s="75">
        <f ca="1">IFERROR(__xludf.DUMMYFUNCTION("""COMPUTED_VALUE"""),45866)</f>
        <v>45866</v>
      </c>
      <c r="G280" s="74">
        <f ca="1">IFERROR(__xludf.DUMMYFUNCTION("""COMPUTED_VALUE"""),6)</f>
        <v>6</v>
      </c>
      <c r="H280" s="74">
        <f ca="1">IFERROR(__xludf.DUMMYFUNCTION("""COMPUTED_VALUE"""),8.4)</f>
        <v>8.4</v>
      </c>
      <c r="I280" s="74">
        <f ca="1">IFERROR(__xludf.DUMMYFUNCTION("""COMPUTED_VALUE"""),10)</f>
        <v>10</v>
      </c>
    </row>
    <row r="281" spans="2:9" ht="27" customHeight="1">
      <c r="B281" s="73" t="str">
        <f ca="1">IFERROR(__xludf.DUMMYFUNCTION("""COMPUTED_VALUE"""),"Angiocat No. 18")</f>
        <v>Angiocat No. 18</v>
      </c>
      <c r="C281" s="73" t="str">
        <f ca="1">IFERROR(__xludf.DUMMYFUNCTION("""COMPUTED_VALUE"""),"UNIDAD")</f>
        <v>UNIDAD</v>
      </c>
      <c r="D281" s="73"/>
      <c r="E281" s="73" t="str">
        <f ca="1">IFERROR(__xludf.DUMMYFUNCTION("""COMPUTED_VALUE"""),"H&amp;L")</f>
        <v>H&amp;L</v>
      </c>
      <c r="F281" s="75">
        <f ca="1">IFERROR(__xludf.DUMMYFUNCTION("""COMPUTED_VALUE"""),45866)</f>
        <v>45866</v>
      </c>
      <c r="G281" s="74">
        <f ca="1">IFERROR(__xludf.DUMMYFUNCTION("""COMPUTED_VALUE"""),5)</f>
        <v>5</v>
      </c>
      <c r="H281" s="74">
        <f ca="1">IFERROR(__xludf.DUMMYFUNCTION("""COMPUTED_VALUE"""),7)</f>
        <v>7</v>
      </c>
      <c r="I281" s="74">
        <f ca="1">IFERROR(__xludf.DUMMYFUNCTION("""COMPUTED_VALUE"""),10)</f>
        <v>10</v>
      </c>
    </row>
    <row r="282" spans="2:9" ht="27" customHeight="1">
      <c r="B282" s="73" t="str">
        <f ca="1">IFERROR(__xludf.DUMMYFUNCTION("""COMPUTED_VALUE"""),"Angiocat No. 20")</f>
        <v>Angiocat No. 20</v>
      </c>
      <c r="C282" s="73" t="str">
        <f ca="1">IFERROR(__xludf.DUMMYFUNCTION("""COMPUTED_VALUE"""),"UNIDAD")</f>
        <v>UNIDAD</v>
      </c>
      <c r="D282" s="73"/>
      <c r="E282" s="73" t="str">
        <f ca="1">IFERROR(__xludf.DUMMYFUNCTION("""COMPUTED_VALUE"""),"H&amp;L")</f>
        <v>H&amp;L</v>
      </c>
      <c r="F282" s="75">
        <f ca="1">IFERROR(__xludf.DUMMYFUNCTION("""COMPUTED_VALUE"""),45836)</f>
        <v>45836</v>
      </c>
      <c r="G282" s="74">
        <f ca="1">IFERROR(__xludf.DUMMYFUNCTION("""COMPUTED_VALUE"""),5)</f>
        <v>5</v>
      </c>
      <c r="H282" s="74">
        <f ca="1">IFERROR(__xludf.DUMMYFUNCTION("""COMPUTED_VALUE"""),7)</f>
        <v>7</v>
      </c>
      <c r="I282" s="74">
        <f ca="1">IFERROR(__xludf.DUMMYFUNCTION("""COMPUTED_VALUE"""),10)</f>
        <v>10</v>
      </c>
    </row>
    <row r="283" spans="2:9" ht="27" customHeight="1">
      <c r="B283" s="73" t="str">
        <f ca="1">IFERROR(__xludf.DUMMYFUNCTION("""COMPUTED_VALUE"""),"Angiocat No.22")</f>
        <v>Angiocat No.22</v>
      </c>
      <c r="C283" s="73" t="str">
        <f ca="1">IFERROR(__xludf.DUMMYFUNCTION("""COMPUTED_VALUE"""),"UNIDAD")</f>
        <v>UNIDAD</v>
      </c>
      <c r="D283" s="73"/>
      <c r="E283" s="73" t="str">
        <f ca="1">IFERROR(__xludf.DUMMYFUNCTION("""COMPUTED_VALUE"""),"H&amp;L")</f>
        <v>H&amp;L</v>
      </c>
      <c r="F283" s="75">
        <f ca="1">IFERROR(__xludf.DUMMYFUNCTION("""COMPUTED_VALUE"""),45806)</f>
        <v>45806</v>
      </c>
      <c r="G283" s="74">
        <f ca="1">IFERROR(__xludf.DUMMYFUNCTION("""COMPUTED_VALUE"""),5)</f>
        <v>5</v>
      </c>
      <c r="H283" s="74">
        <f ca="1">IFERROR(__xludf.DUMMYFUNCTION("""COMPUTED_VALUE"""),7)</f>
        <v>7</v>
      </c>
      <c r="I283" s="74">
        <f ca="1">IFERROR(__xludf.DUMMYFUNCTION("""COMPUTED_VALUE"""),10)</f>
        <v>10</v>
      </c>
    </row>
    <row r="284" spans="2:9" ht="27" customHeight="1">
      <c r="B284" s="73" t="str">
        <f ca="1">IFERROR(__xludf.DUMMYFUNCTION("""COMPUTED_VALUE"""),"Angiocat No. 24")</f>
        <v>Angiocat No. 24</v>
      </c>
      <c r="C284" s="73" t="str">
        <f ca="1">IFERROR(__xludf.DUMMYFUNCTION("""COMPUTED_VALUE"""),"UNIDAD")</f>
        <v>UNIDAD</v>
      </c>
      <c r="D284" s="73"/>
      <c r="E284" s="73" t="str">
        <f ca="1">IFERROR(__xludf.DUMMYFUNCTION("""COMPUTED_VALUE"""),"H&amp;L")</f>
        <v>H&amp;L</v>
      </c>
      <c r="F284" s="75">
        <f ca="1">IFERROR(__xludf.DUMMYFUNCTION("""COMPUTED_VALUE"""),45837)</f>
        <v>45837</v>
      </c>
      <c r="G284" s="74">
        <f ca="1">IFERROR(__xludf.DUMMYFUNCTION("""COMPUTED_VALUE"""),5)</f>
        <v>5</v>
      </c>
      <c r="H284" s="74">
        <f ca="1">IFERROR(__xludf.DUMMYFUNCTION("""COMPUTED_VALUE"""),7)</f>
        <v>7</v>
      </c>
      <c r="I284" s="74">
        <f ca="1">IFERROR(__xludf.DUMMYFUNCTION("""COMPUTED_VALUE"""),10)</f>
        <v>10</v>
      </c>
    </row>
    <row r="285" spans="2:9" ht="27" customHeight="1">
      <c r="B285" s="73" t="str">
        <f ca="1">IFERROR(__xludf.DUMMYFUNCTION("""COMPUTED_VALUE"""),"Aplicadore de madera")</f>
        <v>Aplicadore de madera</v>
      </c>
      <c r="C285" s="73" t="str">
        <f ca="1">IFERROR(__xludf.DUMMYFUNCTION("""COMPUTED_VALUE"""),"BOLSA")</f>
        <v>BOLSA</v>
      </c>
      <c r="D285" s="73"/>
      <c r="E285" s="73" t="str">
        <f ca="1">IFERROR(__xludf.DUMMYFUNCTION("""COMPUTED_VALUE"""),"H&amp;L")</f>
        <v>H&amp;L</v>
      </c>
      <c r="F285" s="75">
        <f ca="1">IFERROR(__xludf.DUMMYFUNCTION("""COMPUTED_VALUE"""),45928)</f>
        <v>45928</v>
      </c>
      <c r="G285" s="74">
        <f ca="1">IFERROR(__xludf.DUMMYFUNCTION("""COMPUTED_VALUE"""),21.6)</f>
        <v>21.6</v>
      </c>
      <c r="H285" s="74">
        <f ca="1">IFERROR(__xludf.DUMMYFUNCTION("""COMPUTED_VALUE"""),30.24)</f>
        <v>30.24</v>
      </c>
      <c r="I285" s="74">
        <f ca="1">IFERROR(__xludf.DUMMYFUNCTION("""COMPUTED_VALUE"""),35)</f>
        <v>35</v>
      </c>
    </row>
    <row r="286" spans="2:9" ht="27" customHeight="1">
      <c r="B286" s="73" t="str">
        <f ca="1">IFERROR(__xludf.DUMMYFUNCTION("""COMPUTED_VALUE"""),"Baja Lenguas")</f>
        <v>Baja Lenguas</v>
      </c>
      <c r="C286" s="73" t="str">
        <f ca="1">IFERROR(__xludf.DUMMYFUNCTION("""COMPUTED_VALUE"""),"CAJA 100U.")</f>
        <v>CAJA 100U.</v>
      </c>
      <c r="D286" s="73"/>
      <c r="E286" s="73" t="str">
        <f ca="1">IFERROR(__xludf.DUMMYFUNCTION("""COMPUTED_VALUE"""),"H&amp;L")</f>
        <v>H&amp;L</v>
      </c>
      <c r="F286" s="75">
        <f ca="1">IFERROR(__xludf.DUMMYFUNCTION("""COMPUTED_VALUE"""),45958)</f>
        <v>45958</v>
      </c>
      <c r="G286" s="74">
        <f ca="1">IFERROR(__xludf.DUMMYFUNCTION("""COMPUTED_VALUE"""),15)</f>
        <v>15</v>
      </c>
      <c r="H286" s="74">
        <f ca="1">IFERROR(__xludf.DUMMYFUNCTION("""COMPUTED_VALUE"""),21)</f>
        <v>21</v>
      </c>
      <c r="I286" s="74">
        <f ca="1">IFERROR(__xludf.DUMMYFUNCTION("""COMPUTED_VALUE"""),25)</f>
        <v>25</v>
      </c>
    </row>
    <row r="287" spans="2:9" ht="27" customHeight="1">
      <c r="B287" s="73" t="str">
        <f ca="1">IFERROR(__xludf.DUMMYFUNCTION("""COMPUTED_VALUE"""),"Bisturi No. 22")</f>
        <v>Bisturi No. 22</v>
      </c>
      <c r="C287" s="73" t="str">
        <f ca="1">IFERROR(__xludf.DUMMYFUNCTION("""COMPUTED_VALUE"""),"UNIDAD")</f>
        <v>UNIDAD</v>
      </c>
      <c r="D287" s="73"/>
      <c r="E287" s="73" t="str">
        <f ca="1">IFERROR(__xludf.DUMMYFUNCTION("""COMPUTED_VALUE"""),"H&amp;L")</f>
        <v>H&amp;L</v>
      </c>
      <c r="F287" s="75">
        <f ca="1">IFERROR(__xludf.DUMMYFUNCTION("""COMPUTED_VALUE"""),46017)</f>
        <v>46017</v>
      </c>
      <c r="G287" s="74">
        <f ca="1">IFERROR(__xludf.DUMMYFUNCTION("""COMPUTED_VALUE"""),1)</f>
        <v>1</v>
      </c>
      <c r="H287" s="74">
        <f ca="1">IFERROR(__xludf.DUMMYFUNCTION("""COMPUTED_VALUE"""),1.4)</f>
        <v>1.4</v>
      </c>
      <c r="I287" s="74">
        <f ca="1">IFERROR(__xludf.DUMMYFUNCTION("""COMPUTED_VALUE"""),5)</f>
        <v>5</v>
      </c>
    </row>
    <row r="288" spans="2:9" ht="27" customHeight="1">
      <c r="B288" s="73" t="str">
        <f ca="1">IFERROR(__xludf.DUMMYFUNCTION("""COMPUTED_VALUE"""),"Bolsa Rec. De orina")</f>
        <v>Bolsa Rec. De orina</v>
      </c>
      <c r="C288" s="73" t="str">
        <f ca="1">IFERROR(__xludf.DUMMYFUNCTION("""COMPUTED_VALUE"""),"UNIDAD")</f>
        <v>UNIDAD</v>
      </c>
      <c r="D288" s="73"/>
      <c r="E288" s="73" t="str">
        <f ca="1">IFERROR(__xludf.DUMMYFUNCTION("""COMPUTED_VALUE"""),"H&amp;L")</f>
        <v>H&amp;L</v>
      </c>
      <c r="F288" s="75">
        <f ca="1">IFERROR(__xludf.DUMMYFUNCTION("""COMPUTED_VALUE"""),45958)</f>
        <v>45958</v>
      </c>
      <c r="G288" s="74">
        <f ca="1">IFERROR(__xludf.DUMMYFUNCTION("""COMPUTED_VALUE"""),29)</f>
        <v>29</v>
      </c>
      <c r="H288" s="74">
        <f ca="1">IFERROR(__xludf.DUMMYFUNCTION("""COMPUTED_VALUE"""),40.6)</f>
        <v>40.6</v>
      </c>
      <c r="I288" s="74">
        <f ca="1">IFERROR(__xludf.DUMMYFUNCTION("""COMPUTED_VALUE"""),40)</f>
        <v>40</v>
      </c>
    </row>
    <row r="289" spans="2:9" ht="27" customHeight="1">
      <c r="B289" s="73" t="str">
        <f ca="1">IFERROR(__xludf.DUMMYFUNCTION("""COMPUTED_VALUE"""),"Cabestrillo Talla S")</f>
        <v>Cabestrillo Talla S</v>
      </c>
      <c r="C289" s="73" t="str">
        <f ca="1">IFERROR(__xludf.DUMMYFUNCTION("""COMPUTED_VALUE"""),"UNIDAD")</f>
        <v>UNIDAD</v>
      </c>
      <c r="D289" s="73"/>
      <c r="E289" s="73" t="str">
        <f ca="1">IFERROR(__xludf.DUMMYFUNCTION("""COMPUTED_VALUE"""),"H&amp;L")</f>
        <v>H&amp;L</v>
      </c>
      <c r="F289" s="75">
        <f ca="1">IFERROR(__xludf.DUMMYFUNCTION("""COMPUTED_VALUE"""),45989)</f>
        <v>45989</v>
      </c>
      <c r="G289" s="74">
        <f ca="1">IFERROR(__xludf.DUMMYFUNCTION("""COMPUTED_VALUE"""),36.5)</f>
        <v>36.5</v>
      </c>
      <c r="H289" s="74">
        <f ca="1">IFERROR(__xludf.DUMMYFUNCTION("""COMPUTED_VALUE"""),51.1)</f>
        <v>51.1</v>
      </c>
      <c r="I289" s="74">
        <f ca="1">IFERROR(__xludf.DUMMYFUNCTION("""COMPUTED_VALUE"""),60)</f>
        <v>60</v>
      </c>
    </row>
    <row r="290" spans="2:9" ht="27" customHeight="1">
      <c r="B290" s="73" t="str">
        <f ca="1">IFERROR(__xludf.DUMMYFUNCTION("""COMPUTED_VALUE"""),"Cabestrillo Talla M")</f>
        <v>Cabestrillo Talla M</v>
      </c>
      <c r="C290" s="73" t="str">
        <f ca="1">IFERROR(__xludf.DUMMYFUNCTION("""COMPUTED_VALUE"""),"UNIDAD")</f>
        <v>UNIDAD</v>
      </c>
      <c r="D290" s="73"/>
      <c r="E290" s="73" t="str">
        <f ca="1">IFERROR(__xludf.DUMMYFUNCTION("""COMPUTED_VALUE"""),"H&amp;L")</f>
        <v>H&amp;L</v>
      </c>
      <c r="F290" s="75">
        <f ca="1">IFERROR(__xludf.DUMMYFUNCTION("""COMPUTED_VALUE"""),46019)</f>
        <v>46019</v>
      </c>
      <c r="G290" s="74">
        <f ca="1">IFERROR(__xludf.DUMMYFUNCTION("""COMPUTED_VALUE"""),36.5)</f>
        <v>36.5</v>
      </c>
      <c r="H290" s="74">
        <f ca="1">IFERROR(__xludf.DUMMYFUNCTION("""COMPUTED_VALUE"""),51.1)</f>
        <v>51.1</v>
      </c>
      <c r="I290" s="74">
        <f ca="1">IFERROR(__xludf.DUMMYFUNCTION("""COMPUTED_VALUE"""),60)</f>
        <v>60</v>
      </c>
    </row>
    <row r="291" spans="2:9" ht="27" customHeight="1">
      <c r="B291" s="73" t="str">
        <f ca="1">IFERROR(__xludf.DUMMYFUNCTION("""COMPUTED_VALUE"""),"Cabestrillo Talla L")</f>
        <v>Cabestrillo Talla L</v>
      </c>
      <c r="C291" s="73" t="str">
        <f ca="1">IFERROR(__xludf.DUMMYFUNCTION("""COMPUTED_VALUE"""),"UNIDAD")</f>
        <v>UNIDAD</v>
      </c>
      <c r="D291" s="73"/>
      <c r="E291" s="73" t="str">
        <f ca="1">IFERROR(__xludf.DUMMYFUNCTION("""COMPUTED_VALUE"""),"H&amp;L")</f>
        <v>H&amp;L</v>
      </c>
      <c r="F291" s="75">
        <f ca="1">IFERROR(__xludf.DUMMYFUNCTION("""COMPUTED_VALUE"""),45686)</f>
        <v>45686</v>
      </c>
      <c r="G291" s="74">
        <f ca="1">IFERROR(__xludf.DUMMYFUNCTION("""COMPUTED_VALUE"""),36.5)</f>
        <v>36.5</v>
      </c>
      <c r="H291" s="74">
        <f ca="1">IFERROR(__xludf.DUMMYFUNCTION("""COMPUTED_VALUE"""),51.1)</f>
        <v>51.1</v>
      </c>
      <c r="I291" s="74">
        <f ca="1">IFERROR(__xludf.DUMMYFUNCTION("""COMPUTED_VALUE"""),60)</f>
        <v>60</v>
      </c>
    </row>
    <row r="292" spans="2:9" ht="27" customHeight="1">
      <c r="B292" s="73" t="str">
        <f ca="1">IFERROR(__xludf.DUMMYFUNCTION("""COMPUTED_VALUE"""),"Cánula Binasal Pediatrico")</f>
        <v>Cánula Binasal Pediatrico</v>
      </c>
      <c r="C292" s="73" t="str">
        <f ca="1">IFERROR(__xludf.DUMMYFUNCTION("""COMPUTED_VALUE"""),"UNIDAD")</f>
        <v>UNIDAD</v>
      </c>
      <c r="D292" s="73"/>
      <c r="E292" s="73" t="str">
        <f ca="1">IFERROR(__xludf.DUMMYFUNCTION("""COMPUTED_VALUE"""),"H&amp;L")</f>
        <v>H&amp;L</v>
      </c>
      <c r="F292" s="73" t="str">
        <f ca="1">IFERROR(__xludf.DUMMYFUNCTION("""COMPUTED_VALUE"""),"feb-29")</f>
        <v>feb-29</v>
      </c>
      <c r="G292" s="74">
        <f ca="1">IFERROR(__xludf.DUMMYFUNCTION("""COMPUTED_VALUE"""),12)</f>
        <v>12</v>
      </c>
      <c r="H292" s="74">
        <f ca="1">IFERROR(__xludf.DUMMYFUNCTION("""COMPUTED_VALUE"""),16.8)</f>
        <v>16.8</v>
      </c>
      <c r="I292" s="74">
        <f ca="1">IFERROR(__xludf.DUMMYFUNCTION("""COMPUTED_VALUE"""),20)</f>
        <v>20</v>
      </c>
    </row>
    <row r="293" spans="2:9" ht="27" customHeight="1">
      <c r="B293" s="73" t="str">
        <f ca="1">IFERROR(__xludf.DUMMYFUNCTION("""COMPUTED_VALUE"""),"Cánula Binasal Adulto")</f>
        <v>Cánula Binasal Adulto</v>
      </c>
      <c r="C293" s="73" t="str">
        <f ca="1">IFERROR(__xludf.DUMMYFUNCTION("""COMPUTED_VALUE"""),"UNIDAD")</f>
        <v>UNIDAD</v>
      </c>
      <c r="D293" s="73"/>
      <c r="E293" s="73" t="str">
        <f ca="1">IFERROR(__xludf.DUMMYFUNCTION("""COMPUTED_VALUE"""),"H&amp;L")</f>
        <v>H&amp;L</v>
      </c>
      <c r="F293" s="75">
        <f ca="1">IFERROR(__xludf.DUMMYFUNCTION("""COMPUTED_VALUE"""),45745)</f>
        <v>45745</v>
      </c>
      <c r="G293" s="74">
        <f ca="1">IFERROR(__xludf.DUMMYFUNCTION("""COMPUTED_VALUE"""),12)</f>
        <v>12</v>
      </c>
      <c r="H293" s="74">
        <f ca="1">IFERROR(__xludf.DUMMYFUNCTION("""COMPUTED_VALUE"""),16.8)</f>
        <v>16.8</v>
      </c>
      <c r="I293" s="74">
        <f ca="1">IFERROR(__xludf.DUMMYFUNCTION("""COMPUTED_VALUE"""),20)</f>
        <v>20</v>
      </c>
    </row>
    <row r="294" spans="2:9" ht="27" customHeight="1">
      <c r="B294" s="73" t="str">
        <f ca="1">IFERROR(__xludf.DUMMYFUNCTION("""COMPUTED_VALUE"""),"Cal sodada")</f>
        <v>Cal sodada</v>
      </c>
      <c r="C294" s="73" t="str">
        <f ca="1">IFERROR(__xludf.DUMMYFUNCTION("""COMPUTED_VALUE"""),"GALÓN")</f>
        <v>GALÓN</v>
      </c>
      <c r="D294" s="73"/>
      <c r="E294" s="73" t="str">
        <f ca="1">IFERROR(__xludf.DUMMYFUNCTION("""COMPUTED_VALUE"""),"luis")</f>
        <v>luis</v>
      </c>
      <c r="F294" s="75">
        <f ca="1">IFERROR(__xludf.DUMMYFUNCTION("""COMPUTED_VALUE"""),45776)</f>
        <v>45776</v>
      </c>
      <c r="G294" s="74">
        <f ca="1">IFERROR(__xludf.DUMMYFUNCTION("""COMPUTED_VALUE"""),350)</f>
        <v>350</v>
      </c>
      <c r="H294" s="74">
        <f ca="1">IFERROR(__xludf.DUMMYFUNCTION("""COMPUTED_VALUE"""),490)</f>
        <v>490</v>
      </c>
      <c r="I294" s="74">
        <f ca="1">IFERROR(__xludf.DUMMYFUNCTION("""COMPUTED_VALUE"""),500)</f>
        <v>500</v>
      </c>
    </row>
    <row r="295" spans="2:9" ht="27" customHeight="1">
      <c r="B295" s="73" t="str">
        <f ca="1">IFERROR(__xludf.DUMMYFUNCTION("""COMPUTED_VALUE"""),"Cinta de testigo")</f>
        <v>Cinta de testigo</v>
      </c>
      <c r="C295" s="73" t="str">
        <f ca="1">IFERROR(__xludf.DUMMYFUNCTION("""COMPUTED_VALUE"""),"UNIDAD")</f>
        <v>UNIDAD</v>
      </c>
      <c r="D295" s="73"/>
      <c r="E295" s="73" t="str">
        <f ca="1">IFERROR(__xludf.DUMMYFUNCTION("""COMPUTED_VALUE"""),"PROVEEDORA QUIRÚRGICA")</f>
        <v>PROVEEDORA QUIRÚRGICA</v>
      </c>
      <c r="F295" s="75">
        <f ca="1">IFERROR(__xludf.DUMMYFUNCTION("""COMPUTED_VALUE"""),45806)</f>
        <v>45806</v>
      </c>
      <c r="G295" s="74">
        <f ca="1">IFERROR(__xludf.DUMMYFUNCTION("""COMPUTED_VALUE"""),85)</f>
        <v>85</v>
      </c>
      <c r="H295" s="74">
        <f ca="1">IFERROR(__xludf.DUMMYFUNCTION("""COMPUTED_VALUE"""),119)</f>
        <v>119</v>
      </c>
      <c r="I295" s="74">
        <f ca="1">IFERROR(__xludf.DUMMYFUNCTION("""COMPUTED_VALUE"""),120)</f>
        <v>120</v>
      </c>
    </row>
    <row r="296" spans="2:9" ht="27" customHeight="1">
      <c r="B296" s="73" t="str">
        <f ca="1">IFERROR(__xludf.DUMMYFUNCTION("""COMPUTED_VALUE"""),"Empower")</f>
        <v>Empower</v>
      </c>
      <c r="C296" s="73" t="str">
        <f ca="1">IFERROR(__xludf.DUMMYFUNCTION("""COMPUTED_VALUE"""),"GALÓN")</f>
        <v>GALÓN</v>
      </c>
      <c r="D296" s="73"/>
      <c r="E296" s="73" t="str">
        <f ca="1">IFERROR(__xludf.DUMMYFUNCTION("""COMPUTED_VALUE"""),"PROVEEDORA QUIRÚRGICA")</f>
        <v>PROVEEDORA QUIRÚRGICA</v>
      </c>
      <c r="F296" s="75">
        <f ca="1">IFERROR(__xludf.DUMMYFUNCTION("""COMPUTED_VALUE"""),45837)</f>
        <v>45837</v>
      </c>
      <c r="G296" s="74">
        <f ca="1">IFERROR(__xludf.DUMMYFUNCTION("""COMPUTED_VALUE"""),425)</f>
        <v>425</v>
      </c>
      <c r="H296" s="74">
        <f ca="1">IFERROR(__xludf.DUMMYFUNCTION("""COMPUTED_VALUE"""),595)</f>
        <v>595</v>
      </c>
      <c r="I296" s="74">
        <f ca="1">IFERROR(__xludf.DUMMYFUNCTION("""COMPUTED_VALUE"""),600)</f>
        <v>600</v>
      </c>
    </row>
    <row r="297" spans="2:9" ht="27" customHeight="1">
      <c r="B297" s="73" t="str">
        <f ca="1">IFERROR(__xludf.DUMMYFUNCTION("""COMPUTED_VALUE"""),"Equipo de suero para Bomba")</f>
        <v>Equipo de suero para Bomba</v>
      </c>
      <c r="C297" s="73" t="str">
        <f ca="1">IFERROR(__xludf.DUMMYFUNCTION("""COMPUTED_VALUE"""),"UNIDAD")</f>
        <v>UNIDAD</v>
      </c>
      <c r="D297" s="73"/>
      <c r="E297" s="73" t="str">
        <f ca="1">IFERROR(__xludf.DUMMYFUNCTION("""COMPUTED_VALUE"""),"H&amp;L")</f>
        <v>H&amp;L</v>
      </c>
      <c r="F297" s="75">
        <f ca="1">IFERROR(__xludf.DUMMYFUNCTION("""COMPUTED_VALUE"""),45864)</f>
        <v>45864</v>
      </c>
      <c r="G297" s="74">
        <f ca="1">IFERROR(__xludf.DUMMYFUNCTION("""COMPUTED_VALUE"""),52)</f>
        <v>52</v>
      </c>
      <c r="H297" s="74">
        <f ca="1">IFERROR(__xludf.DUMMYFUNCTION("""COMPUTED_VALUE"""),72.8)</f>
        <v>72.8</v>
      </c>
      <c r="I297" s="74">
        <f ca="1">IFERROR(__xludf.DUMMYFUNCTION("""COMPUTED_VALUE"""),75)</f>
        <v>75</v>
      </c>
    </row>
    <row r="298" spans="2:9" ht="27" customHeight="1">
      <c r="B298" s="73" t="str">
        <f ca="1">IFERROR(__xludf.DUMMYFUNCTION("""COMPUTED_VALUE"""),"Enema Fleet")</f>
        <v>Enema Fleet</v>
      </c>
      <c r="C298" s="73" t="str">
        <f ca="1">IFERROR(__xludf.DUMMYFUNCTION("""COMPUTED_VALUE"""),"UNIDAD")</f>
        <v>UNIDAD</v>
      </c>
      <c r="D298" s="73"/>
      <c r="E298" s="73" t="str">
        <f ca="1">IFERROR(__xludf.DUMMYFUNCTION("""COMPUTED_VALUE"""),"H&amp;L")</f>
        <v>H&amp;L</v>
      </c>
      <c r="F298" s="75">
        <f ca="1">IFERROR(__xludf.DUMMYFUNCTION("""COMPUTED_VALUE"""),45989)</f>
        <v>45989</v>
      </c>
      <c r="G298" s="74">
        <f ca="1">IFERROR(__xludf.DUMMYFUNCTION("""COMPUTED_VALUE"""),27.9)</f>
        <v>27.9</v>
      </c>
      <c r="H298" s="74">
        <f ca="1">IFERROR(__xludf.DUMMYFUNCTION("""COMPUTED_VALUE"""),39.06)</f>
        <v>39.06</v>
      </c>
      <c r="I298" s="74">
        <f ca="1">IFERROR(__xludf.DUMMYFUNCTION("""COMPUTED_VALUE"""),45)</f>
        <v>45</v>
      </c>
    </row>
    <row r="299" spans="2:9" ht="27" customHeight="1">
      <c r="B299" s="73" t="str">
        <f ca="1">IFERROR(__xludf.DUMMYFUNCTION("""COMPUTED_VALUE"""),"Equipo de suero")</f>
        <v>Equipo de suero</v>
      </c>
      <c r="C299" s="73" t="str">
        <f ca="1">IFERROR(__xludf.DUMMYFUNCTION("""COMPUTED_VALUE"""),"UNIDAD")</f>
        <v>UNIDAD</v>
      </c>
      <c r="D299" s="73"/>
      <c r="E299" s="73" t="str">
        <f ca="1">IFERROR(__xludf.DUMMYFUNCTION("""COMPUTED_VALUE"""),"H&amp;L")</f>
        <v>H&amp;L</v>
      </c>
      <c r="F299" s="75">
        <f ca="1">IFERROR(__xludf.DUMMYFUNCTION("""COMPUTED_VALUE"""),45926)</f>
        <v>45926</v>
      </c>
      <c r="G299" s="74">
        <f ca="1">IFERROR(__xludf.DUMMYFUNCTION("""COMPUTED_VALUE"""),6)</f>
        <v>6</v>
      </c>
      <c r="H299" s="74">
        <f ca="1">IFERROR(__xludf.DUMMYFUNCTION("""COMPUTED_VALUE"""),8.4)</f>
        <v>8.4</v>
      </c>
      <c r="I299" s="74">
        <f ca="1">IFERROR(__xludf.DUMMYFUNCTION("""COMPUTED_VALUE"""),10)</f>
        <v>10</v>
      </c>
    </row>
    <row r="300" spans="2:9" ht="27" customHeight="1">
      <c r="B300" s="73" t="str">
        <f ca="1">IFERROR(__xludf.DUMMYFUNCTION("""COMPUTED_VALUE"""),"Equipo Flebotek Ambar")</f>
        <v>Equipo Flebotek Ambar</v>
      </c>
      <c r="C300" s="73" t="str">
        <f ca="1">IFERROR(__xludf.DUMMYFUNCTION("""COMPUTED_VALUE"""),"UNIDAD")</f>
        <v>UNIDAD</v>
      </c>
      <c r="D300" s="73"/>
      <c r="E300" s="73" t="str">
        <f ca="1">IFERROR(__xludf.DUMMYFUNCTION("""COMPUTED_VALUE"""),"PISA")</f>
        <v>PISA</v>
      </c>
      <c r="F300" s="75">
        <f ca="1">IFERROR(__xludf.DUMMYFUNCTION("""COMPUTED_VALUE"""),45867)</f>
        <v>45867</v>
      </c>
      <c r="G300" s="74">
        <f ca="1">IFERROR(__xludf.DUMMYFUNCTION("""COMPUTED_VALUE"""),52)</f>
        <v>52</v>
      </c>
      <c r="H300" s="74">
        <f ca="1">IFERROR(__xludf.DUMMYFUNCTION("""COMPUTED_VALUE"""),72.8)</f>
        <v>72.8</v>
      </c>
      <c r="I300" s="74">
        <f ca="1">IFERROR(__xludf.DUMMYFUNCTION("""COMPUTED_VALUE"""),75)</f>
        <v>75</v>
      </c>
    </row>
    <row r="301" spans="2:9" ht="27" customHeight="1">
      <c r="B301" s="73" t="str">
        <f ca="1">IFERROR(__xludf.DUMMYFUNCTION("""COMPUTED_VALUE"""),"Electrodos para EKG")</f>
        <v>Electrodos para EKG</v>
      </c>
      <c r="C301" s="73" t="str">
        <f ca="1">IFERROR(__xludf.DUMMYFUNCTION("""COMPUTED_VALUE"""),"BOLSA 50U.")</f>
        <v>BOLSA 50U.</v>
      </c>
      <c r="D301" s="73"/>
      <c r="E301" s="73"/>
      <c r="F301" s="75">
        <f ca="1">IFERROR(__xludf.DUMMYFUNCTION("""COMPUTED_VALUE"""),45834)</f>
        <v>45834</v>
      </c>
      <c r="G301" s="74">
        <f ca="1">IFERROR(__xludf.DUMMYFUNCTION("""COMPUTED_VALUE"""),66.5)</f>
        <v>66.5</v>
      </c>
      <c r="H301" s="74">
        <f ca="1">IFERROR(__xludf.DUMMYFUNCTION("""COMPUTED_VALUE"""),93.1)</f>
        <v>93.1</v>
      </c>
      <c r="I301" s="74">
        <f ca="1">IFERROR(__xludf.DUMMYFUNCTION("""COMPUTED_VALUE"""),95)</f>
        <v>95</v>
      </c>
    </row>
    <row r="302" spans="2:9" ht="27" customHeight="1">
      <c r="B302" s="73" t="str">
        <f ca="1">IFERROR(__xludf.DUMMYFUNCTION("""COMPUTED_VALUE"""),"Espéculos Talla Small")</f>
        <v>Espéculos Talla Small</v>
      </c>
      <c r="C302" s="73" t="str">
        <f ca="1">IFERROR(__xludf.DUMMYFUNCTION("""COMPUTED_VALUE"""),"UNIDAD")</f>
        <v>UNIDAD</v>
      </c>
      <c r="D302" s="73"/>
      <c r="E302" s="73" t="str">
        <f ca="1">IFERROR(__xludf.DUMMYFUNCTION("""COMPUTED_VALUE"""),"BIOTHICAL")</f>
        <v>BIOTHICAL</v>
      </c>
      <c r="F302" s="73"/>
      <c r="G302" s="74">
        <f ca="1">IFERROR(__xludf.DUMMYFUNCTION("""COMPUTED_VALUE"""),6.3)</f>
        <v>6.3</v>
      </c>
      <c r="H302" s="74">
        <f ca="1">IFERROR(__xludf.DUMMYFUNCTION("""COMPUTED_VALUE"""),8.82)</f>
        <v>8.82</v>
      </c>
      <c r="I302" s="74">
        <f ca="1">IFERROR(__xludf.DUMMYFUNCTION("""COMPUTED_VALUE"""),10)</f>
        <v>10</v>
      </c>
    </row>
    <row r="303" spans="2:9" ht="27" customHeight="1">
      <c r="B303" s="73" t="str">
        <f ca="1">IFERROR(__xludf.DUMMYFUNCTION("""COMPUTED_VALUE"""),"Espéculos vaginales T.M")</f>
        <v>Espéculos vaginales T.M</v>
      </c>
      <c r="C303" s="73" t="str">
        <f ca="1">IFERROR(__xludf.DUMMYFUNCTION("""COMPUTED_VALUE"""),"UNIDAD")</f>
        <v>UNIDAD</v>
      </c>
      <c r="D303" s="73"/>
      <c r="E303" s="73" t="str">
        <f ca="1">IFERROR(__xludf.DUMMYFUNCTION("""COMPUTED_VALUE"""),"BIOTHICAL")</f>
        <v>BIOTHICAL</v>
      </c>
      <c r="F303" s="75">
        <f ca="1">IFERROR(__xludf.DUMMYFUNCTION("""COMPUTED_VALUE"""),45776)</f>
        <v>45776</v>
      </c>
      <c r="G303" s="74">
        <f ca="1">IFERROR(__xludf.DUMMYFUNCTION("""COMPUTED_VALUE"""),6.3)</f>
        <v>6.3</v>
      </c>
      <c r="H303" s="74">
        <f ca="1">IFERROR(__xludf.DUMMYFUNCTION("""COMPUTED_VALUE"""),8.82)</f>
        <v>8.82</v>
      </c>
      <c r="I303" s="74">
        <f ca="1">IFERROR(__xludf.DUMMYFUNCTION("""COMPUTED_VALUE"""),10)</f>
        <v>10</v>
      </c>
    </row>
    <row r="304" spans="2:9" ht="27" customHeight="1">
      <c r="B304" s="73" t="str">
        <f ca="1">IFERROR(__xludf.DUMMYFUNCTION("""COMPUTED_VALUE"""),"Espéculos vaginalesT. L")</f>
        <v>Espéculos vaginalesT. L</v>
      </c>
      <c r="C304" s="73" t="str">
        <f ca="1">IFERROR(__xludf.DUMMYFUNCTION("""COMPUTED_VALUE"""),"UNIDAD")</f>
        <v>UNIDAD</v>
      </c>
      <c r="D304" s="73"/>
      <c r="E304" s="73" t="str">
        <f ca="1">IFERROR(__xludf.DUMMYFUNCTION("""COMPUTED_VALUE"""),"BIOTHICAL")</f>
        <v>BIOTHICAL</v>
      </c>
      <c r="F304" s="75">
        <f ca="1">IFERROR(__xludf.DUMMYFUNCTION("""COMPUTED_VALUE"""),45686)</f>
        <v>45686</v>
      </c>
      <c r="G304" s="74">
        <f ca="1">IFERROR(__xludf.DUMMYFUNCTION("""COMPUTED_VALUE"""),6.3)</f>
        <v>6.3</v>
      </c>
      <c r="H304" s="74">
        <f ca="1">IFERROR(__xludf.DUMMYFUNCTION("""COMPUTED_VALUE"""),8.82)</f>
        <v>8.82</v>
      </c>
      <c r="I304" s="74">
        <f ca="1">IFERROR(__xludf.DUMMYFUNCTION("""COMPUTED_VALUE"""),10)</f>
        <v>10</v>
      </c>
    </row>
    <row r="305" spans="2:9" ht="27" customHeight="1">
      <c r="B305" s="73" t="str">
        <f ca="1">IFERROR(__xludf.DUMMYFUNCTION("""COMPUTED_VALUE"""),"Formucide Dic")</f>
        <v>Formucide Dic</v>
      </c>
      <c r="C305" s="73" t="str">
        <f ca="1">IFERROR(__xludf.DUMMYFUNCTION("""COMPUTED_VALUE"""),"Galon")</f>
        <v>Galon</v>
      </c>
      <c r="D305" s="73"/>
      <c r="E305" s="73" t="str">
        <f ca="1">IFERROR(__xludf.DUMMYFUNCTION("""COMPUTED_VALUE"""),"PROVEEDORA QUIRÚRGICA")</f>
        <v>PROVEEDORA QUIRÚRGICA</v>
      </c>
      <c r="F305" s="75">
        <f ca="1">IFERROR(__xludf.DUMMYFUNCTION("""COMPUTED_VALUE"""),45897)</f>
        <v>45897</v>
      </c>
      <c r="G305" s="74">
        <f ca="1">IFERROR(__xludf.DUMMYFUNCTION("""COMPUTED_VALUE"""),180)</f>
        <v>180</v>
      </c>
      <c r="H305" s="74">
        <f ca="1">IFERROR(__xludf.DUMMYFUNCTION("""COMPUTED_VALUE"""),252)</f>
        <v>252</v>
      </c>
      <c r="I305" s="74">
        <f ca="1">IFERROR(__xludf.DUMMYFUNCTION("""COMPUTED_VALUE"""),255)</f>
        <v>255</v>
      </c>
    </row>
    <row r="306" spans="2:9" ht="27" customHeight="1">
      <c r="B306" s="73" t="str">
        <f ca="1">IFERROR(__xludf.DUMMYFUNCTION("""COMPUTED_VALUE"""),"Formol Galón")</f>
        <v>Formol Galón</v>
      </c>
      <c r="C306" s="73" t="str">
        <f ca="1">IFERROR(__xludf.DUMMYFUNCTION("""COMPUTED_VALUE"""),"Galón")</f>
        <v>Galón</v>
      </c>
      <c r="D306" s="73"/>
      <c r="E306" s="73"/>
      <c r="F306" s="75">
        <f ca="1">IFERROR(__xludf.DUMMYFUNCTION("""COMPUTED_VALUE"""),45686)</f>
        <v>45686</v>
      </c>
      <c r="G306" s="74">
        <f ca="1">IFERROR(__xludf.DUMMYFUNCTION("""COMPUTED_VALUE"""),120)</f>
        <v>120</v>
      </c>
      <c r="H306" s="74">
        <f ca="1">IFERROR(__xludf.DUMMYFUNCTION("""COMPUTED_VALUE"""),168)</f>
        <v>168</v>
      </c>
      <c r="I306" s="74">
        <f ca="1">IFERROR(__xludf.DUMMYFUNCTION("""COMPUTED_VALUE"""),170)</f>
        <v>170</v>
      </c>
    </row>
    <row r="307" spans="2:9" ht="27" customHeight="1">
      <c r="B307" s="73" t="str">
        <f ca="1">IFERROR(__xludf.DUMMYFUNCTION("""COMPUTED_VALUE"""),"Formuex galon")</f>
        <v>Formuex galon</v>
      </c>
      <c r="C307" s="73" t="str">
        <f ca="1">IFERROR(__xludf.DUMMYFUNCTION("""COMPUTED_VALUE"""),"Galón")</f>
        <v>Galón</v>
      </c>
      <c r="D307" s="73"/>
      <c r="E307" s="73"/>
      <c r="F307" s="73"/>
      <c r="G307" s="74">
        <f ca="1">IFERROR(__xludf.DUMMYFUNCTION("""COMPUTED_VALUE"""),262)</f>
        <v>262</v>
      </c>
      <c r="H307" s="74">
        <f ca="1">IFERROR(__xludf.DUMMYFUNCTION("""COMPUTED_VALUE"""),366.8)</f>
        <v>366.8</v>
      </c>
      <c r="I307" s="74">
        <f ca="1">IFERROR(__xludf.DUMMYFUNCTION("""COMPUTED_VALUE"""),340)</f>
        <v>340</v>
      </c>
    </row>
    <row r="308" spans="2:9" ht="27" customHeight="1">
      <c r="B308" s="73" t="str">
        <f ca="1">IFERROR(__xludf.DUMMYFUNCTION("""COMPUTED_VALUE"""),"Glucocide Galon")</f>
        <v>Glucocide Galon</v>
      </c>
      <c r="C308" s="73" t="str">
        <f ca="1">IFERROR(__xludf.DUMMYFUNCTION("""COMPUTED_VALUE"""),"Galón")</f>
        <v>Galón</v>
      </c>
      <c r="D308" s="73"/>
      <c r="E308" s="73" t="str">
        <f ca="1">IFERROR(__xludf.DUMMYFUNCTION("""COMPUTED_VALUE"""),"H&amp;L")</f>
        <v>H&amp;L</v>
      </c>
      <c r="F308" s="73"/>
      <c r="G308" s="74">
        <f ca="1">IFERROR(__xludf.DUMMYFUNCTION("""COMPUTED_VALUE"""),165)</f>
        <v>165</v>
      </c>
      <c r="H308" s="74">
        <f ca="1">IFERROR(__xludf.DUMMYFUNCTION("""COMPUTED_VALUE"""),231)</f>
        <v>231</v>
      </c>
      <c r="I308" s="74">
        <f ca="1">IFERROR(__xludf.DUMMYFUNCTION("""COMPUTED_VALUE"""),235)</f>
        <v>235</v>
      </c>
    </row>
    <row r="309" spans="2:9" ht="27" customHeight="1">
      <c r="B309" s="73" t="str">
        <f ca="1">IFERROR(__xludf.DUMMYFUNCTION("""COMPUTED_VALUE"""),"Gaza")</f>
        <v>Gaza</v>
      </c>
      <c r="C309" s="73" t="str">
        <f ca="1">IFERROR(__xludf.DUMMYFUNCTION("""COMPUTED_VALUE"""),"Pieza 36 Ydas.")</f>
        <v>Pieza 36 Ydas.</v>
      </c>
      <c r="D309" s="73"/>
      <c r="E309" s="73" t="str">
        <f ca="1">IFERROR(__xludf.DUMMYFUNCTION("""COMPUTED_VALUE"""),"H&amp;L")</f>
        <v>H&amp;L</v>
      </c>
      <c r="F309" s="73"/>
      <c r="G309" s="74">
        <f ca="1">IFERROR(__xludf.DUMMYFUNCTION("""COMPUTED_VALUE"""),195)</f>
        <v>195</v>
      </c>
      <c r="H309" s="74">
        <f ca="1">IFERROR(__xludf.DUMMYFUNCTION("""COMPUTED_VALUE"""),273)</f>
        <v>273</v>
      </c>
      <c r="I309" s="74">
        <f ca="1">IFERROR(__xludf.DUMMYFUNCTION("""COMPUTED_VALUE"""),275)</f>
        <v>275</v>
      </c>
    </row>
    <row r="310" spans="2:9" ht="27" customHeight="1">
      <c r="B310" s="73" t="str">
        <f ca="1">IFERROR(__xludf.DUMMYFUNCTION("""COMPUTED_VALUE"""),"Glucometro monitor")</f>
        <v>Glucometro monitor</v>
      </c>
      <c r="C310" s="73" t="str">
        <f ca="1">IFERROR(__xludf.DUMMYFUNCTION("""COMPUTED_VALUE"""),"Unidad")</f>
        <v>Unidad</v>
      </c>
      <c r="D310" s="73"/>
      <c r="E310" s="73" t="str">
        <f ca="1">IFERROR(__xludf.DUMMYFUNCTION("""COMPUTED_VALUE"""),"DASA")</f>
        <v>DASA</v>
      </c>
      <c r="F310" s="75">
        <f ca="1">IFERROR(__xludf.DUMMYFUNCTION("""COMPUTED_VALUE"""),45867)</f>
        <v>45867</v>
      </c>
      <c r="G310" s="74">
        <f ca="1">IFERROR(__xludf.DUMMYFUNCTION("""COMPUTED_VALUE"""),178)</f>
        <v>178</v>
      </c>
      <c r="H310" s="74">
        <f ca="1">IFERROR(__xludf.DUMMYFUNCTION("""COMPUTED_VALUE"""),249.2)</f>
        <v>249.2</v>
      </c>
      <c r="I310" s="74">
        <f ca="1">IFERROR(__xludf.DUMMYFUNCTION("""COMPUTED_VALUE"""),250)</f>
        <v>250</v>
      </c>
    </row>
    <row r="311" spans="2:9" ht="27" customHeight="1">
      <c r="B311" s="73" t="str">
        <f ca="1">IFERROR(__xludf.DUMMYFUNCTION("""COMPUTED_VALUE"""),"Guantes desc. talla M")</f>
        <v>Guantes desc. talla M</v>
      </c>
      <c r="C311" s="73" t="str">
        <f ca="1">IFERROR(__xludf.DUMMYFUNCTION("""COMPUTED_VALUE"""),"caja 50 pares")</f>
        <v>caja 50 pares</v>
      </c>
      <c r="D311" s="73"/>
      <c r="E311" s="73" t="str">
        <f ca="1">IFERROR(__xludf.DUMMYFUNCTION("""COMPUTED_VALUE"""),"H&amp;L")</f>
        <v>H&amp;L</v>
      </c>
      <c r="F311" s="73"/>
      <c r="G311" s="74">
        <f ca="1">IFERROR(__xludf.DUMMYFUNCTION("""COMPUTED_VALUE"""),34)</f>
        <v>34</v>
      </c>
      <c r="H311" s="74">
        <f ca="1">IFERROR(__xludf.DUMMYFUNCTION("""COMPUTED_VALUE"""),47.6)</f>
        <v>47.6</v>
      </c>
      <c r="I311" s="74">
        <f ca="1">IFERROR(__xludf.DUMMYFUNCTION("""COMPUTED_VALUE"""),50)</f>
        <v>50</v>
      </c>
    </row>
    <row r="312" spans="2:9" ht="27" customHeight="1">
      <c r="B312" s="73" t="str">
        <f ca="1">IFERROR(__xludf.DUMMYFUNCTION("""COMPUTED_VALUE"""),"Guantes Qx. No. 6 1/2")</f>
        <v>Guantes Qx. No. 6 1/2</v>
      </c>
      <c r="C312" s="73" t="str">
        <f ca="1">IFERROR(__xludf.DUMMYFUNCTION("""COMPUTED_VALUE"""),"caja 50 pares")</f>
        <v>caja 50 pares</v>
      </c>
      <c r="D312" s="73"/>
      <c r="E312" s="73" t="str">
        <f ca="1">IFERROR(__xludf.DUMMYFUNCTION("""COMPUTED_VALUE"""),"QUALITY")</f>
        <v>QUALITY</v>
      </c>
      <c r="F312" s="75">
        <f ca="1">IFERROR(__xludf.DUMMYFUNCTION("""COMPUTED_VALUE"""),45867)</f>
        <v>45867</v>
      </c>
      <c r="G312" s="74">
        <f ca="1">IFERROR(__xludf.DUMMYFUNCTION("""COMPUTED_VALUE"""),190)</f>
        <v>190</v>
      </c>
      <c r="H312" s="74">
        <f ca="1">IFERROR(__xludf.DUMMYFUNCTION("""COMPUTED_VALUE"""),266)</f>
        <v>266</v>
      </c>
      <c r="I312" s="74">
        <f ca="1">IFERROR(__xludf.DUMMYFUNCTION("""COMPUTED_VALUE"""),270)</f>
        <v>270</v>
      </c>
    </row>
    <row r="313" spans="2:9" ht="27" customHeight="1">
      <c r="B313" s="73" t="str">
        <f ca="1">IFERROR(__xludf.DUMMYFUNCTION("""COMPUTED_VALUE"""),"Guantes Qx. No. 7.")</f>
        <v>Guantes Qx. No. 7.</v>
      </c>
      <c r="C313" s="73" t="str">
        <f ca="1">IFERROR(__xludf.DUMMYFUNCTION("""COMPUTED_VALUE"""),"caja 50 pares")</f>
        <v>caja 50 pares</v>
      </c>
      <c r="D313" s="73"/>
      <c r="E313" s="73" t="str">
        <f ca="1">IFERROR(__xludf.DUMMYFUNCTION("""COMPUTED_VALUE"""),"H&amp;L")</f>
        <v>H&amp;L</v>
      </c>
      <c r="F313" s="73"/>
      <c r="G313" s="74">
        <f ca="1">IFERROR(__xludf.DUMMYFUNCTION("""COMPUTED_VALUE"""),190)</f>
        <v>190</v>
      </c>
      <c r="H313" s="74">
        <f ca="1">IFERROR(__xludf.DUMMYFUNCTION("""COMPUTED_VALUE"""),266)</f>
        <v>266</v>
      </c>
      <c r="I313" s="74">
        <f ca="1">IFERROR(__xludf.DUMMYFUNCTION("""COMPUTED_VALUE"""),270)</f>
        <v>270</v>
      </c>
    </row>
    <row r="314" spans="2:9" ht="27" customHeight="1">
      <c r="B314" s="73" t="str">
        <f ca="1">IFERROR(__xludf.DUMMYFUNCTION("""COMPUTED_VALUE"""),"Guantes QX. No. 7 1/2")</f>
        <v>Guantes QX. No. 7 1/2</v>
      </c>
      <c r="C314" s="73" t="str">
        <f ca="1">IFERROR(__xludf.DUMMYFUNCTION("""COMPUTED_VALUE"""),"caja 50 pares")</f>
        <v>caja 50 pares</v>
      </c>
      <c r="D314" s="73"/>
      <c r="E314" s="73" t="str">
        <f ca="1">IFERROR(__xludf.DUMMYFUNCTION("""COMPUTED_VALUE"""),"H&amp;L")</f>
        <v>H&amp;L</v>
      </c>
      <c r="F314" s="75">
        <f ca="1">IFERROR(__xludf.DUMMYFUNCTION("""COMPUTED_VALUE"""),45776)</f>
        <v>45776</v>
      </c>
      <c r="G314" s="74">
        <f ca="1">IFERROR(__xludf.DUMMYFUNCTION("""COMPUTED_VALUE"""),200)</f>
        <v>200</v>
      </c>
      <c r="H314" s="74">
        <f ca="1">IFERROR(__xludf.DUMMYFUNCTION("""COMPUTED_VALUE"""),280)</f>
        <v>280</v>
      </c>
      <c r="I314" s="74">
        <f ca="1">IFERROR(__xludf.DUMMYFUNCTION("""COMPUTED_VALUE"""),300)</f>
        <v>300</v>
      </c>
    </row>
    <row r="315" spans="2:9" ht="27" customHeight="1">
      <c r="B315" s="73" t="str">
        <f ca="1">IFERROR(__xludf.DUMMYFUNCTION("""COMPUTED_VALUE"""),"Hilo Nylon 1-0")</f>
        <v>Hilo Nylon 1-0</v>
      </c>
      <c r="C315" s="73" t="str">
        <f ca="1">IFERROR(__xludf.DUMMYFUNCTION("""COMPUTED_VALUE"""),"Unidad")</f>
        <v>Unidad</v>
      </c>
      <c r="D315" s="73"/>
      <c r="E315" s="73" t="str">
        <f ca="1">IFERROR(__xludf.DUMMYFUNCTION("""COMPUTED_VALUE"""),"JOSE GUILLERMO")</f>
        <v>JOSE GUILLERMO</v>
      </c>
      <c r="F315" s="75">
        <f ca="1">IFERROR(__xludf.DUMMYFUNCTION("""COMPUTED_VALUE"""),45776)</f>
        <v>45776</v>
      </c>
      <c r="G315" s="74">
        <f ca="1">IFERROR(__xludf.DUMMYFUNCTION("""COMPUTED_VALUE"""),12.25)</f>
        <v>12.25</v>
      </c>
      <c r="H315" s="74">
        <f ca="1">IFERROR(__xludf.DUMMYFUNCTION("""COMPUTED_VALUE"""),17.15)</f>
        <v>17.149999999999999</v>
      </c>
      <c r="I315" s="74">
        <f ca="1">IFERROR(__xludf.DUMMYFUNCTION("""COMPUTED_VALUE"""),20)</f>
        <v>20</v>
      </c>
    </row>
    <row r="316" spans="2:9" ht="27" customHeight="1">
      <c r="B316" s="73" t="str">
        <f ca="1">IFERROR(__xludf.DUMMYFUNCTION("""COMPUTED_VALUE"""),"Hilo Nylon 2-0")</f>
        <v>Hilo Nylon 2-0</v>
      </c>
      <c r="C316" s="73" t="str">
        <f ca="1">IFERROR(__xludf.DUMMYFUNCTION("""COMPUTED_VALUE"""),"Unidad")</f>
        <v>Unidad</v>
      </c>
      <c r="D316" s="73"/>
      <c r="E316" s="73" t="str">
        <f ca="1">IFERROR(__xludf.DUMMYFUNCTION("""COMPUTED_VALUE"""),"H&amp;L")</f>
        <v>H&amp;L</v>
      </c>
      <c r="F316" s="75">
        <f ca="1">IFERROR(__xludf.DUMMYFUNCTION("""COMPUTED_VALUE"""),45744)</f>
        <v>45744</v>
      </c>
      <c r="G316" s="74">
        <f ca="1">IFERROR(__xludf.DUMMYFUNCTION("""COMPUTED_VALUE"""),12.25)</f>
        <v>12.25</v>
      </c>
      <c r="H316" s="74">
        <f ca="1">IFERROR(__xludf.DUMMYFUNCTION("""COMPUTED_VALUE"""),17.15)</f>
        <v>17.149999999999999</v>
      </c>
      <c r="I316" s="74">
        <f ca="1">IFERROR(__xludf.DUMMYFUNCTION("""COMPUTED_VALUE"""),20)</f>
        <v>20</v>
      </c>
    </row>
    <row r="317" spans="2:9" ht="27" customHeight="1">
      <c r="B317" s="73" t="str">
        <f ca="1">IFERROR(__xludf.DUMMYFUNCTION("""COMPUTED_VALUE"""),"Hilo Nylon 3-0")</f>
        <v>Hilo Nylon 3-0</v>
      </c>
      <c r="C317" s="73" t="str">
        <f ca="1">IFERROR(__xludf.DUMMYFUNCTION("""COMPUTED_VALUE"""),"Unidad")</f>
        <v>Unidad</v>
      </c>
      <c r="D317" s="73"/>
      <c r="E317" s="73" t="str">
        <f ca="1">IFERROR(__xludf.DUMMYFUNCTION("""COMPUTED_VALUE"""),"OSCAR RIVAS")</f>
        <v>OSCAR RIVAS</v>
      </c>
      <c r="F317" s="75">
        <f ca="1">IFERROR(__xludf.DUMMYFUNCTION("""COMPUTED_VALUE"""),45686)</f>
        <v>45686</v>
      </c>
      <c r="G317" s="74">
        <f ca="1">IFERROR(__xludf.DUMMYFUNCTION("""COMPUTED_VALUE"""),12.85)</f>
        <v>12.85</v>
      </c>
      <c r="H317" s="74">
        <f ca="1">IFERROR(__xludf.DUMMYFUNCTION("""COMPUTED_VALUE"""),17.99)</f>
        <v>17.989999999999998</v>
      </c>
      <c r="I317" s="74">
        <f ca="1">IFERROR(__xludf.DUMMYFUNCTION("""COMPUTED_VALUE"""),20)</f>
        <v>20</v>
      </c>
    </row>
    <row r="318" spans="2:9" ht="27" customHeight="1">
      <c r="B318" s="73" t="str">
        <f ca="1">IFERROR(__xludf.DUMMYFUNCTION("""COMPUTED_VALUE"""),"Hilo Nylon 4-0")</f>
        <v>Hilo Nylon 4-0</v>
      </c>
      <c r="C318" s="73" t="str">
        <f ca="1">IFERROR(__xludf.DUMMYFUNCTION("""COMPUTED_VALUE"""),"Unidad")</f>
        <v>Unidad</v>
      </c>
      <c r="D318" s="73"/>
      <c r="E318" s="73" t="str">
        <f ca="1">IFERROR(__xludf.DUMMYFUNCTION("""COMPUTED_VALUE"""),"H&amp;L")</f>
        <v>H&amp;L</v>
      </c>
      <c r="F318" s="75">
        <f ca="1">IFERROR(__xludf.DUMMYFUNCTION("""COMPUTED_VALUE"""),45745)</f>
        <v>45745</v>
      </c>
      <c r="G318" s="74">
        <f ca="1">IFERROR(__xludf.DUMMYFUNCTION("""COMPUTED_VALUE"""),12.45)</f>
        <v>12.45</v>
      </c>
      <c r="H318" s="74">
        <f ca="1">IFERROR(__xludf.DUMMYFUNCTION("""COMPUTED_VALUE"""),17.43)</f>
        <v>17.43</v>
      </c>
      <c r="I318" s="74">
        <f ca="1">IFERROR(__xludf.DUMMYFUNCTION("""COMPUTED_VALUE"""),20)</f>
        <v>20</v>
      </c>
    </row>
    <row r="319" spans="2:9" ht="27" customHeight="1">
      <c r="B319" s="73" t="str">
        <f ca="1">IFERROR(__xludf.DUMMYFUNCTION("""COMPUTED_VALUE"""),"Hilo Nylon 5-0")</f>
        <v>Hilo Nylon 5-0</v>
      </c>
      <c r="C319" s="73" t="str">
        <f ca="1">IFERROR(__xludf.DUMMYFUNCTION("""COMPUTED_VALUE"""),"Unidad")</f>
        <v>Unidad</v>
      </c>
      <c r="D319" s="73"/>
      <c r="E319" s="73" t="str">
        <f ca="1">IFERROR(__xludf.DUMMYFUNCTION("""COMPUTED_VALUE"""),"H&amp;L")</f>
        <v>H&amp;L</v>
      </c>
      <c r="F319" s="75">
        <f ca="1">IFERROR(__xludf.DUMMYFUNCTION("""COMPUTED_VALUE"""),45867)</f>
        <v>45867</v>
      </c>
      <c r="G319" s="74">
        <f ca="1">IFERROR(__xludf.DUMMYFUNCTION("""COMPUTED_VALUE"""),12.5)</f>
        <v>12.5</v>
      </c>
      <c r="H319" s="74">
        <f ca="1">IFERROR(__xludf.DUMMYFUNCTION("""COMPUTED_VALUE"""),17.5)</f>
        <v>17.5</v>
      </c>
      <c r="I319" s="74">
        <f ca="1">IFERROR(__xludf.DUMMYFUNCTION("""COMPUTED_VALUE"""),20)</f>
        <v>20</v>
      </c>
    </row>
    <row r="320" spans="2:9" ht="27" customHeight="1">
      <c r="B320" s="73" t="str">
        <f ca="1">IFERROR(__xludf.DUMMYFUNCTION("""COMPUTED_VALUE"""),"Hilo Nylon 6-0")</f>
        <v>Hilo Nylon 6-0</v>
      </c>
      <c r="C320" s="73" t="str">
        <f ca="1">IFERROR(__xludf.DUMMYFUNCTION("""COMPUTED_VALUE"""),"Unidad")</f>
        <v>Unidad</v>
      </c>
      <c r="D320" s="73"/>
      <c r="E320" s="73" t="str">
        <f ca="1">IFERROR(__xludf.DUMMYFUNCTION("""COMPUTED_VALUE"""),"H&amp;L")</f>
        <v>H&amp;L</v>
      </c>
      <c r="F320" s="73"/>
      <c r="G320" s="74">
        <f ca="1">IFERROR(__xludf.DUMMYFUNCTION("""COMPUTED_VALUE"""),13.95)</f>
        <v>13.95</v>
      </c>
      <c r="H320" s="74">
        <f ca="1">IFERROR(__xludf.DUMMYFUNCTION("""COMPUTED_VALUE"""),19.53)</f>
        <v>19.53</v>
      </c>
      <c r="I320" s="74">
        <f ca="1">IFERROR(__xludf.DUMMYFUNCTION("""COMPUTED_VALUE"""),20)</f>
        <v>20</v>
      </c>
    </row>
    <row r="321" spans="2:9" ht="27" customHeight="1">
      <c r="B321" s="73" t="str">
        <f ca="1">IFERROR(__xludf.DUMMYFUNCTION("""COMPUTED_VALUE"""),"Hilo Vicril 0-0")</f>
        <v>Hilo Vicril 0-0</v>
      </c>
      <c r="C321" s="73" t="str">
        <f ca="1">IFERROR(__xludf.DUMMYFUNCTION("""COMPUTED_VALUE"""),"Unidad")</f>
        <v>Unidad</v>
      </c>
      <c r="D321" s="73"/>
      <c r="E321" s="73" t="str">
        <f ca="1">IFERROR(__xludf.DUMMYFUNCTION("""COMPUTED_VALUE"""),"H&amp;L")</f>
        <v>H&amp;L</v>
      </c>
      <c r="F321" s="73" t="str">
        <f ca="1">IFERROR(__xludf.DUMMYFUNCTION("""COMPUTED_VALUE"""),"feb-29")</f>
        <v>feb-29</v>
      </c>
      <c r="G321" s="74">
        <f ca="1">IFERROR(__xludf.DUMMYFUNCTION("""COMPUTED_VALUE"""),5.8)</f>
        <v>5.8</v>
      </c>
      <c r="H321" s="74">
        <f ca="1">IFERROR(__xludf.DUMMYFUNCTION("""COMPUTED_VALUE"""),8.12)</f>
        <v>8.1199999999999992</v>
      </c>
      <c r="I321" s="74">
        <f ca="1">IFERROR(__xludf.DUMMYFUNCTION("""COMPUTED_VALUE"""),10)</f>
        <v>10</v>
      </c>
    </row>
    <row r="322" spans="2:9" ht="27" customHeight="1">
      <c r="B322" s="73" t="str">
        <f ca="1">IFERROR(__xludf.DUMMYFUNCTION("""COMPUTED_VALUE"""),"Hilo Vicril 1-0")</f>
        <v>Hilo Vicril 1-0</v>
      </c>
      <c r="C322" s="73" t="str">
        <f ca="1">IFERROR(__xludf.DUMMYFUNCTION("""COMPUTED_VALUE"""),"Unidad")</f>
        <v>Unidad</v>
      </c>
      <c r="D322" s="73"/>
      <c r="E322" s="73" t="str">
        <f ca="1">IFERROR(__xludf.DUMMYFUNCTION("""COMPUTED_VALUE"""),"H&amp;L")</f>
        <v>H&amp;L</v>
      </c>
      <c r="F322" s="73"/>
      <c r="G322" s="74">
        <f ca="1">IFERROR(__xludf.DUMMYFUNCTION("""COMPUTED_VALUE"""),8)</f>
        <v>8</v>
      </c>
      <c r="H322" s="74">
        <f ca="1">IFERROR(__xludf.DUMMYFUNCTION("""COMPUTED_VALUE"""),11.2)</f>
        <v>11.2</v>
      </c>
      <c r="I322" s="74">
        <f ca="1">IFERROR(__xludf.DUMMYFUNCTION("""COMPUTED_VALUE"""),15)</f>
        <v>15</v>
      </c>
    </row>
    <row r="323" spans="2:9" ht="27" customHeight="1">
      <c r="B323" s="73" t="str">
        <f ca="1">IFERROR(__xludf.DUMMYFUNCTION("""COMPUTED_VALUE"""),"Hilo Vicril 2-0 (punta Cónica )")</f>
        <v>Hilo Vicril 2-0 (punta Cónica )</v>
      </c>
      <c r="C323" s="73" t="str">
        <f ca="1">IFERROR(__xludf.DUMMYFUNCTION("""COMPUTED_VALUE"""),"Unidad")</f>
        <v>Unidad</v>
      </c>
      <c r="D323" s="73"/>
      <c r="E323" s="73" t="str">
        <f ca="1">IFERROR(__xludf.DUMMYFUNCTION("""COMPUTED_VALUE"""),"H&amp;L")</f>
        <v>H&amp;L</v>
      </c>
      <c r="F323" s="73"/>
      <c r="G323" s="74">
        <f ca="1">IFERROR(__xludf.DUMMYFUNCTION("""COMPUTED_VALUE"""),47.81)</f>
        <v>47.81</v>
      </c>
      <c r="H323" s="74">
        <f ca="1">IFERROR(__xludf.DUMMYFUNCTION("""COMPUTED_VALUE"""),66.934)</f>
        <v>66.933999999999997</v>
      </c>
      <c r="I323" s="74">
        <f ca="1">IFERROR(__xludf.DUMMYFUNCTION("""COMPUTED_VALUE"""),70)</f>
        <v>70</v>
      </c>
    </row>
    <row r="324" spans="2:9" ht="27" customHeight="1">
      <c r="B324" s="73" t="str">
        <f ca="1">IFERROR(__xludf.DUMMYFUNCTION("""COMPUTED_VALUE"""),"Hilo Vicril 3-0, Punta Cònica)")</f>
        <v>Hilo Vicril 3-0, Punta Cònica)</v>
      </c>
      <c r="C324" s="73" t="str">
        <f ca="1">IFERROR(__xludf.DUMMYFUNCTION("""COMPUTED_VALUE"""),"Unidad")</f>
        <v>Unidad</v>
      </c>
      <c r="D324" s="73"/>
      <c r="E324" s="73" t="str">
        <f ca="1">IFERROR(__xludf.DUMMYFUNCTION("""COMPUTED_VALUE"""),"H&amp;L")</f>
        <v>H&amp;L</v>
      </c>
      <c r="F324" s="73"/>
      <c r="G324" s="74">
        <f ca="1">IFERROR(__xludf.DUMMYFUNCTION("""COMPUTED_VALUE"""),99.5)</f>
        <v>99.5</v>
      </c>
      <c r="H324" s="74">
        <f ca="1">IFERROR(__xludf.DUMMYFUNCTION("""COMPUTED_VALUE"""),139.3)</f>
        <v>139.30000000000001</v>
      </c>
      <c r="I324" s="74">
        <f ca="1">IFERROR(__xludf.DUMMYFUNCTION("""COMPUTED_VALUE"""),140)</f>
        <v>140</v>
      </c>
    </row>
    <row r="325" spans="2:9" ht="27" customHeight="1">
      <c r="B325" s="73" t="str">
        <f ca="1">IFERROR(__xludf.DUMMYFUNCTION("""COMPUTED_VALUE"""),"Hilo Vicril 4-0")</f>
        <v>Hilo Vicril 4-0</v>
      </c>
      <c r="C325" s="73" t="str">
        <f ca="1">IFERROR(__xludf.DUMMYFUNCTION("""COMPUTED_VALUE"""),"Unidad")</f>
        <v>Unidad</v>
      </c>
      <c r="D325" s="73"/>
      <c r="E325" s="73" t="str">
        <f ca="1">IFERROR(__xludf.DUMMYFUNCTION("""COMPUTED_VALUE"""),"H&amp;L")</f>
        <v>H&amp;L</v>
      </c>
      <c r="F325" s="73"/>
      <c r="G325" s="74">
        <f ca="1">IFERROR(__xludf.DUMMYFUNCTION("""COMPUTED_VALUE"""),72.75)</f>
        <v>72.75</v>
      </c>
      <c r="H325" s="74">
        <f ca="1">IFERROR(__xludf.DUMMYFUNCTION("""COMPUTED_VALUE"""),101.85)</f>
        <v>101.85</v>
      </c>
      <c r="I325" s="74">
        <f ca="1">IFERROR(__xludf.DUMMYFUNCTION("""COMPUTED_VALUE"""),105)</f>
        <v>105</v>
      </c>
    </row>
    <row r="326" spans="2:9" ht="27" customHeight="1">
      <c r="B326" s="73" t="str">
        <f ca="1">IFERROR(__xludf.DUMMYFUNCTION("""COMPUTED_VALUE"""),"Hilo Vicril 5-0")</f>
        <v>Hilo Vicril 5-0</v>
      </c>
      <c r="C326" s="73" t="str">
        <f ca="1">IFERROR(__xludf.DUMMYFUNCTION("""COMPUTED_VALUE"""),"Unidad")</f>
        <v>Unidad</v>
      </c>
      <c r="D326" s="73"/>
      <c r="E326" s="73" t="str">
        <f ca="1">IFERROR(__xludf.DUMMYFUNCTION("""COMPUTED_VALUE"""),"H&amp;L")</f>
        <v>H&amp;L</v>
      </c>
      <c r="F326" s="73"/>
      <c r="G326" s="74">
        <f ca="1">IFERROR(__xludf.DUMMYFUNCTION("""COMPUTED_VALUE"""),9)</f>
        <v>9</v>
      </c>
      <c r="H326" s="74">
        <f ca="1">IFERROR(__xludf.DUMMYFUNCTION("""COMPUTED_VALUE"""),12.6)</f>
        <v>12.6</v>
      </c>
      <c r="I326" s="74">
        <f ca="1">IFERROR(__xludf.DUMMYFUNCTION("""COMPUTED_VALUE"""),20)</f>
        <v>20</v>
      </c>
    </row>
    <row r="327" spans="2:9" ht="27" customHeight="1">
      <c r="B327" s="73" t="str">
        <f ca="1">IFERROR(__xludf.DUMMYFUNCTION("""COMPUTED_VALUE"""),"Humificadores")</f>
        <v>Humificadores</v>
      </c>
      <c r="C327" s="73" t="str">
        <f ca="1">IFERROR(__xludf.DUMMYFUNCTION("""COMPUTED_VALUE"""),"Unidad")</f>
        <v>Unidad</v>
      </c>
      <c r="D327" s="73"/>
      <c r="E327" s="73" t="str">
        <f ca="1">IFERROR(__xludf.DUMMYFUNCTION("""COMPUTED_VALUE"""),"DAKO")</f>
        <v>DAKO</v>
      </c>
      <c r="F327" s="73"/>
      <c r="G327" s="74">
        <f ca="1">IFERROR(__xludf.DUMMYFUNCTION("""COMPUTED_VALUE"""),25)</f>
        <v>25</v>
      </c>
      <c r="H327" s="74">
        <f ca="1">IFERROR(__xludf.DUMMYFUNCTION("""COMPUTED_VALUE"""),35)</f>
        <v>35</v>
      </c>
      <c r="I327" s="74">
        <f ca="1">IFERROR(__xludf.DUMMYFUNCTION("""COMPUTED_VALUE"""),40)</f>
        <v>40</v>
      </c>
    </row>
    <row r="328" spans="2:9" ht="27" customHeight="1">
      <c r="B328" s="73" t="str">
        <f ca="1">IFERROR(__xludf.DUMMYFUNCTION("""COMPUTED_VALUE"""),"Hisopos de madera")</f>
        <v>Hisopos de madera</v>
      </c>
      <c r="C328" s="73" t="str">
        <f ca="1">IFERROR(__xludf.DUMMYFUNCTION("""COMPUTED_VALUE"""),"Bolsa 100 u.")</f>
        <v>Bolsa 100 u.</v>
      </c>
      <c r="D328" s="73"/>
      <c r="E328" s="73" t="str">
        <f ca="1">IFERROR(__xludf.DUMMYFUNCTION("""COMPUTED_VALUE"""),"H&amp;L")</f>
        <v>H&amp;L</v>
      </c>
      <c r="F328" s="73"/>
      <c r="G328" s="74">
        <f ca="1">IFERROR(__xludf.DUMMYFUNCTION("""COMPUTED_VALUE"""),6.5)</f>
        <v>6.5</v>
      </c>
      <c r="H328" s="74">
        <f ca="1">IFERROR(__xludf.DUMMYFUNCTION("""COMPUTED_VALUE"""),9.1)</f>
        <v>9.1</v>
      </c>
      <c r="I328" s="74">
        <f ca="1">IFERROR(__xludf.DUMMYFUNCTION("""COMPUTED_VALUE"""),15)</f>
        <v>15</v>
      </c>
    </row>
    <row r="329" spans="2:9" ht="27" customHeight="1">
      <c r="B329" s="73" t="str">
        <f ca="1">IFERROR(__xludf.DUMMYFUNCTION("""COMPUTED_VALUE"""),"Jeringa Desc. 1cc.")</f>
        <v>Jeringa Desc. 1cc.</v>
      </c>
      <c r="C329" s="73" t="str">
        <f ca="1">IFERROR(__xludf.DUMMYFUNCTION("""COMPUTED_VALUE"""),"caja 100 u,.")</f>
        <v>caja 100 u,.</v>
      </c>
      <c r="D329" s="73"/>
      <c r="E329" s="73" t="str">
        <f ca="1">IFERROR(__xludf.DUMMYFUNCTION("""COMPUTED_VALUE"""),"H&amp;L")</f>
        <v>H&amp;L</v>
      </c>
      <c r="F329" s="73"/>
      <c r="G329" s="74">
        <f ca="1">IFERROR(__xludf.DUMMYFUNCTION("""COMPUTED_VALUE"""),0.83)</f>
        <v>0.83</v>
      </c>
      <c r="H329" s="74">
        <f ca="1">IFERROR(__xludf.DUMMYFUNCTION("""COMPUTED_VALUE"""),1.162)</f>
        <v>1.1619999999999999</v>
      </c>
      <c r="I329" s="74">
        <f ca="1">IFERROR(__xludf.DUMMYFUNCTION("""COMPUTED_VALUE"""),5)</f>
        <v>5</v>
      </c>
    </row>
    <row r="330" spans="2:9" ht="27" customHeight="1">
      <c r="B330" s="73" t="str">
        <f ca="1">IFERROR(__xludf.DUMMYFUNCTION("""COMPUTED_VALUE"""),"Jeringa Desc. 3cc.")</f>
        <v>Jeringa Desc. 3cc.</v>
      </c>
      <c r="C330" s="73" t="str">
        <f ca="1">IFERROR(__xludf.DUMMYFUNCTION("""COMPUTED_VALUE"""),"caja 100 u,.")</f>
        <v>caja 100 u,.</v>
      </c>
      <c r="D330" s="73"/>
      <c r="E330" s="73" t="str">
        <f ca="1">IFERROR(__xludf.DUMMYFUNCTION("""COMPUTED_VALUE"""),"H&amp;L")</f>
        <v>H&amp;L</v>
      </c>
      <c r="F330" s="75">
        <f ca="1">IFERROR(__xludf.DUMMYFUNCTION("""COMPUTED_VALUE"""),45744)</f>
        <v>45744</v>
      </c>
      <c r="G330" s="74">
        <f ca="1">IFERROR(__xludf.DUMMYFUNCTION("""COMPUTED_VALUE"""),0.61)</f>
        <v>0.61</v>
      </c>
      <c r="H330" s="74">
        <f ca="1">IFERROR(__xludf.DUMMYFUNCTION("""COMPUTED_VALUE"""),0.854)</f>
        <v>0.85399999999999998</v>
      </c>
      <c r="I330" s="74">
        <f ca="1">IFERROR(__xludf.DUMMYFUNCTION("""COMPUTED_VALUE"""),5)</f>
        <v>5</v>
      </c>
    </row>
    <row r="331" spans="2:9" ht="27" customHeight="1">
      <c r="B331" s="73" t="str">
        <f ca="1">IFERROR(__xludf.DUMMYFUNCTION("""COMPUTED_VALUE"""),"Jeringa Desc. 5cc.")</f>
        <v>Jeringa Desc. 5cc.</v>
      </c>
      <c r="C331" s="73" t="str">
        <f ca="1">IFERROR(__xludf.DUMMYFUNCTION("""COMPUTED_VALUE"""),"caja 100 u,.")</f>
        <v>caja 100 u,.</v>
      </c>
      <c r="D331" s="73"/>
      <c r="E331" s="73" t="str">
        <f ca="1">IFERROR(__xludf.DUMMYFUNCTION("""COMPUTED_VALUE"""),"H&amp;L")</f>
        <v>H&amp;L</v>
      </c>
      <c r="F331" s="75">
        <f ca="1">IFERROR(__xludf.DUMMYFUNCTION("""COMPUTED_VALUE"""),45775)</f>
        <v>45775</v>
      </c>
      <c r="G331" s="74">
        <f ca="1">IFERROR(__xludf.DUMMYFUNCTION("""COMPUTED_VALUE"""),0.64)</f>
        <v>0.64</v>
      </c>
      <c r="H331" s="74">
        <f ca="1">IFERROR(__xludf.DUMMYFUNCTION("""COMPUTED_VALUE"""),0.896)</f>
        <v>0.89600000000000002</v>
      </c>
      <c r="I331" s="74">
        <f ca="1">IFERROR(__xludf.DUMMYFUNCTION("""COMPUTED_VALUE"""),5)</f>
        <v>5</v>
      </c>
    </row>
    <row r="332" spans="2:9" ht="27" customHeight="1">
      <c r="B332" s="73" t="str">
        <f ca="1">IFERROR(__xludf.DUMMYFUNCTION("""COMPUTED_VALUE"""),"Jeringa Desc. 10.cc")</f>
        <v>Jeringa Desc. 10.cc</v>
      </c>
      <c r="C332" s="73" t="str">
        <f ca="1">IFERROR(__xludf.DUMMYFUNCTION("""COMPUTED_VALUE"""),"caja 100 u,.")</f>
        <v>caja 100 u,.</v>
      </c>
      <c r="D332" s="73"/>
      <c r="E332" s="73" t="str">
        <f ca="1">IFERROR(__xludf.DUMMYFUNCTION("""COMPUTED_VALUE"""),"H&amp;L")</f>
        <v>H&amp;L</v>
      </c>
      <c r="F332" s="75">
        <f ca="1">IFERROR(__xludf.DUMMYFUNCTION("""COMPUTED_VALUE"""),45896)</f>
        <v>45896</v>
      </c>
      <c r="G332" s="74">
        <f ca="1">IFERROR(__xludf.DUMMYFUNCTION("""COMPUTED_VALUE"""),0.97)</f>
        <v>0.97</v>
      </c>
      <c r="H332" s="74">
        <f ca="1">IFERROR(__xludf.DUMMYFUNCTION("""COMPUTED_VALUE"""),1.358)</f>
        <v>1.3580000000000001</v>
      </c>
      <c r="I332" s="74">
        <f ca="1">IFERROR(__xludf.DUMMYFUNCTION("""COMPUTED_VALUE"""),5)</f>
        <v>5</v>
      </c>
    </row>
    <row r="333" spans="2:9" ht="27" customHeight="1">
      <c r="B333" s="73" t="str">
        <f ca="1">IFERROR(__xludf.DUMMYFUNCTION("""COMPUTED_VALUE"""),"Jeringa Desc. 20cc")</f>
        <v>Jeringa Desc. 20cc</v>
      </c>
      <c r="C333" s="73" t="str">
        <f ca="1">IFERROR(__xludf.DUMMYFUNCTION("""COMPUTED_VALUE"""),"caja 50")</f>
        <v>caja 50</v>
      </c>
      <c r="D333" s="73"/>
      <c r="E333" s="73" t="str">
        <f ca="1">IFERROR(__xludf.DUMMYFUNCTION("""COMPUTED_VALUE"""),"H&amp;L")</f>
        <v>H&amp;L</v>
      </c>
      <c r="F333" s="75">
        <f ca="1">IFERROR(__xludf.DUMMYFUNCTION("""COMPUTED_VALUE"""),45898)</f>
        <v>45898</v>
      </c>
      <c r="G333" s="74">
        <f ca="1">IFERROR(__xludf.DUMMYFUNCTION("""COMPUTED_VALUE"""),0.85)</f>
        <v>0.85</v>
      </c>
      <c r="H333" s="74">
        <f ca="1">IFERROR(__xludf.DUMMYFUNCTION("""COMPUTED_VALUE"""),1.19)</f>
        <v>1.19</v>
      </c>
      <c r="I333" s="74">
        <f ca="1">IFERROR(__xludf.DUMMYFUNCTION("""COMPUTED_VALUE"""),5)</f>
        <v>5</v>
      </c>
    </row>
    <row r="334" spans="2:9" ht="27" customHeight="1">
      <c r="B334" s="73" t="str">
        <f ca="1">IFERROR(__xludf.DUMMYFUNCTION("""COMPUTED_VALUE"""),"Mascarilla p/oxigeno c/res. L")</f>
        <v>Mascarilla p/oxigeno c/res. L</v>
      </c>
      <c r="C334" s="73" t="str">
        <f ca="1">IFERROR(__xludf.DUMMYFUNCTION("""COMPUTED_VALUE"""),"Unidad")</f>
        <v>Unidad</v>
      </c>
      <c r="D334" s="73"/>
      <c r="E334" s="73" t="str">
        <f ca="1">IFERROR(__xludf.DUMMYFUNCTION("""COMPUTED_VALUE"""),"H&amp;L")</f>
        <v>H&amp;L</v>
      </c>
      <c r="F334" s="75">
        <f ca="1">IFERROR(__xludf.DUMMYFUNCTION("""COMPUTED_VALUE"""),45837)</f>
        <v>45837</v>
      </c>
      <c r="G334" s="74">
        <f ca="1">IFERROR(__xludf.DUMMYFUNCTION("""COMPUTED_VALUE"""),15)</f>
        <v>15</v>
      </c>
      <c r="H334" s="74">
        <f ca="1">IFERROR(__xludf.DUMMYFUNCTION("""COMPUTED_VALUE"""),21)</f>
        <v>21</v>
      </c>
      <c r="I334" s="74">
        <f ca="1">IFERROR(__xludf.DUMMYFUNCTION("""COMPUTED_VALUE"""),30)</f>
        <v>30</v>
      </c>
    </row>
    <row r="335" spans="2:9" ht="27" customHeight="1">
      <c r="B335" s="73" t="str">
        <f ca="1">IFERROR(__xludf.DUMMYFUNCTION("""COMPUTED_VALUE"""),"Mascarilla p/oxigeno c/res. M")</f>
        <v>Mascarilla p/oxigeno c/res. M</v>
      </c>
      <c r="C335" s="73" t="str">
        <f ca="1">IFERROR(__xludf.DUMMYFUNCTION("""COMPUTED_VALUE"""),"Unidad")</f>
        <v>Unidad</v>
      </c>
      <c r="D335" s="73"/>
      <c r="E335" s="73" t="str">
        <f ca="1">IFERROR(__xludf.DUMMYFUNCTION("""COMPUTED_VALUE"""),"H&amp;L")</f>
        <v>H&amp;L</v>
      </c>
      <c r="F335" s="75">
        <f ca="1">IFERROR(__xludf.DUMMYFUNCTION("""COMPUTED_VALUE"""),45865)</f>
        <v>45865</v>
      </c>
      <c r="G335" s="74">
        <f ca="1">IFERROR(__xludf.DUMMYFUNCTION("""COMPUTED_VALUE"""),20)</f>
        <v>20</v>
      </c>
      <c r="H335" s="74">
        <f ca="1">IFERROR(__xludf.DUMMYFUNCTION("""COMPUTED_VALUE"""),28)</f>
        <v>28</v>
      </c>
      <c r="I335" s="74">
        <f ca="1">IFERROR(__xludf.DUMMYFUNCTION("""COMPUTED_VALUE"""),30)</f>
        <v>30</v>
      </c>
    </row>
    <row r="336" spans="2:9" ht="27" customHeight="1">
      <c r="B336" s="73" t="str">
        <f ca="1">IFERROR(__xludf.DUMMYFUNCTION("""COMPUTED_VALUE"""),"Mascarilla p/Nebulizar Talla L")</f>
        <v>Mascarilla p/Nebulizar Talla L</v>
      </c>
      <c r="C336" s="73" t="str">
        <f ca="1">IFERROR(__xludf.DUMMYFUNCTION("""COMPUTED_VALUE"""),"Unidad")</f>
        <v>Unidad</v>
      </c>
      <c r="D336" s="73"/>
      <c r="E336" s="73" t="str">
        <f ca="1">IFERROR(__xludf.DUMMYFUNCTION("""COMPUTED_VALUE"""),"H&amp;L")</f>
        <v>H&amp;L</v>
      </c>
      <c r="F336" s="73"/>
      <c r="G336" s="74">
        <f ca="1">IFERROR(__xludf.DUMMYFUNCTION("""COMPUTED_VALUE"""),12.5)</f>
        <v>12.5</v>
      </c>
      <c r="H336" s="74">
        <f ca="1">IFERROR(__xludf.DUMMYFUNCTION("""COMPUTED_VALUE"""),17.5)</f>
        <v>17.5</v>
      </c>
      <c r="I336" s="74">
        <f ca="1">IFERROR(__xludf.DUMMYFUNCTION("""COMPUTED_VALUE"""),25)</f>
        <v>25</v>
      </c>
    </row>
    <row r="337" spans="2:9" ht="27" customHeight="1">
      <c r="B337" s="73" t="str">
        <f ca="1">IFERROR(__xludf.DUMMYFUNCTION("""COMPUTED_VALUE"""),"Mascarillas p/nebulizar talla M")</f>
        <v>Mascarillas p/nebulizar talla M</v>
      </c>
      <c r="C337" s="73" t="str">
        <f ca="1">IFERROR(__xludf.DUMMYFUNCTION("""COMPUTED_VALUE"""),"caja 50 unid.")</f>
        <v>caja 50 unid.</v>
      </c>
      <c r="D337" s="73"/>
      <c r="E337" s="73" t="str">
        <f ca="1">IFERROR(__xludf.DUMMYFUNCTION("""COMPUTED_VALUE"""),"H&amp;L")</f>
        <v>H&amp;L</v>
      </c>
      <c r="F337" s="75">
        <f ca="1">IFERROR(__xludf.DUMMYFUNCTION("""COMPUTED_VALUE"""),45834)</f>
        <v>45834</v>
      </c>
      <c r="G337" s="74">
        <f ca="1">IFERROR(__xludf.DUMMYFUNCTION("""COMPUTED_VALUE"""),14.25)</f>
        <v>14.25</v>
      </c>
      <c r="H337" s="74">
        <f ca="1">IFERROR(__xludf.DUMMYFUNCTION("""COMPUTED_VALUE"""),19.95)</f>
        <v>19.95</v>
      </c>
      <c r="I337" s="74">
        <f ca="1">IFERROR(__xludf.DUMMYFUNCTION("""COMPUTED_VALUE"""),25)</f>
        <v>25</v>
      </c>
    </row>
    <row r="338" spans="2:9" ht="27" customHeight="1">
      <c r="B338" s="73" t="str">
        <f ca="1">IFERROR(__xludf.DUMMYFUNCTION("""COMPUTED_VALUE"""),"Microgoteros")</f>
        <v>Microgoteros</v>
      </c>
      <c r="C338" s="73" t="str">
        <f ca="1">IFERROR(__xludf.DUMMYFUNCTION("""COMPUTED_VALUE"""),"Unidad")</f>
        <v>Unidad</v>
      </c>
      <c r="D338" s="73"/>
      <c r="E338" s="73" t="str">
        <f ca="1">IFERROR(__xludf.DUMMYFUNCTION("""COMPUTED_VALUE"""),"H&amp;L")</f>
        <v>H&amp;L</v>
      </c>
      <c r="F338" s="75">
        <f ca="1">IFERROR(__xludf.DUMMYFUNCTION("""COMPUTED_VALUE"""),45837)</f>
        <v>45837</v>
      </c>
      <c r="G338" s="74">
        <f ca="1">IFERROR(__xludf.DUMMYFUNCTION("""COMPUTED_VALUE"""),17.4)</f>
        <v>17.399999999999999</v>
      </c>
      <c r="H338" s="74">
        <f ca="1">IFERROR(__xludf.DUMMYFUNCTION("""COMPUTED_VALUE"""),24.36)</f>
        <v>24.36</v>
      </c>
      <c r="I338" s="74">
        <f ca="1">IFERROR(__xludf.DUMMYFUNCTION("""COMPUTED_VALUE"""),30)</f>
        <v>30</v>
      </c>
    </row>
    <row r="339" spans="2:9" ht="27" customHeight="1">
      <c r="B339" s="73" t="str">
        <f ca="1">IFERROR(__xludf.DUMMYFUNCTION("""COMPUTED_VALUE"""),"Micropore 1 Pulgada")</f>
        <v>Micropore 1 Pulgada</v>
      </c>
      <c r="C339" s="73" t="str">
        <f ca="1">IFERROR(__xludf.DUMMYFUNCTION("""COMPUTED_VALUE"""),"Unidad")</f>
        <v>Unidad</v>
      </c>
      <c r="D339" s="73"/>
      <c r="E339" s="73" t="str">
        <f ca="1">IFERROR(__xludf.DUMMYFUNCTION("""COMPUTED_VALUE"""),"H&amp;L")</f>
        <v>H&amp;L</v>
      </c>
      <c r="F339" s="75">
        <f ca="1">IFERROR(__xludf.DUMMYFUNCTION("""COMPUTED_VALUE"""),45867)</f>
        <v>45867</v>
      </c>
      <c r="G339" s="74">
        <f ca="1">IFERROR(__xludf.DUMMYFUNCTION("""COMPUTED_VALUE"""),7.92)</f>
        <v>7.92</v>
      </c>
      <c r="H339" s="74">
        <f ca="1">IFERROR(__xludf.DUMMYFUNCTION("""COMPUTED_VALUE"""),11.088)</f>
        <v>11.087999999999999</v>
      </c>
      <c r="I339" s="74">
        <f ca="1">IFERROR(__xludf.DUMMYFUNCTION("""COMPUTED_VALUE"""),10)</f>
        <v>10</v>
      </c>
    </row>
    <row r="340" spans="2:9" ht="27" customHeight="1">
      <c r="B340" s="73" t="str">
        <f ca="1">IFERROR(__xludf.DUMMYFUNCTION("""COMPUTED_VALUE"""),"Papel Crepado 110*240")</f>
        <v>Papel Crepado 110*240</v>
      </c>
      <c r="C340" s="73" t="str">
        <f ca="1">IFERROR(__xludf.DUMMYFUNCTION("""COMPUTED_VALUE"""),"Rollo")</f>
        <v>Rollo</v>
      </c>
      <c r="D340" s="73"/>
      <c r="E340" s="73" t="str">
        <f ca="1">IFERROR(__xludf.DUMMYFUNCTION("""COMPUTED_VALUE"""),"PROVEEDORA QUIRÚRGICA")</f>
        <v>PROVEEDORA QUIRÚRGICA</v>
      </c>
      <c r="F340" s="75">
        <f ca="1">IFERROR(__xludf.DUMMYFUNCTION("""COMPUTED_VALUE"""),45867)</f>
        <v>45867</v>
      </c>
      <c r="G340" s="74">
        <f ca="1">IFERROR(__xludf.DUMMYFUNCTION("""COMPUTED_VALUE"""),1500)</f>
        <v>1500</v>
      </c>
      <c r="H340" s="74">
        <f ca="1">IFERROR(__xludf.DUMMYFUNCTION("""COMPUTED_VALUE"""),2100)</f>
        <v>2100</v>
      </c>
      <c r="I340" s="74">
        <f ca="1">IFERROR(__xludf.DUMMYFUNCTION("""COMPUTED_VALUE"""),2200)</f>
        <v>2200</v>
      </c>
    </row>
    <row r="341" spans="2:9" ht="27" customHeight="1">
      <c r="B341" s="73" t="str">
        <f ca="1">IFERROR(__xludf.DUMMYFUNCTION("""COMPUTED_VALUE"""),"Pañale Desechable Adulto")</f>
        <v>Pañale Desechable Adulto</v>
      </c>
      <c r="C341" s="73" t="str">
        <f ca="1">IFERROR(__xludf.DUMMYFUNCTION("""COMPUTED_VALUE"""),"paquete 6")</f>
        <v>paquete 6</v>
      </c>
      <c r="D341" s="73"/>
      <c r="E341" s="73" t="str">
        <f ca="1">IFERROR(__xludf.DUMMYFUNCTION("""COMPUTED_VALUE"""),"SUPER MAS")</f>
        <v>SUPER MAS</v>
      </c>
      <c r="F341" s="73"/>
      <c r="G341" s="74">
        <f ca="1">IFERROR(__xludf.DUMMYFUNCTION("""COMPUTED_VALUE"""),4.86)</f>
        <v>4.8600000000000003</v>
      </c>
      <c r="H341" s="74">
        <f ca="1">IFERROR(__xludf.DUMMYFUNCTION("""COMPUTED_VALUE"""),6.804)</f>
        <v>6.8040000000000003</v>
      </c>
      <c r="I341" s="74">
        <f ca="1">IFERROR(__xludf.DUMMYFUNCTION("""COMPUTED_VALUE"""),10)</f>
        <v>10</v>
      </c>
    </row>
    <row r="342" spans="2:9" ht="27" customHeight="1">
      <c r="B342" s="73" t="str">
        <f ca="1">IFERROR(__xludf.DUMMYFUNCTION("""COMPUTED_VALUE"""),"Pañal Desechable Niño")</f>
        <v>Pañal Desechable Niño</v>
      </c>
      <c r="C342" s="73" t="str">
        <f ca="1">IFERROR(__xludf.DUMMYFUNCTION("""COMPUTED_VALUE"""),"UNIDAD")</f>
        <v>UNIDAD</v>
      </c>
      <c r="D342" s="73"/>
      <c r="E342" s="73" t="str">
        <f ca="1">IFERROR(__xludf.DUMMYFUNCTION("""COMPUTED_VALUE"""),"INNOVA MED")</f>
        <v>INNOVA MED</v>
      </c>
      <c r="F342" s="75">
        <f ca="1">IFERROR(__xludf.DUMMYFUNCTION("""COMPUTED_VALUE"""),45866)</f>
        <v>45866</v>
      </c>
      <c r="G342" s="74">
        <f ca="1">IFERROR(__xludf.DUMMYFUNCTION("""COMPUTED_VALUE"""),2.08)</f>
        <v>2.08</v>
      </c>
      <c r="H342" s="74">
        <f ca="1">IFERROR(__xludf.DUMMYFUNCTION("""COMPUTED_VALUE"""),2.912)</f>
        <v>2.9119999999999999</v>
      </c>
      <c r="I342" s="74">
        <f ca="1">IFERROR(__xludf.DUMMYFUNCTION("""COMPUTED_VALUE"""),5)</f>
        <v>5</v>
      </c>
    </row>
    <row r="343" spans="2:9" ht="27" customHeight="1">
      <c r="B343" s="73" t="str">
        <f ca="1">IFERROR(__xludf.DUMMYFUNCTION("""COMPUTED_VALUE"""),"Sonda Foley No. 12")</f>
        <v>Sonda Foley No. 12</v>
      </c>
      <c r="C343" s="73" t="str">
        <f ca="1">IFERROR(__xludf.DUMMYFUNCTION("""COMPUTED_VALUE"""),"Unidad")</f>
        <v>Unidad</v>
      </c>
      <c r="D343" s="73"/>
      <c r="E343" s="73" t="str">
        <f ca="1">IFERROR(__xludf.DUMMYFUNCTION("""COMPUTED_VALUE"""),"H&amp;L")</f>
        <v>H&amp;L</v>
      </c>
      <c r="F343" s="73"/>
      <c r="G343" s="74">
        <f ca="1">IFERROR(__xludf.DUMMYFUNCTION("""COMPUTED_VALUE"""),3.5)</f>
        <v>3.5</v>
      </c>
      <c r="H343" s="74">
        <f ca="1">IFERROR(__xludf.DUMMYFUNCTION("""COMPUTED_VALUE"""),4.9)</f>
        <v>4.9000000000000004</v>
      </c>
      <c r="I343" s="74">
        <f ca="1">IFERROR(__xludf.DUMMYFUNCTION("""COMPUTED_VALUE"""),20)</f>
        <v>20</v>
      </c>
    </row>
    <row r="344" spans="2:9" ht="27" customHeight="1">
      <c r="B344" s="73" t="str">
        <f ca="1">IFERROR(__xludf.DUMMYFUNCTION("""COMPUTED_VALUE"""),"Sonda Foley 14")</f>
        <v>Sonda Foley 14</v>
      </c>
      <c r="C344" s="73" t="str">
        <f ca="1">IFERROR(__xludf.DUMMYFUNCTION("""COMPUTED_VALUE"""),"Unidad")</f>
        <v>Unidad</v>
      </c>
      <c r="D344" s="73"/>
      <c r="E344" s="73" t="str">
        <f ca="1">IFERROR(__xludf.DUMMYFUNCTION("""COMPUTED_VALUE"""),"H&amp;L")</f>
        <v>H&amp;L</v>
      </c>
      <c r="F344" s="75">
        <f ca="1">IFERROR(__xludf.DUMMYFUNCTION("""COMPUTED_VALUE"""),45987)</f>
        <v>45987</v>
      </c>
      <c r="G344" s="74">
        <f ca="1">IFERROR(__xludf.DUMMYFUNCTION("""COMPUTED_VALUE"""),3.5)</f>
        <v>3.5</v>
      </c>
      <c r="H344" s="74">
        <f ca="1">IFERROR(__xludf.DUMMYFUNCTION("""COMPUTED_VALUE"""),4.9)</f>
        <v>4.9000000000000004</v>
      </c>
      <c r="I344" s="74">
        <f ca="1">IFERROR(__xludf.DUMMYFUNCTION("""COMPUTED_VALUE"""),20)</f>
        <v>20</v>
      </c>
    </row>
    <row r="345" spans="2:9" ht="27" customHeight="1">
      <c r="B345" s="73" t="str">
        <f ca="1">IFERROR(__xludf.DUMMYFUNCTION("""COMPUTED_VALUE"""),"Sonda Foley No. 16")</f>
        <v>Sonda Foley No. 16</v>
      </c>
      <c r="C345" s="73" t="str">
        <f ca="1">IFERROR(__xludf.DUMMYFUNCTION("""COMPUTED_VALUE"""),"Unidad")</f>
        <v>Unidad</v>
      </c>
      <c r="D345" s="73"/>
      <c r="E345" s="73" t="str">
        <f ca="1">IFERROR(__xludf.DUMMYFUNCTION("""COMPUTED_VALUE"""),"H&amp;L")</f>
        <v>H&amp;L</v>
      </c>
      <c r="F345" s="75">
        <f ca="1">IFERROR(__xludf.DUMMYFUNCTION("""COMPUTED_VALUE"""),45834)</f>
        <v>45834</v>
      </c>
      <c r="G345" s="74">
        <f ca="1">IFERROR(__xludf.DUMMYFUNCTION("""COMPUTED_VALUE"""),7)</f>
        <v>7</v>
      </c>
      <c r="H345" s="74">
        <f ca="1">IFERROR(__xludf.DUMMYFUNCTION("""COMPUTED_VALUE"""),9.8)</f>
        <v>9.8000000000000007</v>
      </c>
      <c r="I345" s="74">
        <f ca="1">IFERROR(__xludf.DUMMYFUNCTION("""COMPUTED_VALUE"""),20)</f>
        <v>20</v>
      </c>
    </row>
    <row r="346" spans="2:9" ht="27" customHeight="1">
      <c r="B346" s="73" t="str">
        <f ca="1">IFERROR(__xludf.DUMMYFUNCTION("""COMPUTED_VALUE"""),"Sonda Foley 18")</f>
        <v>Sonda Foley 18</v>
      </c>
      <c r="C346" s="73" t="str">
        <f ca="1">IFERROR(__xludf.DUMMYFUNCTION("""COMPUTED_VALUE"""),"Unidad")</f>
        <v>Unidad</v>
      </c>
      <c r="D346" s="73"/>
      <c r="E346" s="73" t="str">
        <f ca="1">IFERROR(__xludf.DUMMYFUNCTION("""COMPUTED_VALUE"""),"H&amp;L")</f>
        <v>H&amp;L</v>
      </c>
      <c r="F346" s="75">
        <f ca="1">IFERROR(__xludf.DUMMYFUNCTION("""COMPUTED_VALUE"""),45927)</f>
        <v>45927</v>
      </c>
      <c r="G346" s="74">
        <f ca="1">IFERROR(__xludf.DUMMYFUNCTION("""COMPUTED_VALUE"""),3.5)</f>
        <v>3.5</v>
      </c>
      <c r="H346" s="74">
        <f ca="1">IFERROR(__xludf.DUMMYFUNCTION("""COMPUTED_VALUE"""),4.9)</f>
        <v>4.9000000000000004</v>
      </c>
      <c r="I346" s="74">
        <f ca="1">IFERROR(__xludf.DUMMYFUNCTION("""COMPUTED_VALUE"""),20)</f>
        <v>20</v>
      </c>
    </row>
    <row r="347" spans="2:9" ht="27" customHeight="1">
      <c r="B347" s="73" t="str">
        <f ca="1">IFERROR(__xludf.DUMMYFUNCTION("""COMPUTED_VALUE"""),"Sonda Foley 16 3 vias")</f>
        <v>Sonda Foley 16 3 vias</v>
      </c>
      <c r="C347" s="73" t="str">
        <f ca="1">IFERROR(__xludf.DUMMYFUNCTION("""COMPUTED_VALUE"""),"Unidad")</f>
        <v>Unidad</v>
      </c>
      <c r="D347" s="73"/>
      <c r="E347" s="73" t="str">
        <f ca="1">IFERROR(__xludf.DUMMYFUNCTION("""COMPUTED_VALUE"""),"H&amp;L")</f>
        <v>H&amp;L</v>
      </c>
      <c r="F347" s="75">
        <f ca="1">IFERROR(__xludf.DUMMYFUNCTION("""COMPUTED_VALUE"""),45864)</f>
        <v>45864</v>
      </c>
      <c r="G347" s="74">
        <f ca="1">IFERROR(__xludf.DUMMYFUNCTION("""COMPUTED_VALUE"""),3.5)</f>
        <v>3.5</v>
      </c>
      <c r="H347" s="74">
        <f ca="1">IFERROR(__xludf.DUMMYFUNCTION("""COMPUTED_VALUE"""),4.9)</f>
        <v>4.9000000000000004</v>
      </c>
      <c r="I347" s="74">
        <f ca="1">IFERROR(__xludf.DUMMYFUNCTION("""COMPUTED_VALUE"""),20)</f>
        <v>20</v>
      </c>
    </row>
    <row r="348" spans="2:9" ht="27" customHeight="1">
      <c r="B348" s="73" t="str">
        <f ca="1">IFERROR(__xludf.DUMMYFUNCTION("""COMPUTED_VALUE"""),"Sonda Foley 18 3 vias")</f>
        <v>Sonda Foley 18 3 vias</v>
      </c>
      <c r="C348" s="73" t="str">
        <f ca="1">IFERROR(__xludf.DUMMYFUNCTION("""COMPUTED_VALUE"""),"Unidad")</f>
        <v>Unidad</v>
      </c>
      <c r="D348" s="73"/>
      <c r="E348" s="73" t="str">
        <f ca="1">IFERROR(__xludf.DUMMYFUNCTION("""COMPUTED_VALUE"""),"H&amp;L")</f>
        <v>H&amp;L</v>
      </c>
      <c r="F348" s="75">
        <f ca="1">IFERROR(__xludf.DUMMYFUNCTION("""COMPUTED_VALUE"""),45864)</f>
        <v>45864</v>
      </c>
      <c r="G348" s="74">
        <f ca="1">IFERROR(__xludf.DUMMYFUNCTION("""COMPUTED_VALUE"""),2.5)</f>
        <v>2.5</v>
      </c>
      <c r="H348" s="74">
        <f ca="1">IFERROR(__xludf.DUMMYFUNCTION("""COMPUTED_VALUE"""),3.5)</f>
        <v>3.5</v>
      </c>
      <c r="I348" s="74">
        <f ca="1">IFERROR(__xludf.DUMMYFUNCTION("""COMPUTED_VALUE"""),20)</f>
        <v>20</v>
      </c>
    </row>
    <row r="349" spans="2:9" ht="27" customHeight="1">
      <c r="B349" s="73" t="str">
        <f ca="1">IFERROR(__xludf.DUMMYFUNCTION("""COMPUTED_VALUE"""),"Sonda Foley 20 3 vias")</f>
        <v>Sonda Foley 20 3 vias</v>
      </c>
      <c r="C349" s="73" t="str">
        <f ca="1">IFERROR(__xludf.DUMMYFUNCTION("""COMPUTED_VALUE"""),"Unidad")</f>
        <v>Unidad</v>
      </c>
      <c r="D349" s="73"/>
      <c r="E349" s="73" t="str">
        <f ca="1">IFERROR(__xludf.DUMMYFUNCTION("""COMPUTED_VALUE"""),"H&amp;L")</f>
        <v>H&amp;L</v>
      </c>
      <c r="F349" s="75">
        <f ca="1">IFERROR(__xludf.DUMMYFUNCTION("""COMPUTED_VALUE"""),45803)</f>
        <v>45803</v>
      </c>
      <c r="G349" s="74">
        <f ca="1">IFERROR(__xludf.DUMMYFUNCTION("""COMPUTED_VALUE"""),8)</f>
        <v>8</v>
      </c>
      <c r="H349" s="74">
        <f ca="1">IFERROR(__xludf.DUMMYFUNCTION("""COMPUTED_VALUE"""),11.2)</f>
        <v>11.2</v>
      </c>
      <c r="I349" s="74">
        <f ca="1">IFERROR(__xludf.DUMMYFUNCTION("""COMPUTED_VALUE"""),20)</f>
        <v>20</v>
      </c>
    </row>
    <row r="350" spans="2:9" ht="27" customHeight="1">
      <c r="B350" s="73" t="str">
        <f ca="1">IFERROR(__xludf.DUMMYFUNCTION("""COMPUTED_VALUE"""),"Sonda Foley 22 3 vias")</f>
        <v>Sonda Foley 22 3 vias</v>
      </c>
      <c r="C350" s="73" t="str">
        <f ca="1">IFERROR(__xludf.DUMMYFUNCTION("""COMPUTED_VALUE"""),"Unidad")</f>
        <v>Unidad</v>
      </c>
      <c r="D350" s="73"/>
      <c r="E350" s="73" t="str">
        <f ca="1">IFERROR(__xludf.DUMMYFUNCTION("""COMPUTED_VALUE"""),"H&amp;L")</f>
        <v>H&amp;L</v>
      </c>
      <c r="F350" s="75">
        <f ca="1">IFERROR(__xludf.DUMMYFUNCTION("""COMPUTED_VALUE"""),46018)</f>
        <v>46018</v>
      </c>
      <c r="G350" s="74">
        <f ca="1">IFERROR(__xludf.DUMMYFUNCTION("""COMPUTED_VALUE"""),8)</f>
        <v>8</v>
      </c>
      <c r="H350" s="74">
        <f ca="1">IFERROR(__xludf.DUMMYFUNCTION("""COMPUTED_VALUE"""),11.2)</f>
        <v>11.2</v>
      </c>
      <c r="I350" s="74">
        <f ca="1">IFERROR(__xludf.DUMMYFUNCTION("""COMPUTED_VALUE"""),20)</f>
        <v>20</v>
      </c>
    </row>
    <row r="351" spans="2:9" ht="27" customHeight="1">
      <c r="B351" s="73" t="str">
        <f ca="1">IFERROR(__xludf.DUMMYFUNCTION("""COMPUTED_VALUE"""),"SONDA DE ALIMENTACIÓN #10")</f>
        <v>SONDA DE ALIMENTACIÓN #10</v>
      </c>
      <c r="C351" s="73" t="str">
        <f ca="1">IFERROR(__xludf.DUMMYFUNCTION("""COMPUTED_VALUE"""),"UNIDAD")</f>
        <v>UNIDAD</v>
      </c>
      <c r="D351" s="73"/>
      <c r="E351" s="73" t="str">
        <f ca="1">IFERROR(__xludf.DUMMYFUNCTION("""COMPUTED_VALUE"""),"H&amp;L")</f>
        <v>H&amp;L</v>
      </c>
      <c r="F351" s="75">
        <f ca="1">IFERROR(__xludf.DUMMYFUNCTION("""COMPUTED_VALUE"""),45774)</f>
        <v>45774</v>
      </c>
      <c r="G351" s="74">
        <f ca="1">IFERROR(__xludf.DUMMYFUNCTION("""COMPUTED_VALUE"""),46722)</f>
        <v>46722</v>
      </c>
      <c r="H351" s="74">
        <f ca="1">IFERROR(__xludf.DUMMYFUNCTION("""COMPUTED_VALUE"""),65410.8)</f>
        <v>65410.8</v>
      </c>
      <c r="I351" s="74">
        <f ca="1">IFERROR(__xludf.DUMMYFUNCTION("""COMPUTED_VALUE"""),25)</f>
        <v>25</v>
      </c>
    </row>
    <row r="352" spans="2:9" ht="27" customHeight="1">
      <c r="B352" s="73" t="str">
        <f ca="1">IFERROR(__xludf.DUMMYFUNCTION("""COMPUTED_VALUE"""),"SONDA DE ALIMENTACIÓN #5")</f>
        <v>SONDA DE ALIMENTACIÓN #5</v>
      </c>
      <c r="C352" s="73" t="str">
        <f ca="1">IFERROR(__xludf.DUMMYFUNCTION("""COMPUTED_VALUE"""),"UNIDAD")</f>
        <v>UNIDAD</v>
      </c>
      <c r="D352" s="73"/>
      <c r="E352" s="73" t="str">
        <f ca="1">IFERROR(__xludf.DUMMYFUNCTION("""COMPUTED_VALUE"""),"H&amp;L")</f>
        <v>H&amp;L</v>
      </c>
      <c r="F352" s="73" t="str">
        <f ca="1">IFERROR(__xludf.DUMMYFUNCTION("""COMPUTED_VALUE"""),"INSUMEDIC GT")</f>
        <v>INSUMEDIC GT</v>
      </c>
      <c r="G352" s="74">
        <f ca="1">IFERROR(__xludf.DUMMYFUNCTION("""COMPUTED_VALUE"""),47119)</f>
        <v>47119</v>
      </c>
      <c r="H352" s="74">
        <f ca="1">IFERROR(__xludf.DUMMYFUNCTION("""COMPUTED_VALUE"""),65966.6)</f>
        <v>65966.600000000006</v>
      </c>
      <c r="I352" s="74">
        <f ca="1">IFERROR(__xludf.DUMMYFUNCTION("""COMPUTED_VALUE"""),25)</f>
        <v>25</v>
      </c>
    </row>
    <row r="353" spans="2:9" ht="27" customHeight="1">
      <c r="B353" s="73" t="str">
        <f ca="1">IFERROR(__xludf.DUMMYFUNCTION("""COMPUTED_VALUE"""),"SONDA DE ALIMENTACIÓN #8")</f>
        <v>SONDA DE ALIMENTACIÓN #8</v>
      </c>
      <c r="C353" s="73" t="str">
        <f ca="1">IFERROR(__xludf.DUMMYFUNCTION("""COMPUTED_VALUE"""),"UNIDAD")</f>
        <v>UNIDAD</v>
      </c>
      <c r="D353" s="73"/>
      <c r="E353" s="73" t="str">
        <f ca="1">IFERROR(__xludf.DUMMYFUNCTION("""COMPUTED_VALUE"""),"H&amp;L")</f>
        <v>H&amp;L</v>
      </c>
      <c r="F353" s="73" t="str">
        <f ca="1">IFERROR(__xludf.DUMMYFUNCTION("""COMPUTED_VALUE"""),"INSUMEDIC GT")</f>
        <v>INSUMEDIC GT</v>
      </c>
      <c r="G353" s="74">
        <f ca="1">IFERROR(__xludf.DUMMYFUNCTION("""COMPUTED_VALUE"""),47119)</f>
        <v>47119</v>
      </c>
      <c r="H353" s="74">
        <f ca="1">IFERROR(__xludf.DUMMYFUNCTION("""COMPUTED_VALUE"""),65966.6)</f>
        <v>65966.600000000006</v>
      </c>
      <c r="I353" s="74">
        <f ca="1">IFERROR(__xludf.DUMMYFUNCTION("""COMPUTED_VALUE"""),25)</f>
        <v>25</v>
      </c>
    </row>
    <row r="354" spans="2:9" ht="27" customHeight="1">
      <c r="B354" s="73" t="str">
        <f ca="1">IFERROR(__xludf.DUMMYFUNCTION("""COMPUTED_VALUE"""),"SONDA DE SUCCIÓN #14")</f>
        <v>SONDA DE SUCCIÓN #14</v>
      </c>
      <c r="C354" s="73" t="str">
        <f ca="1">IFERROR(__xludf.DUMMYFUNCTION("""COMPUTED_VALUE"""),"UNIDAD")</f>
        <v>UNIDAD</v>
      </c>
      <c r="D354" s="73"/>
      <c r="E354" s="73" t="str">
        <f ca="1">IFERROR(__xludf.DUMMYFUNCTION("""COMPUTED_VALUE"""),"H&amp;L")</f>
        <v>H&amp;L</v>
      </c>
      <c r="F354" s="73" t="str">
        <f ca="1">IFERROR(__xludf.DUMMYFUNCTION("""COMPUTED_VALUE"""),"INSUMEDIC GT")</f>
        <v>INSUMEDIC GT</v>
      </c>
      <c r="G354" s="74">
        <f ca="1">IFERROR(__xludf.DUMMYFUNCTION("""COMPUTED_VALUE"""),46327)</f>
        <v>46327</v>
      </c>
      <c r="H354" s="74">
        <f ca="1">IFERROR(__xludf.DUMMYFUNCTION("""COMPUTED_VALUE"""),64857.8)</f>
        <v>64857.8</v>
      </c>
      <c r="I354" s="74">
        <f ca="1">IFERROR(__xludf.DUMMYFUNCTION("""COMPUTED_VALUE"""),25)</f>
        <v>25</v>
      </c>
    </row>
    <row r="355" spans="2:9" ht="27" customHeight="1">
      <c r="B355" s="73" t="str">
        <f ca="1">IFERROR(__xludf.DUMMYFUNCTION("""COMPUTED_VALUE"""),"SONDA DE SUCCIÓN #18")</f>
        <v>SONDA DE SUCCIÓN #18</v>
      </c>
      <c r="C355" s="73" t="str">
        <f ca="1">IFERROR(__xludf.DUMMYFUNCTION("""COMPUTED_VALUE"""),"UNIDAD")</f>
        <v>UNIDAD</v>
      </c>
      <c r="D355" s="73"/>
      <c r="E355" s="73" t="str">
        <f ca="1">IFERROR(__xludf.DUMMYFUNCTION("""COMPUTED_VALUE"""),"H&amp;L")</f>
        <v>H&amp;L</v>
      </c>
      <c r="F355" s="73" t="str">
        <f ca="1">IFERROR(__xludf.DUMMYFUNCTION("""COMPUTED_VALUE"""),"INSUMEDIC GT")</f>
        <v>INSUMEDIC GT</v>
      </c>
      <c r="G355" s="74">
        <f ca="1">IFERROR(__xludf.DUMMYFUNCTION("""COMPUTED_VALUE"""),46204)</f>
        <v>46204</v>
      </c>
      <c r="H355" s="74">
        <f ca="1">IFERROR(__xludf.DUMMYFUNCTION("""COMPUTED_VALUE"""),64685.6)</f>
        <v>64685.599999999999</v>
      </c>
      <c r="I355" s="74">
        <f ca="1">IFERROR(__xludf.DUMMYFUNCTION("""COMPUTED_VALUE"""),25)</f>
        <v>25</v>
      </c>
    </row>
    <row r="356" spans="2:9" ht="27" customHeight="1">
      <c r="B356" s="73" t="str">
        <f ca="1">IFERROR(__xludf.DUMMYFUNCTION("""COMPUTED_VALUE"""),"SONDA DE SUCCIÓN #6")</f>
        <v>SONDA DE SUCCIÓN #6</v>
      </c>
      <c r="C356" s="73" t="str">
        <f ca="1">IFERROR(__xludf.DUMMYFUNCTION("""COMPUTED_VALUE"""),"UNIDAD")</f>
        <v>UNIDAD</v>
      </c>
      <c r="D356" s="73"/>
      <c r="E356" s="73" t="str">
        <f ca="1">IFERROR(__xludf.DUMMYFUNCTION("""COMPUTED_VALUE"""),"H&amp;L")</f>
        <v>H&amp;L</v>
      </c>
      <c r="F356" s="73" t="str">
        <f ca="1">IFERROR(__xludf.DUMMYFUNCTION("""COMPUTED_VALUE"""),"INSUMEDIC GT")</f>
        <v>INSUMEDIC GT</v>
      </c>
      <c r="G356" s="74">
        <f ca="1">IFERROR(__xludf.DUMMYFUNCTION("""COMPUTED_VALUE"""),46539)</f>
        <v>46539</v>
      </c>
      <c r="H356" s="74">
        <f ca="1">IFERROR(__xludf.DUMMYFUNCTION("""COMPUTED_VALUE"""),65154.6)</f>
        <v>65154.6</v>
      </c>
      <c r="I356" s="74">
        <f ca="1">IFERROR(__xludf.DUMMYFUNCTION("""COMPUTED_VALUE"""),25)</f>
        <v>25</v>
      </c>
    </row>
    <row r="357" spans="2:9" ht="27" customHeight="1">
      <c r="B357" s="73" t="str">
        <f ca="1">IFERROR(__xludf.DUMMYFUNCTION("""COMPUTED_VALUE"""),"Sellos de heparina")</f>
        <v>Sellos de heparina</v>
      </c>
      <c r="C357" s="73" t="str">
        <f ca="1">IFERROR(__xludf.DUMMYFUNCTION("""COMPUTED_VALUE"""),"caja 100 u,.")</f>
        <v>caja 100 u,.</v>
      </c>
      <c r="D357" s="73"/>
      <c r="E357" s="73" t="str">
        <f ca="1">IFERROR(__xludf.DUMMYFUNCTION("""COMPUTED_VALUE"""),"H&amp;L")</f>
        <v>H&amp;L</v>
      </c>
      <c r="F357" s="73" t="str">
        <f ca="1">IFERROR(__xludf.DUMMYFUNCTION("""COMPUTED_VALUE"""),"INSUMEDIC GT")</f>
        <v>INSUMEDIC GT</v>
      </c>
      <c r="G357" s="74">
        <f ca="1">IFERROR(__xludf.DUMMYFUNCTION("""COMPUTED_VALUE"""),1)</f>
        <v>1</v>
      </c>
      <c r="H357" s="74">
        <f ca="1">IFERROR(__xludf.DUMMYFUNCTION("""COMPUTED_VALUE"""),1.4)</f>
        <v>1.4</v>
      </c>
      <c r="I357" s="74">
        <f ca="1">IFERROR(__xludf.DUMMYFUNCTION("""COMPUTED_VALUE"""),5)</f>
        <v>5</v>
      </c>
    </row>
    <row r="358" spans="2:9" ht="27" customHeight="1">
      <c r="B358" s="73" t="str">
        <f ca="1">IFERROR(__xludf.DUMMYFUNCTION("""COMPUTED_VALUE"""),"Tiras para Glucómetro")</f>
        <v>Tiras para Glucómetro</v>
      </c>
      <c r="C358" s="73" t="str">
        <f ca="1">IFERROR(__xludf.DUMMYFUNCTION("""COMPUTED_VALUE"""),"caja 50 tiras")</f>
        <v>caja 50 tiras</v>
      </c>
      <c r="D358" s="73"/>
      <c r="E358" s="73" t="str">
        <f ca="1">IFERROR(__xludf.DUMMYFUNCTION("""COMPUTED_VALUE"""),"H&amp;L")</f>
        <v>H&amp;L</v>
      </c>
      <c r="F358" s="75">
        <f ca="1">IFERROR(__xludf.DUMMYFUNCTION("""COMPUTED_VALUE"""),45803)</f>
        <v>45803</v>
      </c>
      <c r="G358" s="74">
        <f ca="1">IFERROR(__xludf.DUMMYFUNCTION("""COMPUTED_VALUE"""),110)</f>
        <v>110</v>
      </c>
      <c r="H358" s="74">
        <f ca="1">IFERROR(__xludf.DUMMYFUNCTION("""COMPUTED_VALUE"""),154)</f>
        <v>154</v>
      </c>
      <c r="I358" s="74">
        <f ca="1">IFERROR(__xludf.DUMMYFUNCTION("""COMPUTED_VALUE"""),155)</f>
        <v>155</v>
      </c>
    </row>
    <row r="359" spans="2:9" ht="27" customHeight="1">
      <c r="B359" s="73" t="str">
        <f ca="1">IFERROR(__xludf.DUMMYFUNCTION("""COMPUTED_VALUE"""),"Termòmetros Orales")</f>
        <v>Termòmetros Orales</v>
      </c>
      <c r="C359" s="73" t="str">
        <f ca="1">IFERROR(__xludf.DUMMYFUNCTION("""COMPUTED_VALUE"""),"Unidad")</f>
        <v>Unidad</v>
      </c>
      <c r="D359" s="73"/>
      <c r="E359" s="73" t="str">
        <f ca="1">IFERROR(__xludf.DUMMYFUNCTION("""COMPUTED_VALUE"""),"H&amp;L")</f>
        <v>H&amp;L</v>
      </c>
      <c r="F359" s="75">
        <f ca="1">IFERROR(__xludf.DUMMYFUNCTION("""COMPUTED_VALUE"""),45926)</f>
        <v>45926</v>
      </c>
      <c r="G359" s="74">
        <f ca="1">IFERROR(__xludf.DUMMYFUNCTION("""COMPUTED_VALUE"""),70)</f>
        <v>70</v>
      </c>
      <c r="H359" s="74">
        <f ca="1">IFERROR(__xludf.DUMMYFUNCTION("""COMPUTED_VALUE"""),98)</f>
        <v>98</v>
      </c>
      <c r="I359" s="74">
        <f ca="1">IFERROR(__xludf.DUMMYFUNCTION("""COMPUTED_VALUE"""),100)</f>
        <v>100</v>
      </c>
    </row>
    <row r="360" spans="2:9" ht="27" customHeight="1">
      <c r="B360" s="73" t="str">
        <f ca="1">IFERROR(__xludf.DUMMYFUNCTION("""COMPUTED_VALUE"""),"TUBO DE ASPIRACIÓN")</f>
        <v>TUBO DE ASPIRACIÓN</v>
      </c>
      <c r="C360" s="73" t="str">
        <f ca="1">IFERROR(__xludf.DUMMYFUNCTION("""COMPUTED_VALUE"""),"UNIDAD")</f>
        <v>UNIDAD</v>
      </c>
      <c r="D360" s="73"/>
      <c r="E360" s="73" t="str">
        <f ca="1">IFERROR(__xludf.DUMMYFUNCTION("""COMPUTED_VALUE"""),"INSUMEDIC GT")</f>
        <v>INSUMEDIC GT</v>
      </c>
      <c r="F360" s="75">
        <f ca="1">IFERROR(__xludf.DUMMYFUNCTION("""COMPUTED_VALUE"""),45864)</f>
        <v>45864</v>
      </c>
      <c r="G360" s="74">
        <f ca="1">IFERROR(__xludf.DUMMYFUNCTION("""COMPUTED_VALUE"""),35)</f>
        <v>35</v>
      </c>
      <c r="H360" s="74">
        <f ca="1">IFERROR(__xludf.DUMMYFUNCTION("""COMPUTED_VALUE"""),49)</f>
        <v>49</v>
      </c>
      <c r="I360" s="74">
        <f ca="1">IFERROR(__xludf.DUMMYFUNCTION("""COMPUTED_VALUE"""),50)</f>
        <v>50</v>
      </c>
    </row>
    <row r="361" spans="2:9" ht="27" customHeight="1">
      <c r="B361" s="73" t="str">
        <f ca="1">IFERROR(__xludf.DUMMYFUNCTION("""COMPUTED_VALUE"""),"Tubo de Penros de 1/2")</f>
        <v>Tubo de Penros de 1/2</v>
      </c>
      <c r="C361" s="73" t="str">
        <f ca="1">IFERROR(__xludf.DUMMYFUNCTION("""COMPUTED_VALUE"""),"Unidad")</f>
        <v>Unidad</v>
      </c>
      <c r="D361" s="73"/>
      <c r="E361" s="73" t="str">
        <f ca="1">IFERROR(__xludf.DUMMYFUNCTION("""COMPUTED_VALUE"""),"H&amp;L")</f>
        <v>H&amp;L</v>
      </c>
      <c r="F361" s="75">
        <f ca="1">IFERROR(__xludf.DUMMYFUNCTION("""COMPUTED_VALUE"""),45775)</f>
        <v>45775</v>
      </c>
      <c r="G361" s="74">
        <f ca="1">IFERROR(__xludf.DUMMYFUNCTION("""COMPUTED_VALUE"""),65)</f>
        <v>65</v>
      </c>
      <c r="H361" s="74">
        <f ca="1">IFERROR(__xludf.DUMMYFUNCTION("""COMPUTED_VALUE"""),91)</f>
        <v>91</v>
      </c>
      <c r="I361" s="74">
        <f ca="1">IFERROR(__xludf.DUMMYFUNCTION("""COMPUTED_VALUE"""),109.76)</f>
        <v>109.76</v>
      </c>
    </row>
    <row r="362" spans="2:9" ht="27" customHeight="1">
      <c r="B362" s="73" t="str">
        <f ca="1">IFERROR(__xludf.DUMMYFUNCTION("""COMPUTED_VALUE"""),"Tubo de Penros de 1 Pulg.")</f>
        <v>Tubo de Penros de 1 Pulg.</v>
      </c>
      <c r="C362" s="73" t="str">
        <f ca="1">IFERROR(__xludf.DUMMYFUNCTION("""COMPUTED_VALUE"""),"fco.")</f>
        <v>fco.</v>
      </c>
      <c r="D362" s="73"/>
      <c r="E362" s="73" t="str">
        <f ca="1">IFERROR(__xludf.DUMMYFUNCTION("""COMPUTED_VALUE"""),"H&amp;L")</f>
        <v>H&amp;L</v>
      </c>
      <c r="F362" s="75">
        <f ca="1">IFERROR(__xludf.DUMMYFUNCTION("""COMPUTED_VALUE"""),45742)</f>
        <v>45742</v>
      </c>
      <c r="G362" s="74">
        <f ca="1">IFERROR(__xludf.DUMMYFUNCTION("""COMPUTED_VALUE"""),275.06)</f>
        <v>275.06</v>
      </c>
      <c r="H362" s="74">
        <f ca="1">IFERROR(__xludf.DUMMYFUNCTION("""COMPUTED_VALUE"""),385.084)</f>
        <v>385.084</v>
      </c>
      <c r="I362" s="74">
        <f ca="1">IFERROR(__xludf.DUMMYFUNCTION("""COMPUTED_VALUE"""),109.94)</f>
        <v>109.94</v>
      </c>
    </row>
    <row r="363" spans="2:9" ht="27" customHeight="1">
      <c r="B363" s="73" t="str">
        <f ca="1">IFERROR(__xludf.DUMMYFUNCTION("""COMPUTED_VALUE"""),"Vaselina solida")</f>
        <v>Vaselina solida</v>
      </c>
      <c r="C363" s="73" t="str">
        <f ca="1">IFERROR(__xludf.DUMMYFUNCTION("""COMPUTED_VALUE"""),"Unidad")</f>
        <v>Unidad</v>
      </c>
      <c r="D363" s="73"/>
      <c r="E363" s="73" t="str">
        <f ca="1">IFERROR(__xludf.DUMMYFUNCTION("""COMPUTED_VALUE"""),"H&amp;L")</f>
        <v>H&amp;L</v>
      </c>
      <c r="F363" s="75">
        <f ca="1">IFERROR(__xludf.DUMMYFUNCTION("""COMPUTED_VALUE"""),45988)</f>
        <v>45988</v>
      </c>
      <c r="G363" s="74">
        <f ca="1">IFERROR(__xludf.DUMMYFUNCTION("""COMPUTED_VALUE"""),128.58)</f>
        <v>128.58000000000001</v>
      </c>
      <c r="H363" s="74">
        <f ca="1">IFERROR(__xludf.DUMMYFUNCTION("""COMPUTED_VALUE"""),180.012)</f>
        <v>180.012</v>
      </c>
      <c r="I363" s="74">
        <f ca="1">IFERROR(__xludf.DUMMYFUNCTION("""COMPUTED_VALUE"""),94.7)</f>
        <v>94.7</v>
      </c>
    </row>
    <row r="364" spans="2:9" ht="27" customHeight="1">
      <c r="B364" s="73" t="str">
        <f ca="1">IFERROR(__xludf.DUMMYFUNCTION("""COMPUTED_VALUE"""),"Venda de gaza 4 pulg.")</f>
        <v>Venda de gaza 4 pulg.</v>
      </c>
      <c r="C364" s="73" t="str">
        <f ca="1">IFERROR(__xludf.DUMMYFUNCTION("""COMPUTED_VALUE"""),"Unidad")</f>
        <v>Unidad</v>
      </c>
      <c r="D364" s="73"/>
      <c r="E364" s="73" t="str">
        <f ca="1">IFERROR(__xludf.DUMMYFUNCTION("""COMPUTED_VALUE"""),"H&amp;L")</f>
        <v>H&amp;L</v>
      </c>
      <c r="F364" s="75">
        <f ca="1">IFERROR(__xludf.DUMMYFUNCTION("""COMPUTED_VALUE"""),45956)</f>
        <v>45956</v>
      </c>
      <c r="G364" s="74">
        <f ca="1">IFERROR(__xludf.DUMMYFUNCTION("""COMPUTED_VALUE"""),15.75)</f>
        <v>15.75</v>
      </c>
      <c r="H364" s="74">
        <f ca="1">IFERROR(__xludf.DUMMYFUNCTION("""COMPUTED_VALUE"""),22.05)</f>
        <v>22.05</v>
      </c>
      <c r="I364" s="74">
        <f ca="1">IFERROR(__xludf.DUMMYFUNCTION("""COMPUTED_VALUE"""),25)</f>
        <v>25</v>
      </c>
    </row>
    <row r="365" spans="2:9" ht="27" customHeight="1">
      <c r="B365" s="73" t="str">
        <f ca="1">IFERROR(__xludf.DUMMYFUNCTION("""COMPUTED_VALUE"""),"Venda de guata 4 Pulg.")</f>
        <v>Venda de guata 4 Pulg.</v>
      </c>
      <c r="C365" s="73" t="str">
        <f ca="1">IFERROR(__xludf.DUMMYFUNCTION("""COMPUTED_VALUE"""),"Unidad")</f>
        <v>Unidad</v>
      </c>
      <c r="D365" s="73"/>
      <c r="E365" s="73" t="str">
        <f ca="1">IFERROR(__xludf.DUMMYFUNCTION("""COMPUTED_VALUE"""),"H&amp;L")</f>
        <v>H&amp;L</v>
      </c>
      <c r="F365" s="75">
        <f ca="1">IFERROR(__xludf.DUMMYFUNCTION("""COMPUTED_VALUE"""),45773)</f>
        <v>45773</v>
      </c>
      <c r="G365" s="74">
        <f ca="1">IFERROR(__xludf.DUMMYFUNCTION("""COMPUTED_VALUE"""),15)</f>
        <v>15</v>
      </c>
      <c r="H365" s="74">
        <f ca="1">IFERROR(__xludf.DUMMYFUNCTION("""COMPUTED_VALUE"""),21)</f>
        <v>21</v>
      </c>
      <c r="I365" s="74">
        <f ca="1">IFERROR(__xludf.DUMMYFUNCTION("""COMPUTED_VALUE"""),242.03)</f>
        <v>242.03</v>
      </c>
    </row>
    <row r="366" spans="2:9" ht="27" customHeight="1">
      <c r="B366" s="73" t="str">
        <f ca="1">IFERROR(__xludf.DUMMYFUNCTION("""COMPUTED_VALUE"""),"Venda de yeso 4 pulg.")</f>
        <v>Venda de yeso 4 pulg.</v>
      </c>
      <c r="C366" s="73" t="str">
        <f ca="1">IFERROR(__xludf.DUMMYFUNCTION("""COMPUTED_VALUE"""),"Unidad")</f>
        <v>Unidad</v>
      </c>
      <c r="D366" s="73"/>
      <c r="E366" s="73" t="str">
        <f ca="1">IFERROR(__xludf.DUMMYFUNCTION("""COMPUTED_VALUE"""),"H&amp;L")</f>
        <v>H&amp;L</v>
      </c>
      <c r="F366" s="75">
        <f ca="1">IFERROR(__xludf.DUMMYFUNCTION("""COMPUTED_VALUE"""),45683)</f>
        <v>45683</v>
      </c>
      <c r="G366" s="74">
        <f ca="1">IFERROR(__xludf.DUMMYFUNCTION("""COMPUTED_VALUE"""),52.5)</f>
        <v>52.5</v>
      </c>
      <c r="H366" s="74">
        <f ca="1">IFERROR(__xludf.DUMMYFUNCTION("""COMPUTED_VALUE"""),73.5)</f>
        <v>73.5</v>
      </c>
      <c r="I366" s="74">
        <f ca="1">IFERROR(__xludf.DUMMYFUNCTION("""COMPUTED_VALUE"""),159.66)</f>
        <v>159.66</v>
      </c>
    </row>
    <row r="367" spans="2:9" ht="27" customHeight="1">
      <c r="B367" s="73" t="str">
        <f ca="1">IFERROR(__xludf.DUMMYFUNCTION("""COMPUTED_VALUE"""),"Venda de yeso 6 pulg.")</f>
        <v>Venda de yeso 6 pulg.</v>
      </c>
      <c r="C367" s="73" t="str">
        <f ca="1">IFERROR(__xludf.DUMMYFUNCTION("""COMPUTED_VALUE"""),"Unidad")</f>
        <v>Unidad</v>
      </c>
      <c r="D367" s="73"/>
      <c r="E367" s="73" t="str">
        <f ca="1">IFERROR(__xludf.DUMMYFUNCTION("""COMPUTED_VALUE"""),"H&amp;L")</f>
        <v>H&amp;L</v>
      </c>
      <c r="F367" s="75">
        <f ca="1">IFERROR(__xludf.DUMMYFUNCTION("""COMPUTED_VALUE"""),45686)</f>
        <v>45686</v>
      </c>
      <c r="G367" s="74">
        <f ca="1">IFERROR(__xludf.DUMMYFUNCTION("""COMPUTED_VALUE"""),75)</f>
        <v>75</v>
      </c>
      <c r="H367" s="74">
        <f ca="1">IFERROR(__xludf.DUMMYFUNCTION("""COMPUTED_VALUE"""),105)</f>
        <v>105</v>
      </c>
      <c r="I367" s="74">
        <f ca="1">IFERROR(__xludf.DUMMYFUNCTION("""COMPUTED_VALUE"""),110.11)</f>
        <v>110.11</v>
      </c>
    </row>
    <row r="368" spans="2:9" ht="27" customHeight="1">
      <c r="B368" s="73" t="str">
        <f ca="1">IFERROR(__xludf.DUMMYFUNCTION("""COMPUTED_VALUE"""),"Venda Elastica 4 Pulg. Don.")</f>
        <v>Venda Elastica 4 Pulg. Don.</v>
      </c>
      <c r="C368" s="73" t="str">
        <f ca="1">IFERROR(__xludf.DUMMYFUNCTION("""COMPUTED_VALUE"""),"Unidad")</f>
        <v>Unidad</v>
      </c>
      <c r="D368" s="73"/>
      <c r="E368" s="73" t="str">
        <f ca="1">IFERROR(__xludf.DUMMYFUNCTION("""COMPUTED_VALUE"""),"H&amp;L")</f>
        <v>H&amp;L</v>
      </c>
      <c r="F368" s="75">
        <f ca="1">IFERROR(__xludf.DUMMYFUNCTION("""COMPUTED_VALUE"""),45835)</f>
        <v>45835</v>
      </c>
      <c r="G368" s="74">
        <f ca="1">IFERROR(__xludf.DUMMYFUNCTION("""COMPUTED_VALUE"""),86.5)</f>
        <v>86.5</v>
      </c>
      <c r="H368" s="74">
        <f ca="1">IFERROR(__xludf.DUMMYFUNCTION("""COMPUTED_VALUE"""),121.1)</f>
        <v>121.1</v>
      </c>
      <c r="I368" s="74">
        <f ca="1">IFERROR(__xludf.DUMMYFUNCTION("""COMPUTED_VALUE"""),271.4)</f>
        <v>271.39999999999998</v>
      </c>
    </row>
    <row r="369" spans="2:9" ht="27" customHeight="1">
      <c r="B369" s="73" t="str">
        <f ca="1">IFERROR(__xludf.DUMMYFUNCTION("""COMPUTED_VALUE"""),"Venda Elastica 6 Pulg")</f>
        <v>Venda Elastica 6 Pulg</v>
      </c>
      <c r="C369" s="73" t="str">
        <f ca="1">IFERROR(__xludf.DUMMYFUNCTION("""COMPUTED_VALUE"""),"Unidad")</f>
        <v>Unidad</v>
      </c>
      <c r="D369" s="73"/>
      <c r="E369" s="73" t="str">
        <f ca="1">IFERROR(__xludf.DUMMYFUNCTION("""COMPUTED_VALUE"""),"H&amp;L")</f>
        <v>H&amp;L</v>
      </c>
      <c r="F369" s="75">
        <f ca="1">IFERROR(__xludf.DUMMYFUNCTION("""COMPUTED_VALUE"""),45713)</f>
        <v>45713</v>
      </c>
      <c r="G369" s="74">
        <f ca="1">IFERROR(__xludf.DUMMYFUNCTION("""COMPUTED_VALUE"""),135)</f>
        <v>135</v>
      </c>
      <c r="H369" s="74">
        <f ca="1">IFERROR(__xludf.DUMMYFUNCTION("""COMPUTED_VALUE"""),189)</f>
        <v>189</v>
      </c>
      <c r="I369" s="74">
        <f ca="1">IFERROR(__xludf.DUMMYFUNCTION("""COMPUTED_VALUE"""),87.5)</f>
        <v>87.5</v>
      </c>
    </row>
    <row r="370" spans="2:9" ht="27" customHeight="1">
      <c r="B370" s="73" t="str">
        <f ca="1">IFERROR(__xludf.DUMMYFUNCTION("""COMPUTED_VALUE"""),"peras de succion")</f>
        <v>peras de succion</v>
      </c>
      <c r="C370" s="73" t="str">
        <f ca="1">IFERROR(__xludf.DUMMYFUNCTION("""COMPUTED_VALUE"""),"UNIDAD")</f>
        <v>UNIDAD</v>
      </c>
      <c r="D370" s="73"/>
      <c r="E370" s="73" t="str">
        <f ca="1">IFERROR(__xludf.DUMMYFUNCTION("""COMPUTED_VALUE"""),"H&amp;L")</f>
        <v>H&amp;L</v>
      </c>
      <c r="F370" s="75">
        <f ca="1">IFERROR(__xludf.DUMMYFUNCTION("""COMPUTED_VALUE"""),45958)</f>
        <v>45958</v>
      </c>
      <c r="G370" s="74">
        <f ca="1">IFERROR(__xludf.DUMMYFUNCTION("""COMPUTED_VALUE"""),10)</f>
        <v>10</v>
      </c>
      <c r="H370" s="74">
        <f ca="1">IFERROR(__xludf.DUMMYFUNCTION("""COMPUTED_VALUE"""),14)</f>
        <v>14</v>
      </c>
      <c r="I370" s="74">
        <f ca="1">IFERROR(__xludf.DUMMYFUNCTION("""COMPUTED_VALUE"""),25)</f>
        <v>25</v>
      </c>
    </row>
    <row r="371" spans="2:9" ht="27" customHeight="1">
      <c r="B371" s="59"/>
      <c r="C371" s="59"/>
      <c r="D371" s="59"/>
      <c r="E371" s="59"/>
      <c r="F371" s="59"/>
      <c r="G371" s="59"/>
      <c r="H371" s="59"/>
      <c r="I371" s="59"/>
    </row>
    <row r="372" spans="2:9" ht="27" customHeight="1">
      <c r="B372" s="59"/>
      <c r="C372" s="59"/>
      <c r="D372" s="59"/>
      <c r="E372" s="59"/>
      <c r="F372" s="59"/>
      <c r="G372" s="59"/>
      <c r="H372" s="59"/>
      <c r="I372" s="59"/>
    </row>
    <row r="373" spans="2:9" ht="27" customHeight="1">
      <c r="B373" s="59"/>
      <c r="C373" s="59"/>
      <c r="D373" s="59"/>
      <c r="E373" s="59"/>
      <c r="F373" s="59"/>
      <c r="G373" s="59"/>
      <c r="H373" s="59"/>
      <c r="I373" s="59"/>
    </row>
    <row r="374" spans="2:9" ht="27" customHeight="1">
      <c r="B374" s="59"/>
      <c r="C374" s="59"/>
      <c r="D374" s="59"/>
      <c r="E374" s="59"/>
      <c r="F374" s="59"/>
      <c r="G374" s="59"/>
      <c r="H374" s="59"/>
      <c r="I374" s="59"/>
    </row>
    <row r="375" spans="2:9" ht="27" customHeight="1">
      <c r="B375" s="59"/>
      <c r="C375" s="59"/>
      <c r="D375" s="59"/>
      <c r="E375" s="59"/>
      <c r="F375" s="59"/>
      <c r="G375" s="59"/>
      <c r="H375" s="59"/>
      <c r="I375" s="59"/>
    </row>
    <row r="376" spans="2:9" ht="27" customHeight="1">
      <c r="B376" s="59"/>
      <c r="C376" s="59"/>
      <c r="D376" s="59"/>
      <c r="E376" s="59"/>
      <c r="F376" s="59"/>
      <c r="G376" s="59"/>
      <c r="H376" s="59"/>
      <c r="I376" s="59"/>
    </row>
    <row r="377" spans="2:9" ht="27" customHeight="1">
      <c r="B377" s="59"/>
      <c r="C377" s="59"/>
      <c r="D377" s="59"/>
      <c r="E377" s="59"/>
      <c r="F377" s="59"/>
      <c r="G377" s="59"/>
      <c r="H377" s="59"/>
      <c r="I377" s="59"/>
    </row>
    <row r="378" spans="2:9" ht="27" customHeight="1">
      <c r="B378" s="59"/>
      <c r="C378" s="59"/>
      <c r="D378" s="59"/>
      <c r="E378" s="59"/>
      <c r="F378" s="59"/>
      <c r="G378" s="59"/>
      <c r="H378" s="59"/>
      <c r="I378" s="59"/>
    </row>
    <row r="379" spans="2:9" ht="27" customHeight="1">
      <c r="B379" s="59"/>
      <c r="C379" s="59"/>
      <c r="D379" s="59"/>
      <c r="E379" s="59"/>
      <c r="F379" s="59"/>
      <c r="G379" s="59"/>
      <c r="H379" s="59"/>
      <c r="I379" s="59"/>
    </row>
    <row r="380" spans="2:9" ht="27" customHeight="1">
      <c r="B380" s="59"/>
      <c r="C380" s="59"/>
      <c r="D380" s="59"/>
      <c r="E380" s="59"/>
      <c r="F380" s="59"/>
      <c r="G380" s="59"/>
      <c r="H380" s="59"/>
      <c r="I380" s="59"/>
    </row>
    <row r="381" spans="2:9" ht="27" customHeight="1">
      <c r="B381" s="59"/>
      <c r="C381" s="59"/>
      <c r="D381" s="59"/>
      <c r="E381" s="59"/>
      <c r="F381" s="59"/>
      <c r="G381" s="59"/>
      <c r="H381" s="59"/>
      <c r="I381" s="59"/>
    </row>
    <row r="382" spans="2:9" ht="27" customHeight="1">
      <c r="B382" s="59"/>
      <c r="C382" s="59"/>
      <c r="D382" s="59"/>
      <c r="E382" s="59"/>
      <c r="F382" s="59"/>
      <c r="G382" s="59"/>
      <c r="H382" s="59"/>
      <c r="I382" s="59"/>
    </row>
    <row r="383" spans="2:9" ht="27" customHeight="1">
      <c r="B383" s="59"/>
      <c r="C383" s="59"/>
      <c r="D383" s="59"/>
      <c r="E383" s="59"/>
      <c r="F383" s="59"/>
      <c r="G383" s="59"/>
      <c r="H383" s="59"/>
      <c r="I383" s="59"/>
    </row>
    <row r="384" spans="2:9" ht="27" customHeight="1">
      <c r="B384" s="59"/>
      <c r="C384" s="59"/>
      <c r="D384" s="59"/>
      <c r="E384" s="59"/>
      <c r="F384" s="59"/>
      <c r="G384" s="59"/>
      <c r="H384" s="59"/>
      <c r="I384" s="59"/>
    </row>
    <row r="385" spans="2:9" ht="27" customHeight="1">
      <c r="B385" s="59"/>
      <c r="C385" s="59"/>
      <c r="D385" s="59"/>
      <c r="E385" s="59"/>
      <c r="F385" s="59"/>
      <c r="G385" s="59"/>
      <c r="H385" s="59"/>
      <c r="I385" s="59"/>
    </row>
    <row r="386" spans="2:9" ht="27" customHeight="1">
      <c r="B386" s="59"/>
      <c r="C386" s="59"/>
      <c r="D386" s="59"/>
      <c r="E386" s="59"/>
      <c r="F386" s="59"/>
      <c r="G386" s="59"/>
      <c r="H386" s="59"/>
      <c r="I386" s="59"/>
    </row>
    <row r="387" spans="2:9" ht="27" customHeight="1">
      <c r="B387" s="59"/>
      <c r="C387" s="59"/>
      <c r="D387" s="59"/>
      <c r="E387" s="59"/>
      <c r="F387" s="59"/>
      <c r="G387" s="59"/>
      <c r="H387" s="59"/>
      <c r="I387" s="59"/>
    </row>
    <row r="388" spans="2:9" ht="27" customHeight="1">
      <c r="B388" s="59"/>
      <c r="C388" s="59"/>
      <c r="D388" s="59"/>
      <c r="E388" s="59"/>
      <c r="F388" s="59"/>
      <c r="G388" s="59"/>
      <c r="H388" s="59"/>
      <c r="I388" s="59"/>
    </row>
    <row r="389" spans="2:9" ht="12.75">
      <c r="B389" s="59"/>
      <c r="C389" s="59"/>
      <c r="D389" s="59"/>
      <c r="E389" s="59"/>
      <c r="F389" s="59"/>
      <c r="G389" s="59"/>
      <c r="H389" s="59"/>
      <c r="I389" s="59"/>
    </row>
    <row r="390" spans="2:9" ht="12.75">
      <c r="B390" s="59"/>
      <c r="C390" s="59"/>
      <c r="D390" s="59"/>
      <c r="E390" s="59"/>
      <c r="F390" s="59"/>
      <c r="G390" s="59"/>
      <c r="H390" s="59"/>
      <c r="I390" s="59"/>
    </row>
    <row r="391" spans="2:9" ht="12.75">
      <c r="B391" s="59"/>
      <c r="C391" s="59"/>
      <c r="D391" s="59"/>
      <c r="E391" s="59"/>
      <c r="F391" s="59"/>
      <c r="G391" s="59"/>
      <c r="H391" s="59"/>
      <c r="I391" s="59"/>
    </row>
    <row r="392" spans="2:9" ht="12.75">
      <c r="B392" s="59"/>
      <c r="C392" s="59"/>
      <c r="D392" s="59"/>
      <c r="E392" s="59"/>
      <c r="F392" s="59"/>
      <c r="G392" s="59"/>
      <c r="H392" s="59"/>
      <c r="I392" s="59"/>
    </row>
    <row r="393" spans="2:9" ht="12.75">
      <c r="B393" s="59"/>
      <c r="C393" s="59"/>
      <c r="D393" s="59"/>
      <c r="E393" s="59"/>
      <c r="F393" s="59"/>
      <c r="G393" s="59"/>
      <c r="H393" s="59"/>
      <c r="I393" s="59"/>
    </row>
    <row r="394" spans="2:9" ht="12.75">
      <c r="B394" s="59"/>
      <c r="C394" s="59"/>
      <c r="D394" s="59"/>
      <c r="E394" s="59"/>
      <c r="F394" s="59"/>
      <c r="G394" s="59"/>
      <c r="H394" s="59"/>
      <c r="I394" s="59"/>
    </row>
    <row r="395" spans="2:9" ht="12.75">
      <c r="B395" s="59"/>
      <c r="C395" s="59"/>
      <c r="D395" s="59"/>
      <c r="E395" s="59"/>
      <c r="F395" s="59"/>
      <c r="G395" s="59"/>
      <c r="H395" s="59"/>
      <c r="I395" s="59"/>
    </row>
    <row r="396" spans="2:9" ht="12.75">
      <c r="B396" s="59"/>
      <c r="C396" s="59"/>
      <c r="D396" s="59"/>
      <c r="E396" s="59"/>
      <c r="F396" s="59"/>
      <c r="G396" s="59"/>
      <c r="H396" s="59"/>
      <c r="I396" s="59"/>
    </row>
    <row r="397" spans="2:9" ht="12.75">
      <c r="B397" s="59"/>
      <c r="C397" s="59"/>
      <c r="D397" s="59"/>
      <c r="E397" s="59"/>
      <c r="F397" s="59"/>
      <c r="G397" s="59"/>
      <c r="H397" s="59"/>
      <c r="I397" s="59"/>
    </row>
    <row r="398" spans="2:9" ht="12.75">
      <c r="B398" s="59"/>
      <c r="C398" s="59"/>
      <c r="D398" s="59"/>
      <c r="E398" s="59"/>
      <c r="F398" s="59"/>
      <c r="G398" s="59"/>
      <c r="H398" s="59"/>
      <c r="I398" s="59"/>
    </row>
    <row r="399" spans="2:9" ht="12.75">
      <c r="B399" s="59"/>
      <c r="C399" s="59"/>
      <c r="D399" s="59"/>
      <c r="E399" s="59"/>
      <c r="F399" s="59"/>
      <c r="G399" s="59"/>
      <c r="H399" s="59"/>
      <c r="I399" s="59"/>
    </row>
    <row r="400" spans="2:9" ht="12.75">
      <c r="B400" s="59"/>
      <c r="C400" s="59"/>
      <c r="D400" s="59"/>
      <c r="E400" s="59"/>
      <c r="F400" s="59"/>
      <c r="G400" s="59"/>
      <c r="H400" s="59"/>
      <c r="I400" s="59"/>
    </row>
    <row r="401" spans="2:9" ht="12.75">
      <c r="B401" s="59"/>
      <c r="C401" s="59"/>
      <c r="D401" s="59"/>
      <c r="E401" s="59"/>
      <c r="F401" s="59"/>
      <c r="G401" s="59"/>
      <c r="H401" s="59"/>
      <c r="I401" s="59"/>
    </row>
    <row r="402" spans="2:9" ht="12.75">
      <c r="B402" s="59"/>
      <c r="C402" s="59"/>
      <c r="D402" s="59"/>
      <c r="E402" s="59"/>
      <c r="F402" s="59"/>
      <c r="G402" s="59"/>
      <c r="H402" s="59"/>
      <c r="I402" s="59"/>
    </row>
    <row r="403" spans="2:9" ht="12.75">
      <c r="B403" s="59"/>
      <c r="C403" s="59"/>
      <c r="D403" s="59"/>
      <c r="E403" s="59"/>
      <c r="F403" s="59"/>
      <c r="G403" s="59"/>
      <c r="H403" s="59"/>
      <c r="I403" s="59"/>
    </row>
    <row r="404" spans="2:9" ht="12.75">
      <c r="B404" s="59"/>
      <c r="C404" s="59"/>
      <c r="D404" s="59"/>
      <c r="E404" s="59"/>
      <c r="F404" s="59"/>
      <c r="G404" s="59"/>
      <c r="H404" s="59"/>
      <c r="I404" s="59"/>
    </row>
    <row r="405" spans="2:9" ht="12.75">
      <c r="B405" s="59"/>
      <c r="C405" s="59"/>
      <c r="D405" s="59"/>
      <c r="E405" s="59"/>
      <c r="F405" s="59"/>
      <c r="G405" s="59"/>
      <c r="H405" s="59"/>
      <c r="I405" s="59"/>
    </row>
    <row r="406" spans="2:9" ht="12.75">
      <c r="B406" s="59"/>
      <c r="C406" s="59"/>
      <c r="D406" s="59"/>
      <c r="E406" s="59"/>
      <c r="F406" s="59"/>
      <c r="G406" s="59"/>
      <c r="H406" s="59"/>
      <c r="I406" s="59"/>
    </row>
    <row r="407" spans="2:9" ht="12.75">
      <c r="B407" s="59"/>
      <c r="C407" s="59"/>
      <c r="D407" s="59"/>
      <c r="E407" s="59"/>
      <c r="F407" s="59"/>
      <c r="G407" s="59"/>
      <c r="H407" s="59"/>
      <c r="I407" s="59"/>
    </row>
    <row r="408" spans="2:9" ht="12.75">
      <c r="B408" s="59"/>
      <c r="C408" s="59"/>
      <c r="D408" s="59"/>
      <c r="E408" s="59"/>
      <c r="F408" s="59"/>
      <c r="G408" s="59"/>
      <c r="H408" s="59"/>
      <c r="I408" s="59"/>
    </row>
    <row r="409" spans="2:9" ht="12.75">
      <c r="B409" s="59"/>
      <c r="C409" s="59"/>
      <c r="D409" s="59"/>
      <c r="E409" s="59"/>
      <c r="F409" s="59"/>
      <c r="G409" s="59"/>
      <c r="H409" s="59"/>
      <c r="I409" s="59"/>
    </row>
    <row r="410" spans="2:9" ht="12.75">
      <c r="B410" s="59"/>
      <c r="C410" s="59"/>
      <c r="D410" s="59"/>
      <c r="E410" s="59"/>
      <c r="F410" s="59"/>
      <c r="G410" s="59"/>
      <c r="H410" s="59"/>
      <c r="I410" s="59"/>
    </row>
    <row r="411" spans="2:9" ht="12.75">
      <c r="B411" s="59"/>
      <c r="C411" s="59"/>
      <c r="D411" s="59"/>
      <c r="E411" s="59"/>
      <c r="F411" s="59"/>
      <c r="G411" s="59"/>
      <c r="H411" s="59"/>
      <c r="I411" s="59"/>
    </row>
    <row r="412" spans="2:9" ht="12.75">
      <c r="B412" s="59"/>
      <c r="C412" s="59"/>
      <c r="D412" s="59"/>
      <c r="E412" s="59"/>
      <c r="F412" s="59"/>
      <c r="G412" s="59"/>
      <c r="H412" s="59"/>
      <c r="I412" s="59"/>
    </row>
    <row r="413" spans="2:9" ht="12.75">
      <c r="B413" s="59"/>
      <c r="C413" s="59"/>
      <c r="D413" s="59"/>
      <c r="E413" s="59"/>
      <c r="F413" s="59"/>
      <c r="G413" s="59"/>
      <c r="H413" s="59"/>
      <c r="I413" s="59"/>
    </row>
    <row r="414" spans="2:9" ht="12.75">
      <c r="B414" s="59"/>
      <c r="C414" s="59"/>
      <c r="D414" s="59"/>
      <c r="E414" s="59"/>
      <c r="F414" s="59"/>
      <c r="G414" s="59"/>
      <c r="H414" s="59"/>
      <c r="I414" s="59"/>
    </row>
    <row r="415" spans="2:9" ht="12.75">
      <c r="B415" s="59"/>
      <c r="C415" s="59"/>
      <c r="D415" s="59"/>
      <c r="E415" s="59"/>
      <c r="F415" s="59"/>
      <c r="G415" s="59"/>
      <c r="H415" s="59"/>
      <c r="I415" s="59"/>
    </row>
    <row r="416" spans="2:9" ht="12.75">
      <c r="B416" s="59"/>
      <c r="C416" s="59"/>
      <c r="D416" s="59"/>
      <c r="E416" s="59"/>
      <c r="F416" s="59"/>
      <c r="G416" s="59"/>
      <c r="H416" s="59"/>
      <c r="I416" s="59"/>
    </row>
    <row r="417" spans="2:9" ht="12.75">
      <c r="B417" s="59"/>
      <c r="C417" s="59"/>
      <c r="D417" s="59"/>
      <c r="E417" s="59"/>
      <c r="F417" s="59"/>
      <c r="G417" s="59"/>
      <c r="H417" s="59"/>
      <c r="I417" s="59"/>
    </row>
    <row r="418" spans="2:9" ht="12.75">
      <c r="B418" s="59"/>
      <c r="C418" s="59"/>
      <c r="D418" s="59"/>
      <c r="E418" s="59"/>
      <c r="F418" s="59"/>
      <c r="G418" s="59"/>
      <c r="H418" s="59"/>
      <c r="I418" s="59"/>
    </row>
    <row r="419" spans="2:9" ht="12.75">
      <c r="B419" s="59"/>
      <c r="C419" s="59"/>
      <c r="D419" s="59"/>
      <c r="E419" s="59"/>
      <c r="F419" s="59"/>
      <c r="G419" s="59"/>
      <c r="H419" s="59"/>
      <c r="I419" s="59"/>
    </row>
    <row r="420" spans="2:9" ht="12.75">
      <c r="B420" s="59"/>
      <c r="C420" s="59"/>
      <c r="D420" s="59"/>
      <c r="E420" s="59"/>
      <c r="F420" s="59"/>
      <c r="G420" s="59"/>
      <c r="H420" s="59"/>
      <c r="I420" s="59"/>
    </row>
    <row r="421" spans="2:9" ht="12.75">
      <c r="B421" s="59"/>
      <c r="C421" s="59"/>
      <c r="D421" s="59"/>
      <c r="E421" s="59"/>
      <c r="F421" s="59"/>
      <c r="G421" s="59"/>
      <c r="H421" s="59"/>
      <c r="I421" s="59"/>
    </row>
    <row r="422" spans="2:9" ht="12.75">
      <c r="B422" s="59"/>
      <c r="C422" s="59"/>
      <c r="D422" s="59"/>
      <c r="E422" s="59"/>
      <c r="F422" s="59"/>
      <c r="G422" s="59"/>
      <c r="H422" s="59"/>
      <c r="I422" s="59"/>
    </row>
    <row r="423" spans="2:9" ht="12.75">
      <c r="B423" s="59"/>
      <c r="C423" s="59"/>
      <c r="D423" s="59"/>
      <c r="E423" s="59"/>
      <c r="F423" s="59"/>
      <c r="G423" s="59"/>
      <c r="H423" s="59"/>
      <c r="I423" s="59"/>
    </row>
    <row r="424" spans="2:9" ht="12.75">
      <c r="B424" s="59"/>
      <c r="C424" s="59"/>
      <c r="D424" s="59"/>
      <c r="E424" s="59"/>
      <c r="F424" s="59"/>
      <c r="G424" s="59"/>
      <c r="H424" s="59"/>
      <c r="I424" s="59"/>
    </row>
    <row r="425" spans="2:9" ht="12.75">
      <c r="B425" s="59"/>
      <c r="C425" s="59"/>
      <c r="D425" s="59"/>
      <c r="E425" s="59"/>
      <c r="F425" s="59"/>
      <c r="G425" s="59"/>
      <c r="H425" s="59"/>
      <c r="I425" s="59"/>
    </row>
    <row r="426" spans="2:9" ht="12.75">
      <c r="B426" s="59"/>
      <c r="C426" s="59"/>
      <c r="D426" s="59"/>
      <c r="E426" s="59"/>
      <c r="F426" s="59"/>
      <c r="G426" s="59"/>
      <c r="H426" s="59"/>
      <c r="I426" s="59"/>
    </row>
    <row r="427" spans="2:9" ht="12.75">
      <c r="B427" s="59"/>
      <c r="C427" s="59"/>
      <c r="D427" s="59"/>
      <c r="E427" s="59"/>
      <c r="F427" s="59"/>
      <c r="G427" s="59"/>
      <c r="H427" s="59"/>
      <c r="I427" s="59"/>
    </row>
    <row r="428" spans="2:9" ht="12.75">
      <c r="B428" s="59"/>
      <c r="C428" s="59"/>
      <c r="D428" s="59"/>
      <c r="E428" s="59"/>
      <c r="F428" s="59"/>
      <c r="G428" s="59"/>
      <c r="H428" s="59"/>
      <c r="I428" s="59"/>
    </row>
    <row r="429" spans="2:9" ht="12.75">
      <c r="B429" s="59"/>
      <c r="C429" s="59"/>
      <c r="D429" s="59"/>
      <c r="E429" s="59"/>
      <c r="F429" s="59"/>
      <c r="G429" s="59"/>
      <c r="H429" s="59"/>
      <c r="I429" s="59"/>
    </row>
    <row r="430" spans="2:9" ht="12.75">
      <c r="B430" s="59"/>
      <c r="C430" s="59"/>
      <c r="D430" s="59"/>
      <c r="E430" s="59"/>
      <c r="F430" s="59"/>
      <c r="G430" s="59"/>
      <c r="H430" s="59"/>
      <c r="I430" s="59"/>
    </row>
    <row r="431" spans="2:9" ht="12.75">
      <c r="B431" s="59"/>
      <c r="C431" s="59"/>
      <c r="D431" s="59"/>
      <c r="E431" s="59"/>
      <c r="F431" s="59"/>
      <c r="G431" s="59"/>
      <c r="H431" s="59"/>
      <c r="I431" s="59"/>
    </row>
    <row r="432" spans="2:9" ht="12.75">
      <c r="B432" s="59"/>
      <c r="C432" s="59"/>
      <c r="D432" s="59"/>
      <c r="E432" s="59"/>
      <c r="F432" s="59"/>
      <c r="G432" s="59"/>
      <c r="H432" s="59"/>
      <c r="I432" s="59"/>
    </row>
    <row r="433" spans="2:9" ht="12.75">
      <c r="B433" s="59"/>
      <c r="C433" s="59"/>
      <c r="D433" s="59"/>
      <c r="E433" s="59"/>
      <c r="F433" s="59"/>
      <c r="G433" s="59"/>
      <c r="H433" s="59"/>
      <c r="I433" s="59"/>
    </row>
    <row r="434" spans="2:9" ht="12.75">
      <c r="B434" s="59"/>
      <c r="C434" s="59"/>
      <c r="D434" s="59"/>
      <c r="E434" s="59"/>
      <c r="F434" s="59"/>
      <c r="G434" s="59"/>
      <c r="H434" s="59"/>
      <c r="I434" s="59"/>
    </row>
    <row r="435" spans="2:9" ht="12.75">
      <c r="B435" s="59"/>
      <c r="C435" s="59"/>
      <c r="D435" s="59"/>
      <c r="E435" s="59"/>
      <c r="F435" s="59"/>
      <c r="G435" s="59"/>
      <c r="H435" s="59"/>
      <c r="I435" s="59"/>
    </row>
    <row r="436" spans="2:9" ht="12.75">
      <c r="B436" s="59"/>
      <c r="C436" s="59"/>
      <c r="D436" s="59"/>
      <c r="E436" s="59"/>
      <c r="F436" s="59"/>
      <c r="G436" s="59"/>
      <c r="H436" s="59"/>
      <c r="I436" s="59"/>
    </row>
    <row r="437" spans="2:9" ht="12.75">
      <c r="B437" s="59"/>
      <c r="C437" s="59"/>
      <c r="D437" s="59"/>
      <c r="E437" s="59"/>
      <c r="F437" s="59"/>
      <c r="G437" s="59"/>
      <c r="H437" s="59"/>
      <c r="I437" s="59"/>
    </row>
    <row r="438" spans="2:9" ht="12.75">
      <c r="B438" s="59"/>
      <c r="C438" s="59"/>
      <c r="D438" s="59"/>
      <c r="E438" s="59"/>
      <c r="F438" s="59"/>
      <c r="G438" s="59"/>
      <c r="H438" s="59"/>
      <c r="I438" s="59"/>
    </row>
    <row r="439" spans="2:9" ht="12.75">
      <c r="B439" s="59"/>
      <c r="C439" s="59"/>
      <c r="D439" s="59"/>
      <c r="E439" s="59"/>
      <c r="F439" s="59"/>
      <c r="G439" s="59"/>
      <c r="H439" s="59"/>
      <c r="I439" s="59"/>
    </row>
    <row r="440" spans="2:9" ht="12.75">
      <c r="B440" s="59"/>
      <c r="C440" s="59"/>
      <c r="D440" s="59"/>
      <c r="E440" s="59"/>
      <c r="F440" s="59"/>
      <c r="G440" s="59"/>
      <c r="H440" s="59"/>
      <c r="I440" s="59"/>
    </row>
    <row r="441" spans="2:9" ht="12.75">
      <c r="B441" s="59"/>
      <c r="C441" s="59"/>
      <c r="D441" s="59"/>
      <c r="E441" s="59"/>
      <c r="F441" s="59"/>
      <c r="G441" s="59"/>
      <c r="H441" s="59"/>
      <c r="I441" s="59"/>
    </row>
    <row r="442" spans="2:9" ht="12.75">
      <c r="B442" s="59"/>
      <c r="C442" s="59"/>
      <c r="D442" s="59"/>
      <c r="E442" s="59"/>
      <c r="F442" s="59"/>
      <c r="G442" s="59"/>
      <c r="H442" s="59"/>
      <c r="I442" s="59"/>
    </row>
    <row r="443" spans="2:9" ht="12.75">
      <c r="B443" s="59"/>
      <c r="C443" s="59"/>
      <c r="D443" s="59"/>
      <c r="E443" s="59"/>
      <c r="F443" s="59"/>
      <c r="G443" s="59"/>
      <c r="H443" s="59"/>
      <c r="I443" s="59"/>
    </row>
    <row r="444" spans="2:9" ht="12.75">
      <c r="B444" s="59"/>
      <c r="C444" s="59"/>
      <c r="D444" s="59"/>
      <c r="E444" s="59"/>
      <c r="F444" s="59"/>
      <c r="G444" s="59"/>
      <c r="H444" s="59"/>
      <c r="I444" s="59"/>
    </row>
    <row r="445" spans="2:9" ht="12.75">
      <c r="B445" s="59"/>
      <c r="C445" s="59"/>
      <c r="D445" s="59"/>
      <c r="E445" s="59"/>
      <c r="F445" s="59"/>
      <c r="G445" s="59"/>
      <c r="H445" s="59"/>
      <c r="I445" s="59"/>
    </row>
    <row r="446" spans="2:9" ht="12.75">
      <c r="B446" s="59"/>
      <c r="C446" s="59"/>
      <c r="D446" s="59"/>
      <c r="E446" s="59"/>
      <c r="F446" s="59"/>
      <c r="G446" s="59"/>
      <c r="H446" s="59"/>
      <c r="I446" s="59"/>
    </row>
    <row r="447" spans="2:9" ht="12.75">
      <c r="B447" s="59"/>
      <c r="C447" s="59"/>
      <c r="D447" s="59"/>
      <c r="E447" s="59"/>
      <c r="F447" s="59"/>
      <c r="G447" s="59"/>
      <c r="H447" s="59"/>
      <c r="I447" s="59"/>
    </row>
    <row r="448" spans="2:9" ht="12.75">
      <c r="B448" s="59"/>
      <c r="C448" s="59"/>
      <c r="D448" s="59"/>
      <c r="E448" s="59"/>
      <c r="F448" s="59"/>
      <c r="G448" s="59"/>
      <c r="H448" s="59"/>
      <c r="I448" s="59"/>
    </row>
    <row r="449" spans="2:9" ht="12.75">
      <c r="B449" s="59"/>
      <c r="C449" s="59"/>
      <c r="D449" s="59"/>
      <c r="E449" s="59"/>
      <c r="F449" s="59"/>
      <c r="G449" s="59"/>
      <c r="H449" s="59"/>
      <c r="I449" s="59"/>
    </row>
    <row r="450" spans="2:9" ht="12.75">
      <c r="B450" s="59"/>
      <c r="C450" s="59"/>
      <c r="D450" s="59"/>
      <c r="E450" s="59"/>
      <c r="F450" s="59"/>
      <c r="G450" s="59"/>
      <c r="H450" s="59"/>
      <c r="I450" s="59"/>
    </row>
    <row r="451" spans="2:9" ht="12.75">
      <c r="B451" s="59"/>
      <c r="C451" s="59"/>
      <c r="D451" s="59"/>
      <c r="E451" s="59"/>
      <c r="F451" s="59"/>
      <c r="G451" s="59"/>
      <c r="H451" s="59"/>
      <c r="I451" s="59"/>
    </row>
    <row r="452" spans="2:9" ht="12.75">
      <c r="B452" s="59"/>
      <c r="C452" s="59"/>
      <c r="D452" s="59"/>
      <c r="E452" s="59"/>
      <c r="F452" s="59"/>
      <c r="G452" s="59"/>
      <c r="H452" s="59"/>
      <c r="I452" s="59"/>
    </row>
    <row r="453" spans="2:9" ht="12.75">
      <c r="B453" s="59"/>
      <c r="C453" s="59"/>
      <c r="D453" s="59"/>
      <c r="E453" s="59"/>
      <c r="F453" s="59"/>
      <c r="G453" s="59"/>
      <c r="H453" s="59"/>
      <c r="I453" s="59"/>
    </row>
    <row r="454" spans="2:9" ht="12.75">
      <c r="B454" s="59"/>
      <c r="C454" s="59"/>
      <c r="D454" s="59"/>
      <c r="E454" s="59"/>
      <c r="F454" s="59"/>
      <c r="G454" s="59"/>
      <c r="H454" s="59"/>
      <c r="I454" s="59"/>
    </row>
    <row r="455" spans="2:9" ht="12.75">
      <c r="B455" s="59"/>
      <c r="C455" s="59"/>
      <c r="D455" s="59"/>
      <c r="E455" s="59"/>
      <c r="F455" s="59"/>
      <c r="G455" s="59"/>
      <c r="H455" s="59"/>
      <c r="I455" s="59"/>
    </row>
    <row r="456" spans="2:9" ht="12.75">
      <c r="B456" s="59"/>
      <c r="C456" s="59"/>
      <c r="D456" s="59"/>
      <c r="E456" s="59"/>
      <c r="F456" s="59"/>
      <c r="G456" s="59"/>
      <c r="H456" s="59"/>
      <c r="I456" s="59"/>
    </row>
    <row r="457" spans="2:9" ht="12.75">
      <c r="B457" s="59"/>
      <c r="C457" s="59"/>
      <c r="D457" s="59"/>
      <c r="E457" s="59"/>
      <c r="F457" s="59"/>
      <c r="G457" s="59"/>
      <c r="H457" s="59"/>
      <c r="I457" s="59"/>
    </row>
    <row r="458" spans="2:9" ht="12.75">
      <c r="B458" s="59"/>
      <c r="C458" s="59"/>
      <c r="D458" s="59"/>
      <c r="E458" s="59"/>
      <c r="F458" s="59"/>
      <c r="G458" s="59"/>
      <c r="H458" s="59"/>
      <c r="I458" s="59"/>
    </row>
    <row r="459" spans="2:9" ht="12.75">
      <c r="B459" s="59"/>
      <c r="C459" s="59"/>
      <c r="D459" s="59"/>
      <c r="E459" s="59"/>
      <c r="F459" s="59"/>
      <c r="G459" s="59"/>
      <c r="H459" s="59"/>
      <c r="I459" s="59"/>
    </row>
    <row r="460" spans="2:9" ht="12.75">
      <c r="B460" s="59"/>
      <c r="C460" s="59"/>
      <c r="D460" s="59"/>
      <c r="E460" s="59"/>
      <c r="F460" s="59"/>
      <c r="G460" s="59"/>
      <c r="H460" s="59"/>
      <c r="I460" s="59"/>
    </row>
    <row r="461" spans="2:9" ht="12.75">
      <c r="B461" s="59"/>
      <c r="C461" s="59"/>
      <c r="D461" s="59"/>
      <c r="E461" s="59"/>
      <c r="F461" s="59"/>
      <c r="G461" s="59"/>
      <c r="H461" s="59"/>
      <c r="I461" s="59"/>
    </row>
    <row r="462" spans="2:9" ht="12.75">
      <c r="B462" s="59"/>
      <c r="C462" s="59"/>
      <c r="D462" s="59"/>
      <c r="E462" s="59"/>
      <c r="F462" s="59"/>
      <c r="G462" s="59"/>
      <c r="H462" s="59"/>
      <c r="I462" s="59"/>
    </row>
    <row r="463" spans="2:9" ht="12.75">
      <c r="B463" s="59"/>
      <c r="C463" s="59"/>
      <c r="D463" s="59"/>
      <c r="E463" s="59"/>
      <c r="F463" s="59"/>
      <c r="G463" s="59"/>
      <c r="H463" s="59"/>
      <c r="I463" s="59"/>
    </row>
    <row r="464" spans="2:9" ht="12.75">
      <c r="B464" s="59"/>
      <c r="C464" s="59"/>
      <c r="D464" s="59"/>
      <c r="E464" s="59"/>
      <c r="F464" s="59"/>
      <c r="G464" s="59"/>
      <c r="H464" s="59"/>
      <c r="I464" s="59"/>
    </row>
    <row r="465" spans="2:9" ht="12.75">
      <c r="B465" s="59"/>
      <c r="C465" s="59"/>
      <c r="D465" s="59"/>
      <c r="E465" s="59"/>
      <c r="F465" s="59"/>
      <c r="G465" s="59"/>
      <c r="H465" s="59"/>
      <c r="I465" s="59"/>
    </row>
    <row r="466" spans="2:9" ht="12.75">
      <c r="B466" s="59"/>
      <c r="C466" s="59"/>
      <c r="D466" s="59"/>
      <c r="E466" s="59"/>
      <c r="F466" s="59"/>
      <c r="G466" s="59"/>
      <c r="H466" s="59"/>
      <c r="I466" s="59"/>
    </row>
    <row r="467" spans="2:9" ht="12.75">
      <c r="B467" s="59"/>
      <c r="C467" s="59"/>
      <c r="D467" s="59"/>
      <c r="E467" s="59"/>
      <c r="F467" s="59"/>
      <c r="G467" s="59"/>
      <c r="H467" s="59"/>
      <c r="I467" s="59"/>
    </row>
    <row r="468" spans="2:9" ht="12.75">
      <c r="B468" s="59"/>
      <c r="C468" s="59"/>
      <c r="D468" s="59"/>
      <c r="E468" s="59"/>
      <c r="F468" s="59"/>
      <c r="G468" s="59"/>
      <c r="H468" s="59"/>
      <c r="I468" s="59"/>
    </row>
    <row r="469" spans="2:9" ht="12.75">
      <c r="B469" s="59"/>
      <c r="C469" s="59"/>
      <c r="D469" s="59"/>
      <c r="E469" s="59"/>
      <c r="F469" s="59"/>
      <c r="G469" s="59"/>
      <c r="H469" s="59"/>
      <c r="I469" s="59"/>
    </row>
    <row r="470" spans="2:9" ht="12.75">
      <c r="B470" s="59"/>
      <c r="C470" s="59"/>
      <c r="D470" s="59"/>
      <c r="E470" s="59"/>
      <c r="F470" s="59"/>
      <c r="G470" s="59"/>
      <c r="H470" s="59"/>
      <c r="I470" s="59"/>
    </row>
    <row r="471" spans="2:9" ht="12.75">
      <c r="B471" s="59"/>
      <c r="C471" s="59"/>
      <c r="D471" s="59"/>
      <c r="E471" s="59"/>
      <c r="F471" s="59"/>
      <c r="G471" s="59"/>
      <c r="H471" s="59"/>
      <c r="I471" s="59"/>
    </row>
    <row r="472" spans="2:9" ht="12.75">
      <c r="B472" s="59"/>
      <c r="C472" s="59"/>
      <c r="D472" s="59"/>
      <c r="E472" s="59"/>
      <c r="F472" s="59"/>
      <c r="G472" s="59"/>
      <c r="H472" s="59"/>
      <c r="I472" s="59"/>
    </row>
    <row r="473" spans="2:9" ht="12.75">
      <c r="B473" s="59"/>
      <c r="C473" s="59"/>
      <c r="D473" s="59"/>
      <c r="E473" s="59"/>
      <c r="F473" s="59"/>
      <c r="G473" s="59"/>
      <c r="H473" s="59"/>
      <c r="I473" s="59"/>
    </row>
    <row r="474" spans="2:9" ht="12.75">
      <c r="B474" s="59"/>
      <c r="C474" s="59"/>
      <c r="D474" s="59"/>
      <c r="E474" s="59"/>
      <c r="F474" s="59"/>
      <c r="G474" s="59"/>
      <c r="H474" s="59"/>
      <c r="I474" s="59"/>
    </row>
    <row r="475" spans="2:9" ht="12.75">
      <c r="B475" s="59"/>
      <c r="C475" s="59"/>
      <c r="D475" s="59"/>
      <c r="E475" s="59"/>
      <c r="F475" s="59"/>
      <c r="G475" s="59"/>
      <c r="H475" s="59"/>
      <c r="I475" s="59"/>
    </row>
    <row r="476" spans="2:9" ht="12.75">
      <c r="B476" s="59"/>
      <c r="C476" s="59"/>
      <c r="D476" s="59"/>
      <c r="E476" s="59"/>
      <c r="F476" s="59"/>
      <c r="G476" s="59"/>
      <c r="H476" s="59"/>
      <c r="I476" s="59"/>
    </row>
    <row r="477" spans="2:9" ht="12.75">
      <c r="B477" s="59"/>
      <c r="C477" s="59"/>
      <c r="D477" s="59"/>
      <c r="E477" s="59"/>
      <c r="F477" s="59"/>
      <c r="G477" s="59"/>
      <c r="H477" s="59"/>
      <c r="I477" s="59"/>
    </row>
    <row r="478" spans="2:9" ht="12.75">
      <c r="B478" s="59"/>
      <c r="C478" s="59"/>
      <c r="D478" s="59"/>
      <c r="E478" s="59"/>
      <c r="F478" s="59"/>
      <c r="G478" s="59"/>
      <c r="H478" s="59"/>
      <c r="I478" s="59"/>
    </row>
    <row r="479" spans="2:9" ht="12.75">
      <c r="B479" s="59"/>
      <c r="C479" s="59"/>
      <c r="D479" s="59"/>
      <c r="E479" s="59"/>
      <c r="F479" s="59"/>
      <c r="G479" s="59"/>
      <c r="H479" s="59"/>
      <c r="I479" s="59"/>
    </row>
    <row r="480" spans="2:9" ht="12.75">
      <c r="B480" s="59"/>
      <c r="C480" s="59"/>
      <c r="D480" s="59"/>
      <c r="E480" s="59"/>
      <c r="F480" s="59"/>
      <c r="G480" s="59"/>
      <c r="H480" s="59"/>
      <c r="I480" s="59"/>
    </row>
    <row r="481" spans="2:9" ht="12.75">
      <c r="B481" s="59"/>
      <c r="C481" s="59"/>
      <c r="D481" s="59"/>
      <c r="E481" s="59"/>
      <c r="F481" s="59"/>
      <c r="G481" s="59"/>
      <c r="H481" s="59"/>
      <c r="I481" s="59"/>
    </row>
    <row r="482" spans="2:9" ht="12.75">
      <c r="B482" s="59"/>
      <c r="C482" s="59"/>
      <c r="D482" s="59"/>
      <c r="E482" s="59"/>
      <c r="F482" s="59"/>
      <c r="G482" s="59"/>
      <c r="H482" s="59"/>
      <c r="I482" s="59"/>
    </row>
    <row r="483" spans="2:9" ht="12.75">
      <c r="B483" s="59"/>
      <c r="C483" s="59"/>
      <c r="D483" s="59"/>
      <c r="E483" s="59"/>
      <c r="F483" s="59"/>
      <c r="G483" s="59"/>
      <c r="H483" s="59"/>
      <c r="I483" s="59"/>
    </row>
    <row r="484" spans="2:9" ht="12.75">
      <c r="B484" s="59"/>
      <c r="C484" s="59"/>
      <c r="D484" s="59"/>
      <c r="E484" s="59"/>
      <c r="F484" s="59"/>
      <c r="G484" s="59"/>
      <c r="H484" s="59"/>
      <c r="I484" s="59"/>
    </row>
    <row r="485" spans="2:9" ht="12.75">
      <c r="B485" s="59"/>
      <c r="C485" s="59"/>
      <c r="D485" s="59"/>
      <c r="E485" s="59"/>
      <c r="F485" s="59"/>
      <c r="G485" s="59"/>
      <c r="H485" s="59"/>
      <c r="I485" s="59"/>
    </row>
    <row r="486" spans="2:9" ht="12.75">
      <c r="B486" s="59"/>
      <c r="C486" s="59"/>
      <c r="D486" s="59"/>
      <c r="E486" s="59"/>
      <c r="F486" s="59"/>
      <c r="G486" s="59"/>
      <c r="H486" s="59"/>
      <c r="I486" s="59"/>
    </row>
    <row r="487" spans="2:9" ht="12.75">
      <c r="B487" s="59"/>
      <c r="C487" s="59"/>
      <c r="D487" s="59"/>
      <c r="E487" s="59"/>
      <c r="F487" s="59"/>
      <c r="G487" s="59"/>
      <c r="H487" s="59"/>
      <c r="I487" s="59"/>
    </row>
    <row r="488" spans="2:9" ht="12.75">
      <c r="B488" s="59"/>
      <c r="C488" s="59"/>
      <c r="D488" s="59"/>
      <c r="E488" s="59"/>
      <c r="F488" s="59"/>
      <c r="G488" s="59"/>
      <c r="H488" s="59"/>
      <c r="I488" s="59"/>
    </row>
    <row r="489" spans="2:9" ht="12.75">
      <c r="B489" s="59"/>
      <c r="C489" s="59"/>
      <c r="D489" s="59"/>
      <c r="E489" s="59"/>
      <c r="F489" s="59"/>
      <c r="G489" s="59"/>
      <c r="H489" s="59"/>
      <c r="I489" s="59"/>
    </row>
    <row r="490" spans="2:9" ht="12.75">
      <c r="B490" s="59"/>
      <c r="C490" s="59"/>
      <c r="D490" s="59"/>
      <c r="E490" s="59"/>
      <c r="F490" s="59"/>
      <c r="G490" s="59"/>
      <c r="H490" s="59"/>
      <c r="I490" s="59"/>
    </row>
    <row r="491" spans="2:9" ht="12.75">
      <c r="B491" s="59"/>
      <c r="C491" s="59"/>
      <c r="D491" s="59"/>
      <c r="E491" s="59"/>
      <c r="F491" s="59"/>
      <c r="G491" s="59"/>
      <c r="H491" s="59"/>
      <c r="I491" s="59"/>
    </row>
    <row r="492" spans="2:9" ht="12.75">
      <c r="B492" s="59"/>
      <c r="C492" s="59"/>
      <c r="D492" s="59"/>
      <c r="E492" s="59"/>
      <c r="F492" s="59"/>
      <c r="G492" s="59"/>
      <c r="H492" s="59"/>
      <c r="I492" s="59"/>
    </row>
    <row r="493" spans="2:9" ht="12.75">
      <c r="B493" s="59"/>
      <c r="C493" s="59"/>
      <c r="D493" s="59"/>
      <c r="E493" s="59"/>
      <c r="F493" s="59"/>
      <c r="G493" s="59"/>
      <c r="H493" s="59"/>
      <c r="I493" s="59"/>
    </row>
    <row r="494" spans="2:9" ht="12.75">
      <c r="B494" s="59"/>
      <c r="C494" s="59"/>
      <c r="D494" s="59"/>
      <c r="E494" s="59"/>
      <c r="F494" s="59"/>
      <c r="G494" s="59"/>
      <c r="H494" s="59"/>
      <c r="I494" s="59"/>
    </row>
    <row r="495" spans="2:9" ht="12.75">
      <c r="B495" s="59"/>
      <c r="C495" s="59"/>
      <c r="D495" s="59"/>
      <c r="E495" s="59"/>
      <c r="F495" s="59"/>
      <c r="G495" s="59"/>
      <c r="H495" s="59"/>
      <c r="I495" s="59"/>
    </row>
    <row r="496" spans="2:9" ht="12.75">
      <c r="B496" s="59"/>
      <c r="C496" s="59"/>
      <c r="D496" s="59"/>
      <c r="E496" s="59"/>
      <c r="F496" s="59"/>
      <c r="G496" s="59"/>
      <c r="H496" s="59"/>
      <c r="I496" s="59"/>
    </row>
    <row r="497" spans="2:9" ht="12.75">
      <c r="B497" s="59"/>
      <c r="C497" s="59"/>
      <c r="D497" s="59"/>
      <c r="E497" s="59"/>
      <c r="F497" s="59"/>
      <c r="G497" s="59"/>
      <c r="H497" s="59"/>
      <c r="I497" s="59"/>
    </row>
    <row r="498" spans="2:9" ht="12.75">
      <c r="B498" s="59"/>
      <c r="C498" s="59"/>
      <c r="D498" s="59"/>
      <c r="E498" s="59"/>
      <c r="F498" s="59"/>
      <c r="G498" s="59"/>
      <c r="H498" s="59"/>
      <c r="I498" s="59"/>
    </row>
    <row r="499" spans="2:9" ht="12.75">
      <c r="B499" s="59"/>
      <c r="C499" s="59"/>
      <c r="D499" s="59"/>
      <c r="E499" s="59"/>
      <c r="F499" s="59"/>
      <c r="G499" s="59"/>
      <c r="H499" s="59"/>
      <c r="I499" s="59"/>
    </row>
    <row r="500" spans="2:9" ht="12.75">
      <c r="B500" s="59"/>
      <c r="C500" s="59"/>
      <c r="D500" s="59"/>
      <c r="E500" s="59"/>
      <c r="F500" s="59"/>
      <c r="G500" s="59"/>
      <c r="H500" s="59"/>
      <c r="I500" s="59"/>
    </row>
    <row r="501" spans="2:9" ht="12.75">
      <c r="B501" s="59"/>
      <c r="C501" s="59"/>
      <c r="D501" s="59"/>
      <c r="E501" s="59"/>
      <c r="F501" s="59"/>
      <c r="G501" s="59"/>
      <c r="H501" s="59"/>
      <c r="I501" s="59"/>
    </row>
    <row r="502" spans="2:9" ht="12.75">
      <c r="B502" s="59"/>
      <c r="C502" s="59"/>
      <c r="D502" s="59"/>
      <c r="E502" s="59"/>
      <c r="F502" s="59"/>
      <c r="G502" s="59"/>
      <c r="H502" s="59"/>
      <c r="I502" s="59"/>
    </row>
    <row r="503" spans="2:9" ht="12.75">
      <c r="B503" s="59"/>
      <c r="C503" s="59"/>
      <c r="D503" s="59"/>
      <c r="E503" s="59"/>
      <c r="F503" s="59"/>
      <c r="G503" s="59"/>
      <c r="H503" s="59"/>
      <c r="I503" s="59"/>
    </row>
    <row r="504" spans="2:9" ht="12.75">
      <c r="B504" s="59"/>
      <c r="C504" s="59"/>
      <c r="D504" s="59"/>
      <c r="E504" s="59"/>
      <c r="F504" s="59"/>
      <c r="G504" s="59"/>
      <c r="H504" s="59"/>
      <c r="I504" s="59"/>
    </row>
    <row r="505" spans="2:9" ht="12.75">
      <c r="B505" s="59"/>
      <c r="C505" s="59"/>
      <c r="D505" s="59"/>
      <c r="E505" s="59"/>
      <c r="F505" s="59"/>
      <c r="G505" s="59"/>
      <c r="H505" s="59"/>
      <c r="I505" s="59"/>
    </row>
    <row r="506" spans="2:9" ht="12.75">
      <c r="B506" s="59"/>
      <c r="C506" s="59"/>
      <c r="D506" s="59"/>
      <c r="E506" s="59"/>
      <c r="F506" s="59"/>
      <c r="G506" s="59"/>
      <c r="H506" s="59"/>
      <c r="I506" s="59"/>
    </row>
    <row r="507" spans="2:9" ht="12.75">
      <c r="B507" s="59"/>
      <c r="C507" s="59"/>
      <c r="D507" s="59"/>
      <c r="E507" s="59"/>
      <c r="F507" s="59"/>
      <c r="G507" s="59"/>
      <c r="H507" s="59"/>
      <c r="I507" s="59"/>
    </row>
    <row r="508" spans="2:9" ht="12.75">
      <c r="B508" s="59"/>
      <c r="C508" s="59"/>
      <c r="D508" s="59"/>
      <c r="E508" s="59"/>
      <c r="F508" s="59"/>
      <c r="G508" s="59"/>
      <c r="H508" s="59"/>
      <c r="I508" s="59"/>
    </row>
    <row r="509" spans="2:9" ht="12.75">
      <c r="B509" s="59"/>
      <c r="C509" s="59"/>
      <c r="D509" s="59"/>
      <c r="E509" s="59"/>
      <c r="F509" s="59"/>
      <c r="G509" s="59"/>
      <c r="H509" s="59"/>
      <c r="I509" s="59"/>
    </row>
    <row r="510" spans="2:9" ht="12.75">
      <c r="B510" s="59"/>
      <c r="C510" s="59"/>
      <c r="D510" s="59"/>
      <c r="E510" s="59"/>
      <c r="F510" s="59"/>
      <c r="G510" s="59"/>
      <c r="H510" s="59"/>
      <c r="I510" s="59"/>
    </row>
    <row r="511" spans="2:9" ht="12.75">
      <c r="B511" s="59"/>
      <c r="C511" s="59"/>
      <c r="D511" s="59"/>
      <c r="E511" s="59"/>
      <c r="F511" s="59"/>
      <c r="G511" s="59"/>
      <c r="H511" s="59"/>
      <c r="I511" s="59"/>
    </row>
    <row r="512" spans="2:9" ht="12.75">
      <c r="B512" s="59"/>
      <c r="C512" s="59"/>
      <c r="D512" s="59"/>
      <c r="E512" s="59"/>
      <c r="F512" s="59"/>
      <c r="G512" s="59"/>
      <c r="H512" s="59"/>
      <c r="I512" s="59"/>
    </row>
    <row r="513" spans="2:9" ht="12.75">
      <c r="B513" s="59"/>
      <c r="C513" s="59"/>
      <c r="D513" s="59"/>
      <c r="E513" s="59"/>
      <c r="F513" s="59"/>
      <c r="G513" s="59"/>
      <c r="H513" s="59"/>
      <c r="I513" s="59"/>
    </row>
    <row r="514" spans="2:9" ht="12.75">
      <c r="B514" s="59"/>
      <c r="C514" s="59"/>
      <c r="D514" s="59"/>
      <c r="E514" s="59"/>
      <c r="F514" s="59"/>
      <c r="G514" s="59"/>
      <c r="H514" s="59"/>
      <c r="I514" s="59"/>
    </row>
    <row r="515" spans="2:9" ht="12.75">
      <c r="B515" s="59"/>
      <c r="C515" s="59"/>
      <c r="D515" s="59"/>
      <c r="E515" s="59"/>
      <c r="F515" s="59"/>
      <c r="G515" s="59"/>
      <c r="H515" s="59"/>
      <c r="I515" s="59"/>
    </row>
    <row r="516" spans="2:9" ht="12.75">
      <c r="B516" s="59"/>
      <c r="C516" s="59"/>
      <c r="D516" s="59"/>
      <c r="E516" s="59"/>
      <c r="F516" s="59"/>
      <c r="G516" s="59"/>
      <c r="H516" s="59"/>
      <c r="I516" s="59"/>
    </row>
    <row r="517" spans="2:9" ht="12.75">
      <c r="B517" s="59"/>
      <c r="C517" s="59"/>
      <c r="D517" s="59"/>
      <c r="E517" s="59"/>
      <c r="F517" s="59"/>
      <c r="G517" s="59"/>
      <c r="H517" s="59"/>
      <c r="I517" s="59"/>
    </row>
    <row r="518" spans="2:9" ht="12.75">
      <c r="B518" s="59"/>
      <c r="C518" s="59"/>
      <c r="D518" s="59"/>
      <c r="E518" s="59"/>
      <c r="F518" s="59"/>
      <c r="G518" s="59"/>
      <c r="H518" s="59"/>
      <c r="I518" s="59"/>
    </row>
    <row r="519" spans="2:9" ht="12.75">
      <c r="B519" s="59"/>
      <c r="C519" s="59"/>
      <c r="D519" s="59"/>
      <c r="E519" s="59"/>
      <c r="F519" s="59"/>
      <c r="G519" s="59"/>
      <c r="H519" s="59"/>
      <c r="I519" s="59"/>
    </row>
    <row r="520" spans="2:9" ht="12.75">
      <c r="B520" s="59"/>
      <c r="C520" s="59"/>
      <c r="D520" s="59"/>
      <c r="E520" s="59"/>
      <c r="F520" s="59"/>
      <c r="G520" s="59"/>
      <c r="H520" s="59"/>
      <c r="I520" s="59"/>
    </row>
    <row r="521" spans="2:9" ht="12.75">
      <c r="B521" s="59"/>
      <c r="C521" s="59"/>
      <c r="D521" s="59"/>
      <c r="E521" s="59"/>
      <c r="F521" s="59"/>
      <c r="G521" s="59"/>
      <c r="H521" s="59"/>
      <c r="I521" s="59"/>
    </row>
    <row r="522" spans="2:9" ht="12.75">
      <c r="B522" s="59"/>
      <c r="C522" s="59"/>
      <c r="D522" s="59"/>
      <c r="E522" s="59"/>
      <c r="F522" s="59"/>
      <c r="G522" s="59"/>
      <c r="H522" s="59"/>
      <c r="I522" s="59"/>
    </row>
    <row r="523" spans="2:9" ht="12.75">
      <c r="B523" s="59"/>
      <c r="C523" s="59"/>
      <c r="D523" s="59"/>
      <c r="E523" s="59"/>
      <c r="F523" s="59"/>
      <c r="G523" s="59"/>
      <c r="H523" s="59"/>
      <c r="I523" s="59"/>
    </row>
    <row r="524" spans="2:9" ht="12.75">
      <c r="B524" s="59"/>
      <c r="C524" s="59"/>
      <c r="D524" s="59"/>
      <c r="E524" s="59"/>
      <c r="F524" s="59"/>
      <c r="G524" s="59"/>
      <c r="H524" s="59"/>
      <c r="I524" s="59"/>
    </row>
    <row r="525" spans="2:9" ht="12.75">
      <c r="B525" s="59"/>
      <c r="C525" s="59"/>
      <c r="D525" s="59"/>
      <c r="E525" s="59"/>
      <c r="F525" s="59"/>
      <c r="G525" s="59"/>
      <c r="H525" s="59"/>
      <c r="I525" s="59"/>
    </row>
    <row r="526" spans="2:9" ht="12.75">
      <c r="B526" s="59"/>
      <c r="C526" s="59"/>
      <c r="D526" s="59"/>
      <c r="E526" s="59"/>
      <c r="F526" s="59"/>
      <c r="G526" s="59"/>
      <c r="H526" s="59"/>
      <c r="I526" s="59"/>
    </row>
    <row r="527" spans="2:9" ht="12.75">
      <c r="B527" s="59"/>
      <c r="C527" s="59"/>
      <c r="D527" s="59"/>
      <c r="E527" s="59"/>
      <c r="F527" s="59"/>
      <c r="G527" s="59"/>
      <c r="H527" s="59"/>
      <c r="I527" s="59"/>
    </row>
    <row r="528" spans="2:9" ht="12.75">
      <c r="B528" s="59"/>
      <c r="C528" s="59"/>
      <c r="D528" s="59"/>
      <c r="E528" s="59"/>
      <c r="F528" s="59"/>
      <c r="G528" s="59"/>
      <c r="H528" s="59"/>
      <c r="I528" s="59"/>
    </row>
    <row r="529" spans="2:9" ht="12.75">
      <c r="B529" s="59"/>
      <c r="C529" s="59"/>
      <c r="D529" s="59"/>
      <c r="E529" s="59"/>
      <c r="F529" s="59"/>
      <c r="G529" s="59"/>
      <c r="H529" s="59"/>
      <c r="I529" s="59"/>
    </row>
    <row r="530" spans="2:9" ht="12.75">
      <c r="B530" s="59"/>
      <c r="C530" s="59"/>
      <c r="D530" s="59"/>
      <c r="E530" s="59"/>
      <c r="F530" s="59"/>
      <c r="G530" s="59"/>
      <c r="H530" s="59"/>
      <c r="I530" s="59"/>
    </row>
    <row r="531" spans="2:9" ht="12.75">
      <c r="B531" s="59"/>
      <c r="C531" s="59"/>
      <c r="D531" s="59"/>
      <c r="E531" s="59"/>
      <c r="F531" s="59"/>
      <c r="G531" s="59"/>
      <c r="H531" s="59"/>
      <c r="I531" s="59"/>
    </row>
    <row r="532" spans="2:9" ht="12.75">
      <c r="B532" s="59"/>
      <c r="C532" s="59"/>
      <c r="D532" s="59"/>
      <c r="E532" s="59"/>
      <c r="F532" s="59"/>
      <c r="G532" s="59"/>
      <c r="H532" s="59"/>
      <c r="I532" s="59"/>
    </row>
    <row r="533" spans="2:9" ht="12.75">
      <c r="B533" s="59"/>
      <c r="C533" s="59"/>
      <c r="D533" s="59"/>
      <c r="E533" s="59"/>
      <c r="F533" s="59"/>
      <c r="G533" s="59"/>
      <c r="H533" s="59"/>
      <c r="I533" s="59"/>
    </row>
    <row r="534" spans="2:9" ht="12.75">
      <c r="B534" s="59"/>
      <c r="C534" s="59"/>
      <c r="D534" s="59"/>
      <c r="E534" s="59"/>
      <c r="F534" s="59"/>
      <c r="G534" s="59"/>
      <c r="H534" s="59"/>
      <c r="I534" s="59"/>
    </row>
    <row r="535" spans="2:9" ht="12.75">
      <c r="B535" s="59"/>
      <c r="C535" s="59"/>
      <c r="D535" s="59"/>
      <c r="E535" s="59"/>
      <c r="F535" s="59"/>
      <c r="G535" s="59"/>
      <c r="H535" s="59"/>
      <c r="I535" s="59"/>
    </row>
    <row r="536" spans="2:9" ht="12.75">
      <c r="B536" s="59"/>
      <c r="C536" s="59"/>
      <c r="D536" s="59"/>
      <c r="E536" s="59"/>
      <c r="F536" s="59"/>
      <c r="G536" s="59"/>
      <c r="H536" s="59"/>
      <c r="I536" s="59"/>
    </row>
    <row r="537" spans="2:9" ht="12.75">
      <c r="B537" s="59"/>
      <c r="C537" s="59"/>
      <c r="D537" s="59"/>
      <c r="E537" s="59"/>
      <c r="F537" s="59"/>
      <c r="G537" s="59"/>
      <c r="H537" s="59"/>
      <c r="I537" s="59"/>
    </row>
    <row r="538" spans="2:9" ht="12.75">
      <c r="B538" s="59"/>
      <c r="C538" s="59"/>
      <c r="D538" s="59"/>
      <c r="E538" s="59"/>
      <c r="F538" s="59"/>
      <c r="G538" s="59"/>
      <c r="H538" s="59"/>
      <c r="I538" s="59"/>
    </row>
    <row r="539" spans="2:9" ht="12.75">
      <c r="B539" s="59"/>
      <c r="C539" s="59"/>
      <c r="D539" s="59"/>
      <c r="E539" s="59"/>
      <c r="F539" s="59"/>
      <c r="G539" s="59"/>
      <c r="H539" s="59"/>
      <c r="I539" s="59"/>
    </row>
    <row r="540" spans="2:9" ht="12.75">
      <c r="B540" s="59"/>
      <c r="C540" s="59"/>
      <c r="D540" s="59"/>
      <c r="E540" s="59"/>
      <c r="F540" s="59"/>
      <c r="G540" s="59"/>
      <c r="H540" s="59"/>
      <c r="I540" s="59"/>
    </row>
    <row r="541" spans="2:9" ht="12.75">
      <c r="B541" s="59"/>
      <c r="C541" s="59"/>
      <c r="D541" s="59"/>
      <c r="E541" s="59"/>
      <c r="F541" s="59"/>
      <c r="G541" s="59"/>
      <c r="H541" s="59"/>
      <c r="I541" s="59"/>
    </row>
    <row r="542" spans="2:9" ht="12.75">
      <c r="B542" s="59"/>
      <c r="C542" s="59"/>
      <c r="D542" s="59"/>
      <c r="E542" s="59"/>
      <c r="F542" s="59"/>
      <c r="G542" s="59"/>
      <c r="H542" s="59"/>
      <c r="I542" s="59"/>
    </row>
    <row r="543" spans="2:9" ht="12.75">
      <c r="B543" s="59"/>
      <c r="C543" s="59"/>
      <c r="D543" s="59"/>
      <c r="E543" s="59"/>
      <c r="F543" s="59"/>
      <c r="G543" s="59"/>
      <c r="H543" s="59"/>
      <c r="I543" s="59"/>
    </row>
    <row r="544" spans="2:9" ht="12.75">
      <c r="B544" s="59"/>
      <c r="C544" s="59"/>
      <c r="D544" s="59"/>
      <c r="E544" s="59"/>
      <c r="F544" s="59"/>
      <c r="G544" s="59"/>
      <c r="H544" s="59"/>
      <c r="I544" s="59"/>
    </row>
    <row r="545" spans="2:9" ht="12.75">
      <c r="B545" s="59"/>
      <c r="C545" s="59"/>
      <c r="D545" s="59"/>
      <c r="E545" s="59"/>
      <c r="F545" s="59"/>
      <c r="G545" s="59"/>
      <c r="H545" s="59"/>
      <c r="I545" s="59"/>
    </row>
    <row r="546" spans="2:9" ht="12.75">
      <c r="B546" s="59"/>
      <c r="C546" s="59"/>
      <c r="D546" s="59"/>
      <c r="E546" s="59"/>
      <c r="F546" s="59"/>
      <c r="G546" s="59"/>
      <c r="H546" s="59"/>
      <c r="I546" s="59"/>
    </row>
    <row r="547" spans="2:9" ht="12.75">
      <c r="B547" s="59"/>
      <c r="C547" s="59"/>
      <c r="D547" s="59"/>
      <c r="E547" s="59"/>
      <c r="F547" s="59"/>
      <c r="G547" s="59"/>
      <c r="H547" s="59"/>
      <c r="I547" s="59"/>
    </row>
    <row r="548" spans="2:9" ht="12.75">
      <c r="B548" s="59"/>
      <c r="C548" s="59"/>
      <c r="D548" s="59"/>
      <c r="E548" s="59"/>
      <c r="F548" s="59"/>
      <c r="G548" s="59"/>
      <c r="H548" s="59"/>
      <c r="I548" s="59"/>
    </row>
    <row r="549" spans="2:9" ht="12.75">
      <c r="B549" s="59"/>
      <c r="C549" s="59"/>
      <c r="D549" s="59"/>
      <c r="E549" s="59"/>
      <c r="F549" s="59"/>
      <c r="G549" s="59"/>
      <c r="H549" s="59"/>
      <c r="I549" s="59"/>
    </row>
    <row r="550" spans="2:9" ht="12.75">
      <c r="B550" s="59"/>
      <c r="C550" s="59"/>
      <c r="D550" s="59"/>
      <c r="E550" s="59"/>
      <c r="F550" s="59"/>
      <c r="G550" s="59"/>
      <c r="H550" s="59"/>
      <c r="I550" s="59"/>
    </row>
    <row r="551" spans="2:9" ht="12.75">
      <c r="B551" s="59"/>
      <c r="C551" s="59"/>
      <c r="D551" s="59"/>
      <c r="E551" s="59"/>
      <c r="F551" s="59"/>
      <c r="G551" s="59"/>
      <c r="H551" s="59"/>
      <c r="I551" s="59"/>
    </row>
    <row r="552" spans="2:9" ht="12.75">
      <c r="B552" s="59"/>
      <c r="C552" s="59"/>
      <c r="D552" s="59"/>
      <c r="E552" s="59"/>
      <c r="F552" s="59"/>
      <c r="G552" s="59"/>
      <c r="H552" s="59"/>
      <c r="I552" s="59"/>
    </row>
    <row r="553" spans="2:9" ht="12.75">
      <c r="B553" s="59"/>
      <c r="C553" s="59"/>
      <c r="D553" s="59"/>
      <c r="E553" s="59"/>
      <c r="F553" s="59"/>
      <c r="G553" s="59"/>
      <c r="H553" s="59"/>
      <c r="I553" s="59"/>
    </row>
    <row r="554" spans="2:9" ht="12.75">
      <c r="B554" s="59"/>
      <c r="C554" s="59"/>
      <c r="D554" s="59"/>
      <c r="E554" s="59"/>
      <c r="F554" s="59"/>
      <c r="G554" s="59"/>
      <c r="H554" s="59"/>
      <c r="I554" s="59"/>
    </row>
    <row r="555" spans="2:9" ht="12.75">
      <c r="B555" s="59"/>
      <c r="C555" s="59"/>
      <c r="D555" s="59"/>
      <c r="E555" s="59"/>
      <c r="F555" s="59"/>
      <c r="G555" s="59"/>
      <c r="H555" s="59"/>
      <c r="I555" s="59"/>
    </row>
    <row r="556" spans="2:9" ht="12.75">
      <c r="B556" s="59"/>
      <c r="C556" s="59"/>
      <c r="D556" s="59"/>
      <c r="E556" s="59"/>
      <c r="F556" s="59"/>
      <c r="G556" s="59"/>
      <c r="H556" s="59"/>
      <c r="I556" s="59"/>
    </row>
    <row r="557" spans="2:9" ht="12.75">
      <c r="B557" s="59"/>
      <c r="C557" s="59"/>
      <c r="D557" s="59"/>
      <c r="E557" s="59"/>
      <c r="F557" s="59"/>
      <c r="G557" s="59"/>
      <c r="H557" s="59"/>
      <c r="I557" s="59"/>
    </row>
    <row r="558" spans="2:9" ht="12.75">
      <c r="B558" s="59"/>
      <c r="C558" s="59"/>
      <c r="D558" s="59"/>
      <c r="E558" s="59"/>
      <c r="F558" s="59"/>
      <c r="G558" s="59"/>
      <c r="H558" s="59"/>
      <c r="I558" s="59"/>
    </row>
    <row r="559" spans="2:9" ht="12.75">
      <c r="B559" s="59"/>
      <c r="C559" s="59"/>
      <c r="D559" s="59"/>
      <c r="E559" s="59"/>
      <c r="F559" s="59"/>
      <c r="G559" s="59"/>
      <c r="H559" s="59"/>
      <c r="I559" s="59"/>
    </row>
    <row r="560" spans="2:9" ht="12.75">
      <c r="B560" s="59"/>
      <c r="C560" s="59"/>
      <c r="D560" s="59"/>
      <c r="E560" s="59"/>
      <c r="F560" s="59"/>
      <c r="G560" s="59"/>
      <c r="H560" s="59"/>
      <c r="I560" s="59"/>
    </row>
    <row r="561" spans="2:9" ht="12.75">
      <c r="B561" s="59"/>
      <c r="C561" s="59"/>
      <c r="D561" s="59"/>
      <c r="E561" s="59"/>
      <c r="F561" s="59"/>
      <c r="G561" s="59"/>
      <c r="H561" s="59"/>
      <c r="I561" s="59"/>
    </row>
    <row r="562" spans="2:9" ht="12.75">
      <c r="B562" s="59"/>
      <c r="C562" s="59"/>
      <c r="D562" s="59"/>
      <c r="E562" s="59"/>
      <c r="F562" s="59"/>
      <c r="G562" s="59"/>
      <c r="H562" s="59"/>
      <c r="I562" s="59"/>
    </row>
    <row r="563" spans="2:9" ht="12.75">
      <c r="B563" s="59"/>
      <c r="C563" s="59"/>
      <c r="D563" s="59"/>
      <c r="E563" s="59"/>
      <c r="F563" s="59"/>
      <c r="G563" s="59"/>
      <c r="H563" s="59"/>
      <c r="I563" s="59"/>
    </row>
    <row r="564" spans="2:9" ht="12.75">
      <c r="B564" s="59"/>
      <c r="C564" s="59"/>
      <c r="D564" s="59"/>
      <c r="E564" s="59"/>
      <c r="F564" s="59"/>
      <c r="G564" s="59"/>
      <c r="H564" s="59"/>
      <c r="I564" s="59"/>
    </row>
    <row r="565" spans="2:9" ht="12.75">
      <c r="B565" s="59"/>
      <c r="C565" s="59"/>
      <c r="D565" s="59"/>
      <c r="E565" s="59"/>
      <c r="F565" s="59"/>
      <c r="G565" s="59"/>
      <c r="H565" s="59"/>
      <c r="I565" s="59"/>
    </row>
    <row r="566" spans="2:9" ht="12.75">
      <c r="B566" s="59"/>
      <c r="C566" s="59"/>
      <c r="D566" s="59"/>
      <c r="E566" s="59"/>
      <c r="F566" s="59"/>
      <c r="G566" s="59"/>
      <c r="H566" s="59"/>
      <c r="I566" s="59"/>
    </row>
    <row r="567" spans="2:9" ht="12.75">
      <c r="B567" s="59"/>
      <c r="C567" s="59"/>
      <c r="D567" s="59"/>
      <c r="E567" s="59"/>
      <c r="F567" s="59"/>
      <c r="G567" s="59"/>
      <c r="H567" s="59"/>
      <c r="I567" s="59"/>
    </row>
    <row r="568" spans="2:9" ht="12.75">
      <c r="B568" s="59"/>
      <c r="C568" s="59"/>
      <c r="D568" s="59"/>
      <c r="E568" s="59"/>
      <c r="F568" s="59"/>
      <c r="G568" s="59"/>
      <c r="H568" s="59"/>
      <c r="I568" s="59"/>
    </row>
    <row r="569" spans="2:9" ht="12.75">
      <c r="B569" s="59"/>
      <c r="C569" s="59"/>
      <c r="D569" s="59"/>
      <c r="E569" s="59"/>
      <c r="F569" s="59"/>
      <c r="G569" s="59"/>
      <c r="H569" s="59"/>
      <c r="I569" s="59"/>
    </row>
    <row r="570" spans="2:9" ht="12.75">
      <c r="B570" s="59"/>
      <c r="C570" s="59"/>
      <c r="D570" s="59"/>
      <c r="E570" s="59"/>
      <c r="F570" s="59"/>
      <c r="G570" s="59"/>
      <c r="H570" s="59"/>
      <c r="I570" s="59"/>
    </row>
    <row r="571" spans="2:9" ht="12.75">
      <c r="B571" s="59"/>
      <c r="C571" s="59"/>
      <c r="D571" s="59"/>
      <c r="E571" s="59"/>
      <c r="F571" s="59"/>
      <c r="G571" s="59"/>
      <c r="H571" s="59"/>
      <c r="I571" s="59"/>
    </row>
    <row r="572" spans="2:9" ht="12.75">
      <c r="B572" s="59"/>
      <c r="C572" s="59"/>
      <c r="D572" s="59"/>
      <c r="E572" s="59"/>
      <c r="F572" s="59"/>
      <c r="G572" s="59"/>
      <c r="H572" s="59"/>
      <c r="I572" s="59"/>
    </row>
    <row r="573" spans="2:9" ht="12.75">
      <c r="B573" s="59"/>
      <c r="C573" s="59"/>
      <c r="D573" s="59"/>
      <c r="E573" s="59"/>
      <c r="F573" s="59"/>
      <c r="G573" s="59"/>
      <c r="H573" s="59"/>
      <c r="I573" s="59"/>
    </row>
    <row r="574" spans="2:9" ht="12.75">
      <c r="B574" s="59"/>
      <c r="C574" s="59"/>
      <c r="D574" s="59"/>
      <c r="E574" s="59"/>
      <c r="F574" s="59"/>
      <c r="G574" s="59"/>
      <c r="H574" s="59"/>
      <c r="I574" s="59"/>
    </row>
    <row r="575" spans="2:9" ht="12.75">
      <c r="B575" s="59"/>
      <c r="C575" s="59"/>
      <c r="D575" s="59"/>
      <c r="E575" s="59"/>
      <c r="F575" s="59"/>
      <c r="G575" s="59"/>
      <c r="H575" s="59"/>
      <c r="I575" s="59"/>
    </row>
    <row r="576" spans="2:9" ht="12.75">
      <c r="B576" s="59"/>
      <c r="C576" s="59"/>
      <c r="D576" s="59"/>
      <c r="E576" s="59"/>
      <c r="F576" s="59"/>
      <c r="G576" s="59"/>
      <c r="H576" s="59"/>
      <c r="I576" s="59"/>
    </row>
    <row r="577" spans="2:9" ht="12.75">
      <c r="B577" s="59"/>
      <c r="C577" s="59"/>
      <c r="D577" s="59"/>
      <c r="E577" s="59"/>
      <c r="F577" s="59"/>
      <c r="G577" s="59"/>
      <c r="H577" s="59"/>
      <c r="I577" s="59"/>
    </row>
    <row r="578" spans="2:9" ht="12.75">
      <c r="B578" s="59"/>
      <c r="C578" s="59"/>
      <c r="D578" s="59"/>
      <c r="E578" s="59"/>
      <c r="F578" s="59"/>
      <c r="G578" s="59"/>
      <c r="H578" s="59"/>
      <c r="I578" s="59"/>
    </row>
    <row r="579" spans="2:9" ht="12.75">
      <c r="B579" s="59"/>
      <c r="C579" s="59"/>
      <c r="D579" s="59"/>
      <c r="E579" s="59"/>
      <c r="F579" s="59"/>
      <c r="G579" s="59"/>
      <c r="H579" s="59"/>
      <c r="I579" s="59"/>
    </row>
    <row r="580" spans="2:9" ht="12.75">
      <c r="B580" s="59"/>
      <c r="C580" s="59"/>
      <c r="D580" s="59"/>
      <c r="E580" s="59"/>
      <c r="F580" s="59"/>
      <c r="G580" s="59"/>
      <c r="H580" s="59"/>
      <c r="I580" s="59"/>
    </row>
    <row r="581" spans="2:9" ht="12.75">
      <c r="B581" s="59"/>
      <c r="C581" s="59"/>
      <c r="D581" s="59"/>
      <c r="E581" s="59"/>
      <c r="F581" s="59"/>
      <c r="G581" s="59"/>
      <c r="H581" s="59"/>
      <c r="I581" s="59"/>
    </row>
    <row r="582" spans="2:9" ht="12.75">
      <c r="B582" s="59"/>
      <c r="C582" s="59"/>
      <c r="D582" s="59"/>
      <c r="E582" s="59"/>
      <c r="F582" s="59"/>
      <c r="G582" s="59"/>
      <c r="H582" s="59"/>
      <c r="I582" s="59"/>
    </row>
    <row r="583" spans="2:9" ht="12.75">
      <c r="B583" s="59"/>
      <c r="C583" s="59"/>
      <c r="D583" s="59"/>
      <c r="E583" s="59"/>
      <c r="F583" s="59"/>
      <c r="G583" s="59"/>
      <c r="H583" s="59"/>
      <c r="I583" s="59"/>
    </row>
    <row r="584" spans="2:9" ht="12.75">
      <c r="B584" s="59"/>
      <c r="C584" s="59"/>
      <c r="D584" s="59"/>
      <c r="E584" s="59"/>
      <c r="F584" s="59"/>
      <c r="G584" s="59"/>
      <c r="H584" s="59"/>
      <c r="I584" s="59"/>
    </row>
    <row r="585" spans="2:9" ht="12.75">
      <c r="B585" s="59"/>
      <c r="C585" s="59"/>
      <c r="D585" s="59"/>
      <c r="E585" s="59"/>
      <c r="F585" s="59"/>
      <c r="G585" s="59"/>
      <c r="H585" s="59"/>
      <c r="I585" s="59"/>
    </row>
    <row r="586" spans="2:9" ht="12.75">
      <c r="B586" s="59"/>
      <c r="C586" s="59"/>
      <c r="D586" s="59"/>
      <c r="E586" s="59"/>
      <c r="F586" s="59"/>
      <c r="G586" s="59"/>
      <c r="H586" s="59"/>
      <c r="I586" s="59"/>
    </row>
    <row r="587" spans="2:9" ht="12.75">
      <c r="B587" s="59"/>
      <c r="C587" s="59"/>
      <c r="D587" s="59"/>
      <c r="E587" s="59"/>
      <c r="F587" s="59"/>
      <c r="G587" s="59"/>
      <c r="H587" s="59"/>
      <c r="I587" s="59"/>
    </row>
    <row r="588" spans="2:9" ht="12.75">
      <c r="B588" s="59"/>
      <c r="C588" s="59"/>
      <c r="D588" s="59"/>
      <c r="E588" s="59"/>
      <c r="F588" s="59"/>
      <c r="G588" s="59"/>
      <c r="H588" s="59"/>
      <c r="I588" s="59"/>
    </row>
    <row r="589" spans="2:9" ht="12.75">
      <c r="B589" s="59"/>
      <c r="C589" s="59"/>
      <c r="D589" s="59"/>
      <c r="E589" s="59"/>
      <c r="F589" s="59"/>
      <c r="G589" s="59"/>
      <c r="H589" s="59"/>
      <c r="I589" s="59"/>
    </row>
    <row r="590" spans="2:9" ht="12.75">
      <c r="B590" s="59"/>
      <c r="C590" s="59"/>
      <c r="D590" s="59"/>
      <c r="E590" s="59"/>
      <c r="F590" s="59"/>
      <c r="G590" s="59"/>
      <c r="H590" s="59"/>
      <c r="I590" s="59"/>
    </row>
    <row r="591" spans="2:9" ht="12.75">
      <c r="B591" s="59"/>
      <c r="C591" s="59"/>
      <c r="D591" s="59"/>
      <c r="E591" s="59"/>
      <c r="F591" s="59"/>
      <c r="G591" s="59"/>
      <c r="H591" s="59"/>
      <c r="I591" s="59"/>
    </row>
    <row r="592" spans="2:9" ht="12.75">
      <c r="B592" s="59"/>
      <c r="C592" s="59"/>
      <c r="D592" s="59"/>
      <c r="E592" s="59"/>
      <c r="F592" s="59"/>
      <c r="G592" s="59"/>
      <c r="H592" s="59"/>
      <c r="I592" s="59"/>
    </row>
    <row r="593" spans="2:9" ht="12.75">
      <c r="B593" s="59"/>
      <c r="C593" s="59"/>
      <c r="D593" s="59"/>
      <c r="E593" s="59"/>
      <c r="F593" s="59"/>
      <c r="G593" s="59"/>
      <c r="H593" s="59"/>
      <c r="I593" s="59"/>
    </row>
    <row r="594" spans="2:9" ht="12.75">
      <c r="B594" s="59"/>
      <c r="C594" s="59"/>
      <c r="D594" s="59"/>
      <c r="E594" s="59"/>
      <c r="F594" s="59"/>
      <c r="G594" s="59"/>
      <c r="H594" s="59"/>
      <c r="I594" s="59"/>
    </row>
    <row r="595" spans="2:9" ht="12.75">
      <c r="B595" s="59"/>
      <c r="C595" s="59"/>
      <c r="D595" s="59"/>
      <c r="E595" s="59"/>
      <c r="F595" s="59"/>
      <c r="G595" s="59"/>
      <c r="H595" s="59"/>
      <c r="I595" s="59"/>
    </row>
    <row r="596" spans="2:9" ht="12.75">
      <c r="B596" s="59"/>
      <c r="C596" s="59"/>
      <c r="D596" s="59"/>
      <c r="E596" s="59"/>
      <c r="F596" s="59"/>
      <c r="G596" s="59"/>
      <c r="H596" s="59"/>
      <c r="I596" s="59"/>
    </row>
    <row r="597" spans="2:9" ht="12.75">
      <c r="B597" s="59"/>
      <c r="C597" s="59"/>
      <c r="D597" s="59"/>
      <c r="E597" s="59"/>
      <c r="F597" s="59"/>
      <c r="G597" s="59"/>
      <c r="H597" s="59"/>
      <c r="I597" s="59"/>
    </row>
    <row r="598" spans="2:9" ht="12.75">
      <c r="B598" s="59"/>
      <c r="C598" s="59"/>
      <c r="D598" s="59"/>
      <c r="E598" s="59"/>
      <c r="F598" s="59"/>
      <c r="G598" s="59"/>
      <c r="H598" s="59"/>
      <c r="I598" s="59"/>
    </row>
    <row r="599" spans="2:9" ht="12.75">
      <c r="B599" s="59"/>
      <c r="C599" s="59"/>
      <c r="D599" s="59"/>
      <c r="E599" s="59"/>
      <c r="F599" s="59"/>
      <c r="G599" s="59"/>
      <c r="H599" s="59"/>
      <c r="I599" s="59"/>
    </row>
    <row r="600" spans="2:9" ht="12.75">
      <c r="B600" s="59"/>
      <c r="C600" s="59"/>
      <c r="D600" s="59"/>
      <c r="E600" s="59"/>
      <c r="F600" s="59"/>
      <c r="G600" s="59"/>
      <c r="H600" s="59"/>
      <c r="I600" s="59"/>
    </row>
    <row r="601" spans="2:9" ht="12.75">
      <c r="B601" s="59"/>
      <c r="C601" s="59"/>
      <c r="D601" s="59"/>
      <c r="E601" s="59"/>
      <c r="F601" s="59"/>
      <c r="G601" s="59"/>
      <c r="H601" s="59"/>
      <c r="I601" s="59"/>
    </row>
    <row r="602" spans="2:9" ht="12.75">
      <c r="B602" s="59"/>
      <c r="C602" s="59"/>
      <c r="D602" s="59"/>
      <c r="E602" s="59"/>
      <c r="F602" s="59"/>
      <c r="G602" s="59"/>
      <c r="H602" s="59"/>
      <c r="I602" s="59"/>
    </row>
    <row r="603" spans="2:9" ht="12.75">
      <c r="B603" s="59"/>
      <c r="C603" s="59"/>
      <c r="D603" s="59"/>
      <c r="E603" s="59"/>
      <c r="F603" s="59"/>
      <c r="G603" s="59"/>
      <c r="H603" s="59"/>
      <c r="I603" s="59"/>
    </row>
    <row r="604" spans="2:9" ht="12.75">
      <c r="B604" s="59"/>
      <c r="C604" s="59"/>
      <c r="D604" s="59"/>
      <c r="E604" s="59"/>
      <c r="F604" s="59"/>
      <c r="G604" s="59"/>
      <c r="H604" s="59"/>
      <c r="I604" s="59"/>
    </row>
    <row r="605" spans="2:9" ht="12.75">
      <c r="B605" s="59"/>
      <c r="C605" s="59"/>
      <c r="D605" s="59"/>
      <c r="E605" s="59"/>
      <c r="F605" s="59"/>
      <c r="G605" s="59"/>
      <c r="H605" s="59"/>
      <c r="I605" s="59"/>
    </row>
    <row r="606" spans="2:9" ht="12.75">
      <c r="B606" s="59"/>
      <c r="C606" s="59"/>
      <c r="D606" s="59"/>
      <c r="E606" s="59"/>
      <c r="F606" s="59"/>
      <c r="G606" s="59"/>
      <c r="H606" s="59"/>
      <c r="I606" s="59"/>
    </row>
    <row r="607" spans="2:9" ht="12.75">
      <c r="B607" s="59"/>
      <c r="C607" s="59"/>
      <c r="D607" s="59"/>
      <c r="E607" s="59"/>
      <c r="F607" s="59"/>
      <c r="G607" s="59"/>
      <c r="H607" s="59"/>
      <c r="I607" s="59"/>
    </row>
    <row r="608" spans="2:9" ht="12.75">
      <c r="B608" s="59"/>
      <c r="C608" s="59"/>
      <c r="D608" s="59"/>
      <c r="E608" s="59"/>
      <c r="F608" s="59"/>
      <c r="G608" s="59"/>
      <c r="H608" s="59"/>
      <c r="I608" s="59"/>
    </row>
    <row r="609" spans="2:9" ht="12.75">
      <c r="B609" s="59"/>
      <c r="C609" s="59"/>
      <c r="D609" s="59"/>
      <c r="E609" s="59"/>
      <c r="F609" s="59"/>
      <c r="G609" s="59"/>
      <c r="H609" s="59"/>
      <c r="I609" s="59"/>
    </row>
    <row r="610" spans="2:9" ht="12.75">
      <c r="B610" s="59"/>
      <c r="C610" s="59"/>
      <c r="D610" s="59"/>
      <c r="E610" s="59"/>
      <c r="F610" s="59"/>
      <c r="G610" s="59"/>
      <c r="H610" s="59"/>
      <c r="I610" s="59"/>
    </row>
    <row r="611" spans="2:9" ht="12.75">
      <c r="B611" s="59"/>
      <c r="C611" s="59"/>
      <c r="D611" s="59"/>
      <c r="E611" s="59"/>
      <c r="F611" s="59"/>
      <c r="G611" s="59"/>
      <c r="H611" s="59"/>
      <c r="I611" s="59"/>
    </row>
    <row r="612" spans="2:9" ht="12.75">
      <c r="B612" s="59"/>
      <c r="C612" s="59"/>
      <c r="D612" s="59"/>
      <c r="E612" s="59"/>
      <c r="F612" s="59"/>
      <c r="G612" s="59"/>
      <c r="H612" s="59"/>
      <c r="I612" s="59"/>
    </row>
    <row r="613" spans="2:9" ht="12.75">
      <c r="B613" s="59"/>
      <c r="C613" s="59"/>
      <c r="D613" s="59"/>
      <c r="E613" s="59"/>
      <c r="F613" s="59"/>
      <c r="G613" s="59"/>
      <c r="H613" s="59"/>
      <c r="I613" s="59"/>
    </row>
    <row r="614" spans="2:9" ht="12.75">
      <c r="B614" s="59"/>
      <c r="C614" s="59"/>
      <c r="D614" s="59"/>
      <c r="E614" s="59"/>
      <c r="F614" s="59"/>
      <c r="G614" s="59"/>
      <c r="H614" s="59"/>
      <c r="I614" s="59"/>
    </row>
    <row r="615" spans="2:9" ht="12.75">
      <c r="B615" s="59"/>
      <c r="C615" s="59"/>
      <c r="D615" s="59"/>
      <c r="E615" s="59"/>
      <c r="F615" s="59"/>
      <c r="G615" s="59"/>
      <c r="H615" s="59"/>
      <c r="I615" s="59"/>
    </row>
    <row r="616" spans="2:9" ht="12.75">
      <c r="B616" s="59"/>
      <c r="C616" s="59"/>
      <c r="D616" s="59"/>
      <c r="E616" s="59"/>
      <c r="F616" s="59"/>
      <c r="G616" s="59"/>
      <c r="H616" s="59"/>
      <c r="I616" s="59"/>
    </row>
    <row r="617" spans="2:9" ht="12.75">
      <c r="B617" s="59"/>
      <c r="C617" s="59"/>
      <c r="D617" s="59"/>
      <c r="E617" s="59"/>
      <c r="F617" s="59"/>
      <c r="G617" s="59"/>
      <c r="H617" s="59"/>
      <c r="I617" s="59"/>
    </row>
    <row r="618" spans="2:9" ht="12.75">
      <c r="B618" s="59"/>
      <c r="C618" s="59"/>
      <c r="D618" s="59"/>
      <c r="E618" s="59"/>
      <c r="F618" s="59"/>
      <c r="G618" s="59"/>
      <c r="H618" s="59"/>
      <c r="I618" s="59"/>
    </row>
    <row r="619" spans="2:9" ht="12.75">
      <c r="B619" s="59"/>
      <c r="C619" s="59"/>
      <c r="D619" s="59"/>
      <c r="E619" s="59"/>
      <c r="F619" s="59"/>
      <c r="G619" s="59"/>
      <c r="H619" s="59"/>
      <c r="I619" s="59"/>
    </row>
    <row r="620" spans="2:9" ht="12.75">
      <c r="B620" s="59"/>
      <c r="C620" s="59"/>
      <c r="D620" s="59"/>
      <c r="E620" s="59"/>
      <c r="F620" s="59"/>
      <c r="G620" s="59"/>
      <c r="H620" s="59"/>
      <c r="I620" s="59"/>
    </row>
    <row r="621" spans="2:9" ht="12.75">
      <c r="B621" s="59"/>
      <c r="C621" s="59"/>
      <c r="D621" s="59"/>
      <c r="E621" s="59"/>
      <c r="F621" s="59"/>
      <c r="G621" s="59"/>
      <c r="H621" s="59"/>
      <c r="I621" s="59"/>
    </row>
    <row r="622" spans="2:9" ht="12.75">
      <c r="B622" s="59"/>
      <c r="C622" s="59"/>
      <c r="D622" s="59"/>
      <c r="E622" s="59"/>
      <c r="F622" s="59"/>
      <c r="G622" s="59"/>
      <c r="H622" s="59"/>
      <c r="I622" s="59"/>
    </row>
    <row r="623" spans="2:9" ht="12.75">
      <c r="B623" s="59"/>
      <c r="C623" s="59"/>
      <c r="D623" s="59"/>
      <c r="E623" s="59"/>
      <c r="F623" s="59"/>
      <c r="G623" s="59"/>
      <c r="H623" s="59"/>
      <c r="I623" s="59"/>
    </row>
    <row r="624" spans="2:9" ht="12.75">
      <c r="B624" s="59"/>
      <c r="C624" s="59"/>
      <c r="D624" s="59"/>
      <c r="E624" s="59"/>
      <c r="F624" s="59"/>
      <c r="G624" s="59"/>
      <c r="H624" s="59"/>
      <c r="I624" s="59"/>
    </row>
    <row r="625" spans="2:9" ht="12.75">
      <c r="B625" s="59"/>
      <c r="C625" s="59"/>
      <c r="D625" s="59"/>
      <c r="E625" s="59"/>
      <c r="F625" s="59"/>
      <c r="G625" s="59"/>
      <c r="H625" s="59"/>
      <c r="I625" s="59"/>
    </row>
    <row r="626" spans="2:9" ht="12.75">
      <c r="B626" s="59"/>
      <c r="C626" s="59"/>
      <c r="D626" s="59"/>
      <c r="E626" s="59"/>
      <c r="F626" s="59"/>
      <c r="G626" s="59"/>
      <c r="H626" s="59"/>
      <c r="I626" s="59"/>
    </row>
    <row r="627" spans="2:9" ht="12.75">
      <c r="B627" s="59"/>
      <c r="C627" s="59"/>
      <c r="D627" s="59"/>
      <c r="E627" s="59"/>
      <c r="F627" s="59"/>
      <c r="G627" s="59"/>
      <c r="H627" s="59"/>
      <c r="I627" s="59"/>
    </row>
    <row r="628" spans="2:9" ht="12.75">
      <c r="B628" s="59"/>
      <c r="C628" s="59"/>
      <c r="D628" s="59"/>
      <c r="E628" s="59"/>
      <c r="F628" s="59"/>
      <c r="G628" s="59"/>
      <c r="H628" s="59"/>
      <c r="I628" s="59"/>
    </row>
    <row r="629" spans="2:9" ht="12.75">
      <c r="B629" s="59"/>
      <c r="C629" s="59"/>
      <c r="D629" s="59"/>
      <c r="E629" s="59"/>
      <c r="F629" s="59"/>
      <c r="G629" s="59"/>
      <c r="H629" s="59"/>
      <c r="I629" s="59"/>
    </row>
    <row r="630" spans="2:9" ht="12.75">
      <c r="B630" s="59"/>
      <c r="C630" s="59"/>
      <c r="D630" s="59"/>
      <c r="E630" s="59"/>
      <c r="F630" s="59"/>
      <c r="G630" s="59"/>
      <c r="H630" s="59"/>
      <c r="I630" s="59"/>
    </row>
    <row r="631" spans="2:9" ht="12.75">
      <c r="B631" s="59"/>
      <c r="C631" s="59"/>
      <c r="D631" s="59"/>
      <c r="E631" s="59"/>
      <c r="F631" s="59"/>
      <c r="G631" s="59"/>
      <c r="H631" s="59"/>
      <c r="I631" s="59"/>
    </row>
    <row r="632" spans="2:9" ht="12.75">
      <c r="B632" s="59"/>
      <c r="C632" s="59"/>
      <c r="D632" s="59"/>
      <c r="E632" s="59"/>
      <c r="F632" s="59"/>
      <c r="G632" s="59"/>
      <c r="H632" s="59"/>
      <c r="I632" s="59"/>
    </row>
    <row r="633" spans="2:9" ht="12.75">
      <c r="B633" s="59"/>
      <c r="C633" s="59"/>
      <c r="D633" s="59"/>
      <c r="E633" s="59"/>
      <c r="F633" s="59"/>
      <c r="G633" s="59"/>
      <c r="H633" s="59"/>
      <c r="I633" s="59"/>
    </row>
    <row r="634" spans="2:9" ht="12.75">
      <c r="B634" s="59"/>
      <c r="C634" s="59"/>
      <c r="D634" s="59"/>
      <c r="E634" s="59"/>
      <c r="F634" s="59"/>
      <c r="G634" s="59"/>
      <c r="H634" s="59"/>
      <c r="I634" s="59"/>
    </row>
    <row r="635" spans="2:9" ht="12.75">
      <c r="B635" s="59"/>
      <c r="C635" s="59"/>
      <c r="D635" s="59"/>
      <c r="E635" s="59"/>
      <c r="F635" s="59"/>
      <c r="G635" s="59"/>
      <c r="H635" s="59"/>
      <c r="I635" s="59"/>
    </row>
    <row r="636" spans="2:9" ht="12.75">
      <c r="B636" s="59"/>
      <c r="C636" s="59"/>
      <c r="D636" s="59"/>
      <c r="E636" s="59"/>
      <c r="F636" s="59"/>
      <c r="G636" s="59"/>
      <c r="H636" s="59"/>
      <c r="I636" s="59"/>
    </row>
    <row r="637" spans="2:9" ht="12.75">
      <c r="B637" s="59"/>
      <c r="C637" s="59"/>
      <c r="D637" s="59"/>
      <c r="E637" s="59"/>
      <c r="F637" s="59"/>
      <c r="G637" s="59"/>
      <c r="H637" s="59"/>
      <c r="I637" s="59"/>
    </row>
    <row r="638" spans="2:9" ht="12.75">
      <c r="B638" s="59"/>
      <c r="C638" s="59"/>
      <c r="D638" s="59"/>
      <c r="E638" s="59"/>
      <c r="F638" s="59"/>
      <c r="G638" s="59"/>
      <c r="H638" s="59"/>
      <c r="I638" s="59"/>
    </row>
    <row r="639" spans="2:9" ht="12.75">
      <c r="B639" s="59"/>
      <c r="C639" s="59"/>
      <c r="D639" s="59"/>
      <c r="E639" s="59"/>
      <c r="F639" s="59"/>
      <c r="G639" s="59"/>
      <c r="H639" s="59"/>
      <c r="I639" s="59"/>
    </row>
    <row r="640" spans="2:9" ht="12.75">
      <c r="B640" s="59"/>
      <c r="C640" s="59"/>
      <c r="D640" s="59"/>
      <c r="E640" s="59"/>
      <c r="F640" s="59"/>
      <c r="G640" s="59"/>
      <c r="H640" s="59"/>
      <c r="I640" s="59"/>
    </row>
    <row r="641" spans="2:9" ht="12.75">
      <c r="B641" s="59"/>
      <c r="C641" s="59"/>
      <c r="D641" s="59"/>
      <c r="E641" s="59"/>
      <c r="F641" s="59"/>
      <c r="G641" s="59"/>
      <c r="H641" s="59"/>
      <c r="I641" s="59"/>
    </row>
    <row r="642" spans="2:9" ht="12.75">
      <c r="B642" s="59"/>
      <c r="C642" s="59"/>
      <c r="D642" s="59"/>
      <c r="E642" s="59"/>
      <c r="F642" s="59"/>
      <c r="G642" s="59"/>
      <c r="H642" s="59"/>
      <c r="I642" s="59"/>
    </row>
    <row r="643" spans="2:9" ht="12.75">
      <c r="B643" s="59"/>
      <c r="C643" s="59"/>
      <c r="D643" s="59"/>
      <c r="E643" s="59"/>
      <c r="F643" s="59"/>
      <c r="G643" s="59"/>
      <c r="H643" s="59"/>
      <c r="I643" s="59"/>
    </row>
    <row r="644" spans="2:9" ht="12.75">
      <c r="B644" s="59"/>
      <c r="C644" s="59"/>
      <c r="D644" s="59"/>
      <c r="E644" s="59"/>
      <c r="F644" s="59"/>
      <c r="G644" s="59"/>
      <c r="H644" s="59"/>
      <c r="I644" s="59"/>
    </row>
    <row r="645" spans="2:9" ht="12.75">
      <c r="B645" s="59"/>
      <c r="C645" s="59"/>
      <c r="D645" s="59"/>
      <c r="E645" s="59"/>
      <c r="F645" s="59"/>
      <c r="G645" s="59"/>
      <c r="H645" s="59"/>
      <c r="I645" s="59"/>
    </row>
    <row r="646" spans="2:9" ht="12.75">
      <c r="B646" s="59"/>
      <c r="C646" s="59"/>
      <c r="D646" s="59"/>
      <c r="E646" s="59"/>
      <c r="F646" s="59"/>
      <c r="G646" s="59"/>
      <c r="H646" s="59"/>
      <c r="I646" s="59"/>
    </row>
    <row r="647" spans="2:9" ht="12.75">
      <c r="B647" s="59"/>
      <c r="C647" s="59"/>
      <c r="D647" s="59"/>
      <c r="E647" s="59"/>
      <c r="F647" s="59"/>
      <c r="G647" s="59"/>
      <c r="H647" s="59"/>
      <c r="I647" s="59"/>
    </row>
    <row r="648" spans="2:9" ht="12.75">
      <c r="B648" s="59"/>
      <c r="C648" s="59"/>
      <c r="D648" s="59"/>
      <c r="E648" s="59"/>
      <c r="F648" s="59"/>
      <c r="G648" s="59"/>
      <c r="H648" s="59"/>
      <c r="I648" s="59"/>
    </row>
    <row r="649" spans="2:9" ht="12.75">
      <c r="B649" s="59"/>
      <c r="C649" s="59"/>
      <c r="D649" s="59"/>
      <c r="E649" s="59"/>
      <c r="F649" s="59"/>
      <c r="G649" s="59"/>
      <c r="H649" s="59"/>
      <c r="I649" s="59"/>
    </row>
    <row r="650" spans="2:9" ht="12.75">
      <c r="B650" s="59"/>
      <c r="C650" s="59"/>
      <c r="D650" s="59"/>
      <c r="E650" s="59"/>
      <c r="F650" s="59"/>
      <c r="G650" s="59"/>
      <c r="H650" s="59"/>
      <c r="I650" s="59"/>
    </row>
    <row r="651" spans="2:9" ht="12.75">
      <c r="B651" s="59"/>
      <c r="C651" s="59"/>
      <c r="D651" s="59"/>
      <c r="E651" s="59"/>
      <c r="F651" s="59"/>
      <c r="G651" s="59"/>
      <c r="H651" s="59"/>
      <c r="I651" s="59"/>
    </row>
    <row r="652" spans="2:9" ht="12.75">
      <c r="B652" s="59"/>
      <c r="C652" s="59"/>
      <c r="D652" s="59"/>
      <c r="E652" s="59"/>
      <c r="F652" s="59"/>
      <c r="G652" s="59"/>
      <c r="H652" s="59"/>
      <c r="I652" s="59"/>
    </row>
    <row r="653" spans="2:9" ht="12.75">
      <c r="B653" s="59"/>
      <c r="C653" s="59"/>
      <c r="D653" s="59"/>
      <c r="E653" s="59"/>
      <c r="F653" s="59"/>
      <c r="G653" s="59"/>
      <c r="H653" s="59"/>
      <c r="I653" s="59"/>
    </row>
    <row r="654" spans="2:9" ht="12.75">
      <c r="B654" s="59"/>
      <c r="C654" s="59"/>
      <c r="D654" s="59"/>
      <c r="E654" s="59"/>
      <c r="F654" s="59"/>
      <c r="G654" s="59"/>
      <c r="H654" s="59"/>
      <c r="I654" s="59"/>
    </row>
    <row r="655" spans="2:9" ht="12.75">
      <c r="B655" s="59"/>
      <c r="C655" s="59"/>
      <c r="D655" s="59"/>
      <c r="E655" s="59"/>
      <c r="F655" s="59"/>
      <c r="G655" s="59"/>
      <c r="H655" s="59"/>
      <c r="I655" s="59"/>
    </row>
    <row r="656" spans="2:9" ht="12.75">
      <c r="B656" s="59"/>
      <c r="C656" s="59"/>
      <c r="D656" s="59"/>
      <c r="E656" s="59"/>
      <c r="F656" s="59"/>
      <c r="G656" s="59"/>
      <c r="H656" s="59"/>
      <c r="I656" s="59"/>
    </row>
    <row r="657" spans="2:9" ht="12.75">
      <c r="B657" s="59"/>
      <c r="C657" s="59"/>
      <c r="D657" s="59"/>
      <c r="E657" s="59"/>
      <c r="F657" s="59"/>
      <c r="G657" s="59"/>
      <c r="H657" s="59"/>
      <c r="I657" s="59"/>
    </row>
    <row r="658" spans="2:9" ht="12.75">
      <c r="B658" s="59"/>
      <c r="C658" s="59"/>
      <c r="D658" s="59"/>
      <c r="E658" s="59"/>
      <c r="F658" s="59"/>
      <c r="G658" s="59"/>
      <c r="H658" s="59"/>
      <c r="I658" s="59"/>
    </row>
    <row r="659" spans="2:9" ht="12.75">
      <c r="B659" s="59"/>
      <c r="C659" s="59"/>
      <c r="D659" s="59"/>
      <c r="E659" s="59"/>
      <c r="F659" s="59"/>
      <c r="G659" s="59"/>
      <c r="H659" s="59"/>
      <c r="I659" s="59"/>
    </row>
    <row r="660" spans="2:9" ht="12.75">
      <c r="B660" s="59"/>
      <c r="C660" s="59"/>
      <c r="D660" s="59"/>
      <c r="E660" s="59"/>
      <c r="F660" s="59"/>
      <c r="G660" s="59"/>
      <c r="H660" s="59"/>
      <c r="I660" s="59"/>
    </row>
    <row r="661" spans="2:9" ht="12.75">
      <c r="B661" s="59"/>
      <c r="C661" s="59"/>
      <c r="D661" s="59"/>
      <c r="E661" s="59"/>
      <c r="F661" s="59"/>
      <c r="G661" s="59"/>
      <c r="H661" s="59"/>
      <c r="I661" s="59"/>
    </row>
    <row r="662" spans="2:9" ht="12.75">
      <c r="B662" s="59"/>
      <c r="C662" s="59"/>
      <c r="D662" s="59"/>
      <c r="E662" s="59"/>
      <c r="F662" s="59"/>
      <c r="G662" s="59"/>
      <c r="H662" s="59"/>
      <c r="I662" s="59"/>
    </row>
    <row r="663" spans="2:9" ht="12.75">
      <c r="B663" s="59"/>
      <c r="C663" s="59"/>
      <c r="D663" s="59"/>
      <c r="E663" s="59"/>
      <c r="F663" s="59"/>
      <c r="G663" s="59"/>
      <c r="H663" s="59"/>
      <c r="I663" s="59"/>
    </row>
    <row r="664" spans="2:9" ht="12.75">
      <c r="B664" s="59"/>
      <c r="C664" s="59"/>
      <c r="D664" s="59"/>
      <c r="E664" s="59"/>
      <c r="F664" s="59"/>
      <c r="G664" s="59"/>
      <c r="H664" s="59"/>
      <c r="I664" s="59"/>
    </row>
    <row r="665" spans="2:9" ht="12.75">
      <c r="B665" s="59"/>
      <c r="C665" s="59"/>
      <c r="D665" s="59"/>
      <c r="E665" s="59"/>
      <c r="F665" s="59"/>
      <c r="G665" s="59"/>
      <c r="H665" s="59"/>
      <c r="I665" s="59"/>
    </row>
    <row r="666" spans="2:9" ht="12.75">
      <c r="B666" s="59"/>
      <c r="C666" s="59"/>
      <c r="D666" s="59"/>
      <c r="E666" s="59"/>
      <c r="F666" s="59"/>
      <c r="G666" s="59"/>
      <c r="H666" s="59"/>
      <c r="I666" s="59"/>
    </row>
    <row r="667" spans="2:9" ht="12.75">
      <c r="B667" s="59"/>
      <c r="C667" s="59"/>
      <c r="D667" s="59"/>
      <c r="E667" s="59"/>
      <c r="F667" s="59"/>
      <c r="G667" s="59"/>
      <c r="H667" s="59"/>
      <c r="I667" s="59"/>
    </row>
    <row r="668" spans="2:9" ht="12.75">
      <c r="B668" s="59"/>
      <c r="C668" s="59"/>
      <c r="D668" s="59"/>
      <c r="E668" s="59"/>
      <c r="F668" s="59"/>
      <c r="G668" s="59"/>
      <c r="H668" s="59"/>
      <c r="I668" s="59"/>
    </row>
    <row r="669" spans="2:9" ht="12.75">
      <c r="B669" s="59"/>
      <c r="C669" s="59"/>
      <c r="D669" s="59"/>
      <c r="E669" s="59"/>
      <c r="F669" s="59"/>
      <c r="G669" s="59"/>
      <c r="H669" s="59"/>
      <c r="I669" s="59"/>
    </row>
    <row r="670" spans="2:9" ht="12.75">
      <c r="B670" s="59"/>
      <c r="C670" s="59"/>
      <c r="D670" s="59"/>
      <c r="E670" s="59"/>
      <c r="F670" s="59"/>
      <c r="G670" s="59"/>
      <c r="H670" s="59"/>
      <c r="I670" s="59"/>
    </row>
    <row r="671" spans="2:9" ht="12.75">
      <c r="B671" s="59"/>
      <c r="C671" s="59"/>
      <c r="D671" s="59"/>
      <c r="E671" s="59"/>
      <c r="F671" s="59"/>
      <c r="G671" s="59"/>
      <c r="H671" s="59"/>
      <c r="I671" s="59"/>
    </row>
    <row r="672" spans="2:9" ht="12.75">
      <c r="B672" s="59"/>
      <c r="C672" s="59"/>
      <c r="D672" s="59"/>
      <c r="E672" s="59"/>
      <c r="F672" s="59"/>
      <c r="G672" s="59"/>
      <c r="H672" s="59"/>
      <c r="I672" s="59"/>
    </row>
    <row r="673" spans="2:9" ht="12.75">
      <c r="B673" s="59"/>
      <c r="C673" s="59"/>
      <c r="D673" s="59"/>
      <c r="E673" s="59"/>
      <c r="F673" s="59"/>
      <c r="G673" s="59"/>
      <c r="H673" s="59"/>
      <c r="I673" s="59"/>
    </row>
    <row r="674" spans="2:9" ht="12.75">
      <c r="B674" s="59"/>
      <c r="C674" s="59"/>
      <c r="D674" s="59"/>
      <c r="E674" s="59"/>
      <c r="F674" s="59"/>
      <c r="G674" s="59"/>
      <c r="H674" s="59"/>
      <c r="I674" s="59"/>
    </row>
    <row r="675" spans="2:9" ht="12.75">
      <c r="B675" s="59"/>
      <c r="C675" s="59"/>
      <c r="D675" s="59"/>
      <c r="E675" s="59"/>
      <c r="F675" s="59"/>
      <c r="G675" s="59"/>
      <c r="H675" s="59"/>
      <c r="I675" s="59"/>
    </row>
    <row r="676" spans="2:9" ht="12.75">
      <c r="B676" s="59"/>
      <c r="C676" s="59"/>
      <c r="D676" s="59"/>
      <c r="E676" s="59"/>
      <c r="F676" s="59"/>
      <c r="G676" s="59"/>
      <c r="H676" s="59"/>
      <c r="I676" s="59"/>
    </row>
    <row r="677" spans="2:9" ht="12.75">
      <c r="B677" s="59"/>
      <c r="C677" s="59"/>
      <c r="D677" s="59"/>
      <c r="E677" s="59"/>
      <c r="F677" s="59"/>
      <c r="G677" s="59"/>
      <c r="H677" s="59"/>
      <c r="I677" s="59"/>
    </row>
    <row r="678" spans="2:9" ht="12.75">
      <c r="B678" s="59"/>
      <c r="C678" s="59"/>
      <c r="D678" s="59"/>
      <c r="E678" s="59"/>
      <c r="F678" s="59"/>
      <c r="G678" s="59"/>
      <c r="H678" s="59"/>
      <c r="I678" s="59"/>
    </row>
    <row r="679" spans="2:9" ht="12.75">
      <c r="B679" s="59"/>
      <c r="C679" s="59"/>
      <c r="D679" s="59"/>
      <c r="E679" s="59"/>
      <c r="F679" s="59"/>
      <c r="G679" s="59"/>
      <c r="H679" s="59"/>
      <c r="I679" s="59"/>
    </row>
    <row r="680" spans="2:9" ht="12.75">
      <c r="B680" s="59"/>
      <c r="C680" s="59"/>
      <c r="D680" s="59"/>
      <c r="E680" s="59"/>
      <c r="F680" s="59"/>
      <c r="G680" s="59"/>
      <c r="H680" s="59"/>
      <c r="I680" s="59"/>
    </row>
    <row r="681" spans="2:9" ht="12.75">
      <c r="B681" s="59"/>
      <c r="C681" s="59"/>
      <c r="D681" s="59"/>
      <c r="E681" s="59"/>
      <c r="F681" s="59"/>
      <c r="G681" s="59"/>
      <c r="H681" s="59"/>
      <c r="I681" s="59"/>
    </row>
    <row r="682" spans="2:9" ht="12.75">
      <c r="B682" s="59"/>
      <c r="C682" s="59"/>
      <c r="D682" s="59"/>
      <c r="E682" s="59"/>
      <c r="F682" s="59"/>
      <c r="G682" s="59"/>
      <c r="H682" s="59"/>
      <c r="I682" s="59"/>
    </row>
    <row r="683" spans="2:9" ht="12.75">
      <c r="B683" s="59"/>
      <c r="C683" s="59"/>
      <c r="D683" s="59"/>
      <c r="E683" s="59"/>
      <c r="F683" s="59"/>
      <c r="G683" s="59"/>
      <c r="H683" s="59"/>
      <c r="I683" s="59"/>
    </row>
    <row r="684" spans="2:9" ht="12.75">
      <c r="B684" s="59"/>
      <c r="C684" s="59"/>
      <c r="D684" s="59"/>
      <c r="E684" s="59"/>
      <c r="F684" s="59"/>
      <c r="G684" s="59"/>
      <c r="H684" s="59"/>
      <c r="I684" s="59"/>
    </row>
    <row r="685" spans="2:9" ht="12.75">
      <c r="B685" s="59"/>
      <c r="C685" s="59"/>
      <c r="D685" s="59"/>
      <c r="E685" s="59"/>
      <c r="F685" s="59"/>
      <c r="G685" s="59"/>
      <c r="H685" s="59"/>
      <c r="I685" s="59"/>
    </row>
    <row r="686" spans="2:9" ht="12.75">
      <c r="B686" s="59"/>
      <c r="C686" s="59"/>
      <c r="D686" s="59"/>
      <c r="E686" s="59"/>
      <c r="F686" s="59"/>
      <c r="G686" s="59"/>
      <c r="H686" s="59"/>
      <c r="I686" s="59"/>
    </row>
    <row r="687" spans="2:9" ht="12.75">
      <c r="B687" s="59"/>
      <c r="C687" s="59"/>
      <c r="D687" s="59"/>
      <c r="E687" s="59"/>
      <c r="F687" s="59"/>
      <c r="G687" s="59"/>
      <c r="H687" s="59"/>
      <c r="I687" s="59"/>
    </row>
    <row r="688" spans="2:9" ht="12.75">
      <c r="B688" s="59"/>
      <c r="C688" s="59"/>
      <c r="D688" s="59"/>
      <c r="E688" s="59"/>
      <c r="F688" s="59"/>
      <c r="G688" s="59"/>
      <c r="H688" s="59"/>
      <c r="I688" s="59"/>
    </row>
    <row r="689" spans="2:9" ht="12.75">
      <c r="B689" s="59"/>
      <c r="C689" s="59"/>
      <c r="D689" s="59"/>
      <c r="E689" s="59"/>
      <c r="F689" s="59"/>
      <c r="G689" s="59"/>
      <c r="H689" s="59"/>
      <c r="I689" s="59"/>
    </row>
    <row r="690" spans="2:9" ht="12.75">
      <c r="B690" s="59"/>
      <c r="C690" s="59"/>
      <c r="D690" s="59"/>
      <c r="E690" s="59"/>
      <c r="F690" s="59"/>
      <c r="G690" s="59"/>
      <c r="H690" s="59"/>
      <c r="I690" s="59"/>
    </row>
    <row r="691" spans="2:9" ht="12.75">
      <c r="B691" s="59"/>
      <c r="C691" s="59"/>
      <c r="D691" s="59"/>
      <c r="E691" s="59"/>
      <c r="F691" s="59"/>
      <c r="G691" s="59"/>
      <c r="H691" s="59"/>
      <c r="I691" s="59"/>
    </row>
    <row r="692" spans="2:9" ht="12.75">
      <c r="B692" s="59"/>
      <c r="C692" s="59"/>
      <c r="D692" s="59"/>
      <c r="E692" s="59"/>
      <c r="F692" s="59"/>
      <c r="G692" s="59"/>
      <c r="H692" s="59"/>
      <c r="I692" s="59"/>
    </row>
    <row r="693" spans="2:9" ht="12.75">
      <c r="B693" s="59"/>
      <c r="C693" s="59"/>
      <c r="D693" s="59"/>
      <c r="E693" s="59"/>
      <c r="F693" s="59"/>
      <c r="G693" s="59"/>
      <c r="H693" s="59"/>
      <c r="I693" s="59"/>
    </row>
    <row r="694" spans="2:9" ht="12.75">
      <c r="B694" s="59"/>
      <c r="C694" s="59"/>
      <c r="D694" s="59"/>
      <c r="E694" s="59"/>
      <c r="F694" s="59"/>
      <c r="G694" s="59"/>
      <c r="H694" s="59"/>
      <c r="I694" s="59"/>
    </row>
    <row r="695" spans="2:9" ht="12.75">
      <c r="B695" s="59"/>
      <c r="C695" s="59"/>
      <c r="D695" s="59"/>
      <c r="E695" s="59"/>
      <c r="F695" s="59"/>
      <c r="G695" s="59"/>
      <c r="H695" s="59"/>
      <c r="I695" s="59"/>
    </row>
    <row r="696" spans="2:9" ht="12.75">
      <c r="B696" s="59"/>
      <c r="C696" s="59"/>
      <c r="D696" s="59"/>
      <c r="E696" s="59"/>
      <c r="F696" s="59"/>
      <c r="G696" s="59"/>
      <c r="H696" s="59"/>
      <c r="I696" s="59"/>
    </row>
    <row r="697" spans="2:9" ht="12.75">
      <c r="B697" s="59"/>
      <c r="C697" s="59"/>
      <c r="D697" s="59"/>
      <c r="E697" s="59"/>
      <c r="F697" s="59"/>
      <c r="G697" s="59"/>
      <c r="H697" s="59"/>
      <c r="I697" s="59"/>
    </row>
    <row r="698" spans="2:9" ht="12.75">
      <c r="B698" s="59"/>
      <c r="C698" s="59"/>
      <c r="D698" s="59"/>
      <c r="E698" s="59"/>
      <c r="F698" s="59"/>
      <c r="G698" s="59"/>
      <c r="H698" s="59"/>
      <c r="I698" s="59"/>
    </row>
    <row r="699" spans="2:9" ht="12.75">
      <c r="B699" s="59"/>
      <c r="C699" s="59"/>
      <c r="D699" s="59"/>
      <c r="E699" s="59"/>
      <c r="F699" s="59"/>
      <c r="G699" s="59"/>
      <c r="H699" s="59"/>
      <c r="I699" s="59"/>
    </row>
    <row r="700" spans="2:9" ht="12.75">
      <c r="B700" s="59"/>
      <c r="C700" s="59"/>
      <c r="D700" s="59"/>
      <c r="E700" s="59"/>
      <c r="F700" s="59"/>
      <c r="G700" s="59"/>
      <c r="H700" s="59"/>
      <c r="I700" s="59"/>
    </row>
    <row r="701" spans="2:9" ht="12.75">
      <c r="B701" s="59"/>
      <c r="C701" s="59"/>
      <c r="D701" s="59"/>
      <c r="E701" s="59"/>
      <c r="F701" s="59"/>
      <c r="G701" s="59"/>
      <c r="H701" s="59"/>
      <c r="I701" s="59"/>
    </row>
    <row r="702" spans="2:9" ht="12.75">
      <c r="B702" s="59"/>
      <c r="C702" s="59"/>
      <c r="D702" s="59"/>
      <c r="E702" s="59"/>
      <c r="F702" s="59"/>
      <c r="G702" s="59"/>
      <c r="H702" s="59"/>
      <c r="I702" s="59"/>
    </row>
    <row r="703" spans="2:9" ht="12.75">
      <c r="B703" s="59"/>
      <c r="C703" s="59"/>
      <c r="D703" s="59"/>
      <c r="E703" s="59"/>
      <c r="F703" s="59"/>
      <c r="G703" s="59"/>
      <c r="H703" s="59"/>
      <c r="I703" s="59"/>
    </row>
    <row r="704" spans="2:9" ht="12.75">
      <c r="B704" s="59"/>
      <c r="C704" s="59"/>
      <c r="D704" s="59"/>
      <c r="E704" s="59"/>
      <c r="F704" s="59"/>
      <c r="G704" s="59"/>
      <c r="H704" s="59"/>
      <c r="I704" s="59"/>
    </row>
    <row r="705" spans="2:9" ht="12.75">
      <c r="B705" s="59"/>
      <c r="C705" s="59"/>
      <c r="D705" s="59"/>
      <c r="E705" s="59"/>
      <c r="F705" s="59"/>
      <c r="G705" s="59"/>
      <c r="H705" s="59"/>
      <c r="I705" s="59"/>
    </row>
    <row r="706" spans="2:9" ht="12.75">
      <c r="B706" s="59"/>
      <c r="C706" s="59"/>
      <c r="D706" s="59"/>
      <c r="E706" s="59"/>
      <c r="F706" s="59"/>
      <c r="G706" s="59"/>
      <c r="H706" s="59"/>
      <c r="I706" s="59"/>
    </row>
    <row r="707" spans="2:9" ht="12.75">
      <c r="B707" s="59"/>
      <c r="C707" s="59"/>
      <c r="D707" s="59"/>
      <c r="E707" s="59"/>
      <c r="F707" s="59"/>
      <c r="G707" s="59"/>
      <c r="H707" s="59"/>
      <c r="I707" s="59"/>
    </row>
    <row r="708" spans="2:9" ht="12.75">
      <c r="B708" s="59"/>
      <c r="C708" s="59"/>
      <c r="D708" s="59"/>
      <c r="E708" s="59"/>
      <c r="F708" s="59"/>
      <c r="G708" s="59"/>
      <c r="H708" s="59"/>
      <c r="I708" s="59"/>
    </row>
    <row r="709" spans="2:9" ht="12.75">
      <c r="B709" s="59"/>
      <c r="C709" s="59"/>
      <c r="D709" s="59"/>
      <c r="E709" s="59"/>
      <c r="F709" s="59"/>
      <c r="G709" s="59"/>
      <c r="H709" s="59"/>
      <c r="I709" s="59"/>
    </row>
    <row r="710" spans="2:9" ht="12.75">
      <c r="B710" s="59"/>
      <c r="C710" s="59"/>
      <c r="D710" s="59"/>
      <c r="E710" s="59"/>
      <c r="F710" s="59"/>
      <c r="G710" s="59"/>
      <c r="H710" s="59"/>
      <c r="I710" s="59"/>
    </row>
    <row r="711" spans="2:9" ht="12.75">
      <c r="B711" s="59"/>
      <c r="C711" s="59"/>
      <c r="D711" s="59"/>
      <c r="E711" s="59"/>
      <c r="F711" s="59"/>
      <c r="G711" s="59"/>
      <c r="H711" s="59"/>
      <c r="I711" s="59"/>
    </row>
    <row r="712" spans="2:9" ht="12.75">
      <c r="B712" s="59"/>
      <c r="C712" s="59"/>
      <c r="D712" s="59"/>
      <c r="E712" s="59"/>
      <c r="F712" s="59"/>
      <c r="G712" s="59"/>
      <c r="H712" s="59"/>
      <c r="I712" s="59"/>
    </row>
    <row r="713" spans="2:9" ht="12.75">
      <c r="B713" s="59"/>
      <c r="C713" s="59"/>
      <c r="D713" s="59"/>
      <c r="E713" s="59"/>
      <c r="F713" s="59"/>
      <c r="G713" s="59"/>
      <c r="H713" s="59"/>
      <c r="I713" s="59"/>
    </row>
    <row r="714" spans="2:9" ht="12.75">
      <c r="B714" s="59"/>
      <c r="C714" s="59"/>
      <c r="D714" s="59"/>
      <c r="E714" s="59"/>
      <c r="F714" s="59"/>
      <c r="G714" s="59"/>
      <c r="H714" s="59"/>
      <c r="I714" s="59"/>
    </row>
    <row r="715" spans="2:9" ht="12.75">
      <c r="B715" s="59"/>
      <c r="C715" s="59"/>
      <c r="D715" s="59"/>
      <c r="E715" s="59"/>
      <c r="F715" s="59"/>
      <c r="G715" s="59"/>
      <c r="H715" s="59"/>
      <c r="I715" s="59"/>
    </row>
    <row r="716" spans="2:9" ht="12.75">
      <c r="B716" s="59"/>
      <c r="C716" s="59"/>
      <c r="D716" s="59"/>
      <c r="E716" s="59"/>
      <c r="F716" s="59"/>
      <c r="G716" s="59"/>
      <c r="H716" s="59"/>
      <c r="I716" s="59"/>
    </row>
    <row r="717" spans="2:9" ht="12.75">
      <c r="B717" s="59"/>
      <c r="C717" s="59"/>
      <c r="D717" s="59"/>
      <c r="E717" s="59"/>
      <c r="F717" s="59"/>
      <c r="G717" s="59"/>
      <c r="H717" s="59"/>
      <c r="I717" s="59"/>
    </row>
    <row r="718" spans="2:9" ht="12.75">
      <c r="B718" s="59"/>
      <c r="C718" s="59"/>
      <c r="D718" s="59"/>
      <c r="E718" s="59"/>
      <c r="F718" s="59"/>
      <c r="G718" s="59"/>
      <c r="H718" s="59"/>
      <c r="I718" s="59"/>
    </row>
    <row r="719" spans="2:9" ht="12.75">
      <c r="B719" s="59"/>
      <c r="C719" s="59"/>
      <c r="D719" s="59"/>
      <c r="E719" s="59"/>
      <c r="F719" s="59"/>
      <c r="G719" s="59"/>
      <c r="H719" s="59"/>
      <c r="I719" s="59"/>
    </row>
    <row r="720" spans="2:9" ht="12.75">
      <c r="B720" s="59"/>
      <c r="C720" s="59"/>
      <c r="D720" s="59"/>
      <c r="E720" s="59"/>
      <c r="F720" s="59"/>
      <c r="G720" s="59"/>
      <c r="H720" s="59"/>
      <c r="I720" s="59"/>
    </row>
    <row r="721" spans="2:9" ht="12.75">
      <c r="B721" s="59"/>
      <c r="C721" s="59"/>
      <c r="D721" s="59"/>
      <c r="E721" s="59"/>
      <c r="F721" s="59"/>
      <c r="G721" s="59"/>
      <c r="H721" s="59"/>
      <c r="I721" s="59"/>
    </row>
    <row r="722" spans="2:9" ht="12.75">
      <c r="B722" s="59"/>
      <c r="C722" s="59"/>
      <c r="D722" s="59"/>
      <c r="E722" s="59"/>
      <c r="F722" s="59"/>
      <c r="G722" s="59"/>
      <c r="H722" s="59"/>
      <c r="I722" s="59"/>
    </row>
    <row r="723" spans="2:9" ht="12.75">
      <c r="B723" s="59"/>
      <c r="C723" s="59"/>
      <c r="D723" s="59"/>
      <c r="E723" s="59"/>
      <c r="F723" s="59"/>
      <c r="G723" s="59"/>
      <c r="H723" s="59"/>
      <c r="I723" s="59"/>
    </row>
    <row r="724" spans="2:9" ht="12.75">
      <c r="B724" s="59"/>
      <c r="C724" s="59"/>
      <c r="D724" s="59"/>
      <c r="E724" s="59"/>
      <c r="F724" s="59"/>
      <c r="G724" s="59"/>
      <c r="H724" s="59"/>
      <c r="I724" s="59"/>
    </row>
    <row r="725" spans="2:9" ht="12.75">
      <c r="B725" s="59"/>
      <c r="C725" s="59"/>
      <c r="D725" s="59"/>
      <c r="E725" s="59"/>
      <c r="F725" s="59"/>
      <c r="G725" s="59"/>
      <c r="H725" s="59"/>
      <c r="I725" s="59"/>
    </row>
    <row r="726" spans="2:9" ht="12.75">
      <c r="B726" s="59"/>
      <c r="C726" s="59"/>
      <c r="D726" s="59"/>
      <c r="E726" s="59"/>
      <c r="F726" s="59"/>
      <c r="G726" s="59"/>
      <c r="H726" s="59"/>
      <c r="I726" s="59"/>
    </row>
    <row r="727" spans="2:9" ht="12.75">
      <c r="B727" s="59"/>
      <c r="C727" s="59"/>
      <c r="D727" s="59"/>
      <c r="E727" s="59"/>
      <c r="F727" s="59"/>
      <c r="G727" s="59"/>
      <c r="H727" s="59"/>
      <c r="I727" s="59"/>
    </row>
    <row r="728" spans="2:9" ht="12.75">
      <c r="B728" s="59"/>
      <c r="C728" s="59"/>
      <c r="D728" s="59"/>
      <c r="E728" s="59"/>
      <c r="F728" s="59"/>
      <c r="G728" s="59"/>
      <c r="H728" s="59"/>
      <c r="I728" s="59"/>
    </row>
    <row r="729" spans="2:9" ht="12.75">
      <c r="B729" s="59"/>
      <c r="C729" s="59"/>
      <c r="D729" s="59"/>
      <c r="E729" s="59"/>
      <c r="F729" s="59"/>
      <c r="G729" s="59"/>
      <c r="H729" s="59"/>
      <c r="I729" s="59"/>
    </row>
    <row r="730" spans="2:9" ht="12.75">
      <c r="B730" s="59"/>
      <c r="C730" s="59"/>
      <c r="D730" s="59"/>
      <c r="E730" s="59"/>
      <c r="F730" s="59"/>
      <c r="G730" s="59"/>
      <c r="H730" s="59"/>
      <c r="I730" s="59"/>
    </row>
    <row r="731" spans="2:9" ht="12.75">
      <c r="B731" s="59"/>
      <c r="C731" s="59"/>
      <c r="D731" s="59"/>
      <c r="E731" s="59"/>
      <c r="F731" s="59"/>
      <c r="G731" s="59"/>
      <c r="H731" s="59"/>
      <c r="I731" s="59"/>
    </row>
    <row r="732" spans="2:9" ht="12.75">
      <c r="B732" s="59"/>
      <c r="C732" s="59"/>
      <c r="D732" s="59"/>
      <c r="E732" s="59"/>
      <c r="F732" s="59"/>
      <c r="G732" s="59"/>
      <c r="H732" s="59"/>
      <c r="I732" s="59"/>
    </row>
    <row r="733" spans="2:9" ht="12.75">
      <c r="B733" s="59"/>
      <c r="C733" s="59"/>
      <c r="D733" s="59"/>
      <c r="E733" s="59"/>
      <c r="F733" s="59"/>
      <c r="G733" s="59"/>
      <c r="H733" s="59"/>
      <c r="I733" s="59"/>
    </row>
    <row r="734" spans="2:9" ht="12.75">
      <c r="B734" s="59"/>
      <c r="C734" s="59"/>
      <c r="D734" s="59"/>
      <c r="E734" s="59"/>
      <c r="F734" s="59"/>
      <c r="G734" s="59"/>
      <c r="H734" s="59"/>
      <c r="I734" s="59"/>
    </row>
    <row r="735" spans="2:9" ht="12.75">
      <c r="B735" s="59"/>
      <c r="C735" s="59"/>
      <c r="D735" s="59"/>
      <c r="E735" s="59"/>
      <c r="F735" s="59"/>
      <c r="G735" s="59"/>
      <c r="H735" s="59"/>
      <c r="I735" s="59"/>
    </row>
    <row r="736" spans="2:9" ht="12.75">
      <c r="B736" s="59"/>
      <c r="C736" s="59"/>
      <c r="D736" s="59"/>
      <c r="E736" s="59"/>
      <c r="F736" s="59"/>
      <c r="G736" s="59"/>
      <c r="H736" s="59"/>
      <c r="I736" s="59"/>
    </row>
    <row r="737" spans="2:9" ht="12.75">
      <c r="B737" s="59"/>
      <c r="C737" s="59"/>
      <c r="D737" s="59"/>
      <c r="E737" s="59"/>
      <c r="F737" s="59"/>
      <c r="G737" s="59"/>
      <c r="H737" s="59"/>
      <c r="I737" s="59"/>
    </row>
    <row r="738" spans="2:9" ht="12.75">
      <c r="B738" s="59"/>
      <c r="C738" s="59"/>
      <c r="D738" s="59"/>
      <c r="E738" s="59"/>
      <c r="F738" s="59"/>
      <c r="G738" s="59"/>
      <c r="H738" s="59"/>
      <c r="I738" s="59"/>
    </row>
    <row r="739" spans="2:9" ht="12.75">
      <c r="B739" s="59"/>
      <c r="C739" s="59"/>
      <c r="D739" s="59"/>
      <c r="E739" s="59"/>
      <c r="F739" s="59"/>
      <c r="G739" s="59"/>
      <c r="H739" s="59"/>
      <c r="I739" s="59"/>
    </row>
    <row r="740" spans="2:9" ht="12.75">
      <c r="B740" s="59"/>
      <c r="C740" s="59"/>
      <c r="D740" s="59"/>
      <c r="E740" s="59"/>
      <c r="F740" s="59"/>
      <c r="G740" s="59"/>
      <c r="H740" s="59"/>
      <c r="I740" s="59"/>
    </row>
    <row r="741" spans="2:9" ht="12.75">
      <c r="B741" s="59"/>
      <c r="C741" s="59"/>
      <c r="D741" s="59"/>
      <c r="E741" s="59"/>
      <c r="F741" s="59"/>
      <c r="G741" s="59"/>
      <c r="H741" s="59"/>
      <c r="I741" s="59"/>
    </row>
    <row r="742" spans="2:9" ht="12.75">
      <c r="B742" s="59"/>
      <c r="C742" s="59"/>
      <c r="D742" s="59"/>
      <c r="E742" s="59"/>
      <c r="F742" s="59"/>
      <c r="G742" s="59"/>
      <c r="H742" s="59"/>
      <c r="I742" s="59"/>
    </row>
    <row r="743" spans="2:9" ht="12.75">
      <c r="B743" s="59"/>
      <c r="C743" s="59"/>
      <c r="D743" s="59"/>
      <c r="E743" s="59"/>
      <c r="F743" s="59"/>
      <c r="G743" s="59"/>
      <c r="H743" s="59"/>
      <c r="I743" s="59"/>
    </row>
    <row r="744" spans="2:9" ht="12.75">
      <c r="B744" s="59"/>
      <c r="C744" s="59"/>
      <c r="D744" s="59"/>
      <c r="E744" s="59"/>
      <c r="F744" s="59"/>
      <c r="G744" s="59"/>
      <c r="H744" s="59"/>
      <c r="I744" s="59"/>
    </row>
    <row r="745" spans="2:9" ht="12.75">
      <c r="B745" s="59"/>
      <c r="C745" s="59"/>
      <c r="D745" s="59"/>
      <c r="E745" s="59"/>
      <c r="F745" s="59"/>
      <c r="G745" s="59"/>
      <c r="H745" s="59"/>
      <c r="I745" s="59"/>
    </row>
    <row r="746" spans="2:9" ht="12.75">
      <c r="B746" s="59"/>
      <c r="C746" s="59"/>
      <c r="D746" s="59"/>
      <c r="E746" s="59"/>
      <c r="F746" s="59"/>
      <c r="G746" s="59"/>
      <c r="H746" s="59"/>
      <c r="I746" s="59"/>
    </row>
    <row r="747" spans="2:9" ht="12.75">
      <c r="B747" s="59"/>
      <c r="C747" s="59"/>
      <c r="D747" s="59"/>
      <c r="E747" s="59"/>
      <c r="F747" s="59"/>
      <c r="G747" s="59"/>
      <c r="H747" s="59"/>
      <c r="I747" s="59"/>
    </row>
    <row r="748" spans="2:9" ht="12.75">
      <c r="B748" s="59"/>
      <c r="C748" s="59"/>
      <c r="D748" s="59"/>
      <c r="E748" s="59"/>
      <c r="F748" s="59"/>
      <c r="G748" s="59"/>
      <c r="H748" s="59"/>
      <c r="I748" s="59"/>
    </row>
    <row r="749" spans="2:9" ht="12.75">
      <c r="B749" s="59"/>
      <c r="C749" s="59"/>
      <c r="D749" s="59"/>
      <c r="E749" s="59"/>
      <c r="F749" s="59"/>
      <c r="G749" s="59"/>
      <c r="H749" s="59"/>
      <c r="I749" s="59"/>
    </row>
    <row r="750" spans="2:9" ht="12.75">
      <c r="B750" s="59"/>
      <c r="C750" s="59"/>
      <c r="D750" s="59"/>
      <c r="E750" s="59"/>
      <c r="F750" s="59"/>
      <c r="G750" s="59"/>
      <c r="H750" s="59"/>
      <c r="I750" s="59"/>
    </row>
    <row r="751" spans="2:9" ht="12.75">
      <c r="B751" s="59"/>
      <c r="C751" s="59"/>
      <c r="D751" s="59"/>
      <c r="E751" s="59"/>
      <c r="F751" s="59"/>
      <c r="G751" s="59"/>
      <c r="H751" s="59"/>
      <c r="I751" s="59"/>
    </row>
    <row r="752" spans="2:9" ht="12.75">
      <c r="B752" s="59"/>
      <c r="C752" s="59"/>
      <c r="D752" s="59"/>
      <c r="E752" s="59"/>
      <c r="F752" s="59"/>
      <c r="G752" s="59"/>
      <c r="H752" s="59"/>
      <c r="I752" s="59"/>
    </row>
    <row r="753" spans="2:9" ht="12.75">
      <c r="B753" s="59"/>
      <c r="C753" s="59"/>
      <c r="D753" s="59"/>
      <c r="E753" s="59"/>
      <c r="F753" s="59"/>
      <c r="G753" s="59"/>
      <c r="H753" s="59"/>
      <c r="I753" s="59"/>
    </row>
    <row r="754" spans="2:9" ht="12.75">
      <c r="B754" s="59"/>
      <c r="C754" s="59"/>
      <c r="D754" s="59"/>
      <c r="E754" s="59"/>
      <c r="F754" s="59"/>
      <c r="G754" s="59"/>
      <c r="H754" s="59"/>
      <c r="I754" s="59"/>
    </row>
    <row r="755" spans="2:9" ht="12.75">
      <c r="B755" s="59"/>
      <c r="C755" s="59"/>
      <c r="D755" s="59"/>
      <c r="E755" s="59"/>
      <c r="F755" s="59"/>
      <c r="G755" s="59"/>
      <c r="H755" s="59"/>
      <c r="I755" s="59"/>
    </row>
    <row r="756" spans="2:9" ht="12.75">
      <c r="B756" s="59"/>
      <c r="C756" s="59"/>
      <c r="D756" s="59"/>
      <c r="E756" s="59"/>
      <c r="F756" s="59"/>
      <c r="G756" s="59"/>
      <c r="H756" s="59"/>
      <c r="I756" s="59"/>
    </row>
    <row r="757" spans="2:9" ht="12.75">
      <c r="B757" s="59"/>
      <c r="C757" s="59"/>
      <c r="D757" s="59"/>
      <c r="E757" s="59"/>
      <c r="F757" s="59"/>
      <c r="G757" s="59"/>
      <c r="H757" s="59"/>
      <c r="I757" s="59"/>
    </row>
    <row r="758" spans="2:9" ht="12.75">
      <c r="B758" s="59"/>
      <c r="C758" s="59"/>
      <c r="D758" s="59"/>
      <c r="E758" s="59"/>
      <c r="F758" s="59"/>
      <c r="G758" s="59"/>
      <c r="H758" s="59"/>
      <c r="I758" s="59"/>
    </row>
    <row r="759" spans="2:9" ht="12.75">
      <c r="B759" s="59"/>
      <c r="C759" s="59"/>
      <c r="D759" s="59"/>
      <c r="E759" s="59"/>
      <c r="F759" s="59"/>
      <c r="G759" s="59"/>
      <c r="H759" s="59"/>
      <c r="I759" s="59"/>
    </row>
    <row r="760" spans="2:9" ht="12.75">
      <c r="B760" s="59"/>
      <c r="C760" s="59"/>
      <c r="D760" s="59"/>
      <c r="E760" s="59"/>
      <c r="F760" s="59"/>
      <c r="G760" s="59"/>
      <c r="H760" s="59"/>
      <c r="I760" s="59"/>
    </row>
    <row r="761" spans="2:9" ht="12.75">
      <c r="B761" s="59"/>
      <c r="C761" s="59"/>
      <c r="D761" s="59"/>
      <c r="E761" s="59"/>
      <c r="F761" s="59"/>
      <c r="G761" s="59"/>
      <c r="H761" s="59"/>
      <c r="I761" s="59"/>
    </row>
    <row r="762" spans="2:9" ht="12.75">
      <c r="B762" s="59"/>
      <c r="C762" s="59"/>
      <c r="D762" s="59"/>
      <c r="E762" s="59"/>
      <c r="F762" s="59"/>
      <c r="G762" s="59"/>
      <c r="H762" s="59"/>
      <c r="I762" s="59"/>
    </row>
    <row r="763" spans="2:9" ht="12.75">
      <c r="B763" s="59"/>
      <c r="C763" s="59"/>
      <c r="D763" s="59"/>
      <c r="E763" s="59"/>
      <c r="F763" s="59"/>
      <c r="G763" s="59"/>
      <c r="H763" s="59"/>
      <c r="I763" s="59"/>
    </row>
    <row r="764" spans="2:9" ht="12.75">
      <c r="B764" s="59"/>
      <c r="C764" s="59"/>
      <c r="D764" s="59"/>
      <c r="E764" s="59"/>
      <c r="F764" s="59"/>
      <c r="G764" s="59"/>
      <c r="H764" s="59"/>
      <c r="I764" s="59"/>
    </row>
    <row r="765" spans="2:9" ht="12.75">
      <c r="B765" s="59"/>
      <c r="C765" s="59"/>
      <c r="D765" s="59"/>
      <c r="E765" s="59"/>
      <c r="F765" s="59"/>
      <c r="G765" s="59"/>
      <c r="H765" s="59"/>
      <c r="I765" s="59"/>
    </row>
    <row r="766" spans="2:9" ht="12.75">
      <c r="B766" s="59"/>
      <c r="C766" s="59"/>
      <c r="D766" s="59"/>
      <c r="E766" s="59"/>
      <c r="F766" s="59"/>
      <c r="G766" s="59"/>
      <c r="H766" s="59"/>
      <c r="I766" s="59"/>
    </row>
    <row r="767" spans="2:9" ht="12.75">
      <c r="B767" s="59"/>
      <c r="C767" s="59"/>
      <c r="D767" s="59"/>
      <c r="E767" s="59"/>
      <c r="F767" s="59"/>
      <c r="G767" s="59"/>
      <c r="H767" s="59"/>
      <c r="I767" s="59"/>
    </row>
    <row r="768" spans="2:9" ht="12.75">
      <c r="B768" s="59"/>
      <c r="C768" s="59"/>
      <c r="D768" s="59"/>
      <c r="E768" s="59"/>
      <c r="F768" s="59"/>
      <c r="G768" s="59"/>
      <c r="H768" s="59"/>
      <c r="I768" s="59"/>
    </row>
    <row r="769" spans="2:9" ht="12.75">
      <c r="B769" s="59"/>
      <c r="C769" s="59"/>
      <c r="D769" s="59"/>
      <c r="E769" s="59"/>
      <c r="F769" s="59"/>
      <c r="G769" s="59"/>
      <c r="H769" s="59"/>
      <c r="I769" s="59"/>
    </row>
    <row r="770" spans="2:9" ht="12.75">
      <c r="B770" s="59"/>
      <c r="C770" s="59"/>
      <c r="D770" s="59"/>
      <c r="E770" s="59"/>
      <c r="F770" s="59"/>
      <c r="G770" s="59"/>
      <c r="H770" s="59"/>
      <c r="I770" s="59"/>
    </row>
    <row r="771" spans="2:9" ht="12.75">
      <c r="B771" s="59"/>
      <c r="C771" s="59"/>
      <c r="D771" s="59"/>
      <c r="E771" s="59"/>
      <c r="F771" s="59"/>
      <c r="G771" s="59"/>
      <c r="H771" s="59"/>
      <c r="I771" s="59"/>
    </row>
    <row r="772" spans="2:9" ht="12.75">
      <c r="B772" s="59"/>
      <c r="C772" s="59"/>
      <c r="D772" s="59"/>
      <c r="E772" s="59"/>
      <c r="F772" s="59"/>
      <c r="G772" s="59"/>
      <c r="H772" s="59"/>
      <c r="I772" s="59"/>
    </row>
    <row r="773" spans="2:9" ht="12.75">
      <c r="B773" s="59"/>
      <c r="C773" s="59"/>
      <c r="D773" s="59"/>
      <c r="E773" s="59"/>
      <c r="F773" s="59"/>
      <c r="G773" s="59"/>
      <c r="H773" s="59"/>
      <c r="I773" s="59"/>
    </row>
    <row r="774" spans="2:9" ht="12.75">
      <c r="B774" s="59"/>
      <c r="C774" s="59"/>
      <c r="D774" s="59"/>
      <c r="E774" s="59"/>
      <c r="F774" s="59"/>
      <c r="G774" s="59"/>
      <c r="H774" s="59"/>
      <c r="I774" s="59"/>
    </row>
    <row r="775" spans="2:9" ht="12.75">
      <c r="B775" s="59"/>
      <c r="C775" s="59"/>
      <c r="D775" s="59"/>
      <c r="E775" s="59"/>
      <c r="F775" s="59"/>
      <c r="G775" s="59"/>
      <c r="H775" s="59"/>
      <c r="I775" s="59"/>
    </row>
    <row r="776" spans="2:9" ht="12.75">
      <c r="B776" s="59"/>
      <c r="C776" s="59"/>
      <c r="D776" s="59"/>
      <c r="E776" s="59"/>
      <c r="F776" s="59"/>
      <c r="G776" s="59"/>
      <c r="H776" s="59"/>
      <c r="I776" s="59"/>
    </row>
    <row r="777" spans="2:9" ht="12.75">
      <c r="B777" s="59"/>
      <c r="C777" s="59"/>
      <c r="D777" s="59"/>
      <c r="E777" s="59"/>
      <c r="F777" s="59"/>
      <c r="G777" s="59"/>
      <c r="H777" s="59"/>
      <c r="I777" s="59"/>
    </row>
    <row r="778" spans="2:9" ht="12.75">
      <c r="B778" s="59"/>
      <c r="C778" s="59"/>
      <c r="D778" s="59"/>
      <c r="E778" s="59"/>
      <c r="F778" s="59"/>
      <c r="G778" s="59"/>
      <c r="H778" s="59"/>
      <c r="I778" s="59"/>
    </row>
    <row r="779" spans="2:9" ht="12.75">
      <c r="B779" s="59"/>
      <c r="C779" s="59"/>
      <c r="D779" s="59"/>
      <c r="E779" s="59"/>
      <c r="F779" s="59"/>
      <c r="G779" s="59"/>
      <c r="H779" s="59"/>
      <c r="I779" s="59"/>
    </row>
    <row r="780" spans="2:9" ht="12.75">
      <c r="B780" s="59"/>
      <c r="C780" s="59"/>
      <c r="D780" s="59"/>
      <c r="E780" s="59"/>
      <c r="F780" s="59"/>
      <c r="G780" s="59"/>
      <c r="H780" s="59"/>
      <c r="I780" s="59"/>
    </row>
    <row r="781" spans="2:9" ht="12.75">
      <c r="B781" s="59"/>
      <c r="C781" s="59"/>
      <c r="D781" s="59"/>
      <c r="E781" s="59"/>
      <c r="F781" s="59"/>
      <c r="G781" s="59"/>
      <c r="H781" s="59"/>
      <c r="I781" s="59"/>
    </row>
    <row r="782" spans="2:9" ht="12.75">
      <c r="B782" s="59"/>
      <c r="C782" s="59"/>
      <c r="D782" s="59"/>
      <c r="E782" s="59"/>
      <c r="F782" s="59"/>
      <c r="G782" s="59"/>
      <c r="H782" s="59"/>
      <c r="I782" s="59"/>
    </row>
    <row r="783" spans="2:9" ht="12.75">
      <c r="B783" s="59"/>
      <c r="C783" s="59"/>
      <c r="D783" s="59"/>
      <c r="E783" s="59"/>
      <c r="F783" s="59"/>
      <c r="G783" s="59"/>
      <c r="H783" s="59"/>
      <c r="I783" s="59"/>
    </row>
    <row r="784" spans="2:9" ht="12.75">
      <c r="B784" s="59"/>
      <c r="C784" s="59"/>
      <c r="D784" s="59"/>
      <c r="E784" s="59"/>
      <c r="F784" s="59"/>
      <c r="G784" s="59"/>
      <c r="H784" s="59"/>
      <c r="I784" s="59"/>
    </row>
    <row r="785" spans="2:9" ht="12.75">
      <c r="B785" s="59"/>
      <c r="C785" s="59"/>
      <c r="D785" s="59"/>
      <c r="E785" s="59"/>
      <c r="F785" s="59"/>
      <c r="G785" s="59"/>
      <c r="H785" s="59"/>
      <c r="I785" s="59"/>
    </row>
    <row r="786" spans="2:9" ht="12.75">
      <c r="B786" s="59"/>
      <c r="C786" s="59"/>
      <c r="D786" s="59"/>
      <c r="E786" s="59"/>
      <c r="F786" s="59"/>
      <c r="G786" s="59"/>
      <c r="H786" s="59"/>
      <c r="I786" s="59"/>
    </row>
    <row r="787" spans="2:9" ht="12.75">
      <c r="B787" s="59"/>
      <c r="C787" s="59"/>
      <c r="D787" s="59"/>
      <c r="E787" s="59"/>
      <c r="F787" s="59"/>
      <c r="G787" s="59"/>
      <c r="H787" s="59"/>
      <c r="I787" s="59"/>
    </row>
    <row r="788" spans="2:9" ht="12.75">
      <c r="B788" s="59"/>
      <c r="C788" s="59"/>
      <c r="D788" s="59"/>
      <c r="E788" s="59"/>
      <c r="F788" s="59"/>
      <c r="G788" s="59"/>
      <c r="H788" s="59"/>
      <c r="I788" s="59"/>
    </row>
    <row r="789" spans="2:9" ht="12.75">
      <c r="B789" s="59"/>
      <c r="C789" s="59"/>
      <c r="D789" s="59"/>
      <c r="E789" s="59"/>
      <c r="F789" s="59"/>
      <c r="G789" s="59"/>
      <c r="H789" s="59"/>
      <c r="I789" s="59"/>
    </row>
    <row r="790" spans="2:9" ht="12.75">
      <c r="B790" s="59"/>
      <c r="C790" s="59"/>
      <c r="D790" s="59"/>
      <c r="E790" s="59"/>
      <c r="F790" s="59"/>
      <c r="G790" s="59"/>
      <c r="H790" s="59"/>
      <c r="I790" s="59"/>
    </row>
    <row r="791" spans="2:9" ht="12.75">
      <c r="B791" s="59"/>
      <c r="C791" s="59"/>
      <c r="D791" s="59"/>
      <c r="E791" s="59"/>
      <c r="F791" s="59"/>
      <c r="G791" s="59"/>
      <c r="H791" s="59"/>
      <c r="I791" s="59"/>
    </row>
    <row r="792" spans="2:9" ht="12.75">
      <c r="B792" s="59"/>
      <c r="C792" s="59"/>
      <c r="D792" s="59"/>
      <c r="E792" s="59"/>
      <c r="F792" s="59"/>
      <c r="G792" s="59"/>
      <c r="H792" s="59"/>
      <c r="I792" s="59"/>
    </row>
    <row r="793" spans="2:9" ht="12.75">
      <c r="B793" s="59"/>
      <c r="C793" s="59"/>
      <c r="D793" s="59"/>
      <c r="E793" s="59"/>
      <c r="F793" s="59"/>
      <c r="G793" s="59"/>
      <c r="H793" s="59"/>
      <c r="I793" s="59"/>
    </row>
    <row r="794" spans="2:9" ht="12.75">
      <c r="B794" s="59"/>
      <c r="C794" s="59"/>
      <c r="D794" s="59"/>
      <c r="E794" s="59"/>
      <c r="F794" s="59"/>
      <c r="G794" s="59"/>
      <c r="H794" s="59"/>
      <c r="I794" s="59"/>
    </row>
    <row r="795" spans="2:9" ht="12.75">
      <c r="B795" s="59"/>
      <c r="C795" s="59"/>
      <c r="D795" s="59"/>
      <c r="E795" s="59"/>
      <c r="F795" s="59"/>
      <c r="G795" s="59"/>
      <c r="H795" s="59"/>
      <c r="I795" s="59"/>
    </row>
    <row r="796" spans="2:9" ht="12.75">
      <c r="B796" s="59"/>
      <c r="C796" s="59"/>
      <c r="D796" s="59"/>
      <c r="E796" s="59"/>
      <c r="F796" s="59"/>
      <c r="G796" s="59"/>
      <c r="H796" s="59"/>
      <c r="I796" s="59"/>
    </row>
    <row r="797" spans="2:9" ht="12.75">
      <c r="B797" s="59"/>
      <c r="C797" s="59"/>
      <c r="D797" s="59"/>
      <c r="E797" s="59"/>
      <c r="F797" s="59"/>
      <c r="G797" s="59"/>
      <c r="H797" s="59"/>
      <c r="I797" s="59"/>
    </row>
    <row r="798" spans="2:9" ht="12.75">
      <c r="B798" s="59"/>
      <c r="C798" s="59"/>
      <c r="D798" s="59"/>
      <c r="E798" s="59"/>
      <c r="F798" s="59"/>
      <c r="G798" s="59"/>
      <c r="H798" s="59"/>
      <c r="I798" s="59"/>
    </row>
    <row r="799" spans="2:9" ht="12.75">
      <c r="B799" s="59"/>
      <c r="C799" s="59"/>
      <c r="D799" s="59"/>
      <c r="E799" s="59"/>
      <c r="F799" s="59"/>
      <c r="G799" s="59"/>
      <c r="H799" s="59"/>
      <c r="I799" s="59"/>
    </row>
    <row r="800" spans="2:9" ht="12.75">
      <c r="B800" s="59"/>
      <c r="C800" s="59"/>
      <c r="D800" s="59"/>
      <c r="E800" s="59"/>
      <c r="F800" s="59"/>
      <c r="G800" s="59"/>
      <c r="H800" s="59"/>
      <c r="I800" s="59"/>
    </row>
    <row r="801" spans="2:9" ht="12.75">
      <c r="B801" s="59"/>
      <c r="C801" s="59"/>
      <c r="D801" s="59"/>
      <c r="E801" s="59"/>
      <c r="F801" s="59"/>
      <c r="G801" s="59"/>
      <c r="H801" s="59"/>
      <c r="I801" s="59"/>
    </row>
    <row r="802" spans="2:9" ht="12.75">
      <c r="B802" s="59"/>
      <c r="C802" s="59"/>
      <c r="D802" s="59"/>
      <c r="E802" s="59"/>
      <c r="F802" s="59"/>
      <c r="G802" s="59"/>
      <c r="H802" s="59"/>
      <c r="I802" s="59"/>
    </row>
    <row r="803" spans="2:9" ht="12.75">
      <c r="B803" s="59"/>
      <c r="C803" s="59"/>
      <c r="D803" s="59"/>
      <c r="E803" s="59"/>
      <c r="F803" s="59"/>
      <c r="G803" s="59"/>
      <c r="H803" s="59"/>
      <c r="I803" s="59"/>
    </row>
    <row r="804" spans="2:9" ht="12.75">
      <c r="B804" s="59"/>
      <c r="C804" s="59"/>
      <c r="D804" s="59"/>
      <c r="E804" s="59"/>
      <c r="F804" s="59"/>
      <c r="G804" s="59"/>
      <c r="H804" s="59"/>
      <c r="I804" s="59"/>
    </row>
    <row r="805" spans="2:9" ht="12.75">
      <c r="B805" s="59"/>
      <c r="C805" s="59"/>
      <c r="D805" s="59"/>
      <c r="E805" s="59"/>
      <c r="F805" s="59"/>
      <c r="G805" s="59"/>
      <c r="H805" s="59"/>
      <c r="I805" s="59"/>
    </row>
    <row r="806" spans="2:9" ht="12.75">
      <c r="B806" s="59"/>
      <c r="C806" s="59"/>
      <c r="D806" s="59"/>
      <c r="E806" s="59"/>
      <c r="F806" s="59"/>
      <c r="G806" s="59"/>
      <c r="H806" s="59"/>
      <c r="I806" s="59"/>
    </row>
    <row r="807" spans="2:9" ht="12.75">
      <c r="B807" s="59"/>
      <c r="C807" s="59"/>
      <c r="D807" s="59"/>
      <c r="E807" s="59"/>
      <c r="F807" s="59"/>
      <c r="G807" s="59"/>
      <c r="H807" s="59"/>
      <c r="I807" s="59"/>
    </row>
    <row r="808" spans="2:9" ht="12.75">
      <c r="B808" s="59"/>
      <c r="C808" s="59"/>
      <c r="D808" s="59"/>
      <c r="E808" s="59"/>
      <c r="F808" s="59"/>
      <c r="G808" s="59"/>
      <c r="H808" s="59"/>
      <c r="I808" s="59"/>
    </row>
    <row r="809" spans="2:9" ht="12.75">
      <c r="B809" s="59"/>
      <c r="C809" s="59"/>
      <c r="D809" s="59"/>
      <c r="E809" s="59"/>
      <c r="F809" s="59"/>
      <c r="G809" s="59"/>
      <c r="H809" s="59"/>
      <c r="I809" s="59"/>
    </row>
    <row r="810" spans="2:9" ht="12.75">
      <c r="B810" s="59"/>
      <c r="C810" s="59"/>
      <c r="D810" s="59"/>
      <c r="E810" s="59"/>
      <c r="F810" s="59"/>
      <c r="G810" s="59"/>
      <c r="H810" s="59"/>
      <c r="I810" s="59"/>
    </row>
    <row r="811" spans="2:9" ht="12.75">
      <c r="B811" s="59"/>
      <c r="C811" s="59"/>
      <c r="D811" s="59"/>
      <c r="E811" s="59"/>
      <c r="F811" s="59"/>
      <c r="G811" s="59"/>
      <c r="H811" s="59"/>
      <c r="I811" s="59"/>
    </row>
    <row r="812" spans="2:9" ht="12.75">
      <c r="B812" s="59"/>
      <c r="C812" s="59"/>
      <c r="D812" s="59"/>
      <c r="E812" s="59"/>
      <c r="F812" s="59"/>
      <c r="G812" s="59"/>
      <c r="H812" s="59"/>
      <c r="I812" s="59"/>
    </row>
    <row r="813" spans="2:9" ht="12.75">
      <c r="B813" s="59"/>
      <c r="C813" s="59"/>
      <c r="D813" s="59"/>
      <c r="E813" s="59"/>
      <c r="F813" s="59"/>
      <c r="G813" s="59"/>
      <c r="H813" s="59"/>
      <c r="I813" s="59"/>
    </row>
    <row r="814" spans="2:9" ht="12.75">
      <c r="B814" s="59"/>
      <c r="C814" s="59"/>
      <c r="D814" s="59"/>
      <c r="E814" s="59"/>
      <c r="F814" s="59"/>
      <c r="G814" s="59"/>
      <c r="H814" s="59"/>
      <c r="I814" s="59"/>
    </row>
    <row r="815" spans="2:9" ht="12.75">
      <c r="B815" s="59"/>
      <c r="C815" s="59"/>
      <c r="D815" s="59"/>
      <c r="E815" s="59"/>
      <c r="F815" s="59"/>
      <c r="G815" s="59"/>
      <c r="H815" s="59"/>
      <c r="I815" s="59"/>
    </row>
    <row r="816" spans="2:9" ht="12.75">
      <c r="B816" s="59"/>
      <c r="C816" s="59"/>
      <c r="D816" s="59"/>
      <c r="E816" s="59"/>
      <c r="F816" s="59"/>
      <c r="G816" s="59"/>
      <c r="H816" s="59"/>
      <c r="I816" s="59"/>
    </row>
    <row r="817" spans="2:9" ht="12.75">
      <c r="B817" s="59"/>
      <c r="C817" s="59"/>
      <c r="D817" s="59"/>
      <c r="E817" s="59"/>
      <c r="F817" s="59"/>
      <c r="G817" s="59"/>
      <c r="H817" s="59"/>
      <c r="I817" s="59"/>
    </row>
    <row r="818" spans="2:9" ht="12.75">
      <c r="B818" s="59"/>
      <c r="C818" s="59"/>
      <c r="D818" s="59"/>
      <c r="E818" s="59"/>
      <c r="F818" s="59"/>
      <c r="G818" s="59"/>
      <c r="H818" s="59"/>
      <c r="I818" s="59"/>
    </row>
    <row r="819" spans="2:9" ht="12.75">
      <c r="B819" s="59"/>
      <c r="C819" s="59"/>
      <c r="D819" s="59"/>
      <c r="E819" s="59"/>
      <c r="F819" s="59"/>
      <c r="G819" s="59"/>
      <c r="H819" s="59"/>
      <c r="I819" s="59"/>
    </row>
    <row r="820" spans="2:9" ht="12.75">
      <c r="B820" s="59"/>
      <c r="C820" s="59"/>
      <c r="D820" s="59"/>
      <c r="E820" s="59"/>
      <c r="F820" s="59"/>
      <c r="G820" s="59"/>
      <c r="H820" s="59"/>
      <c r="I820" s="59"/>
    </row>
    <row r="821" spans="2:9" ht="12.75">
      <c r="B821" s="59"/>
      <c r="C821" s="59"/>
      <c r="D821" s="59"/>
      <c r="E821" s="59"/>
      <c r="F821" s="59"/>
      <c r="G821" s="59"/>
      <c r="H821" s="59"/>
      <c r="I821" s="59"/>
    </row>
    <row r="822" spans="2:9" ht="12.75">
      <c r="B822" s="59"/>
      <c r="C822" s="59"/>
      <c r="D822" s="59"/>
      <c r="E822" s="59"/>
      <c r="F822" s="59"/>
      <c r="G822" s="59"/>
      <c r="H822" s="59"/>
      <c r="I822" s="59"/>
    </row>
    <row r="823" spans="2:9" ht="12.75">
      <c r="B823" s="59"/>
      <c r="C823" s="59"/>
      <c r="D823" s="59"/>
      <c r="E823" s="59"/>
      <c r="F823" s="59"/>
      <c r="G823" s="59"/>
      <c r="H823" s="59"/>
      <c r="I823" s="59"/>
    </row>
    <row r="824" spans="2:9" ht="12.75">
      <c r="B824" s="59"/>
      <c r="C824" s="59"/>
      <c r="D824" s="59"/>
      <c r="E824" s="59"/>
      <c r="F824" s="59"/>
      <c r="G824" s="59"/>
      <c r="H824" s="59"/>
      <c r="I824" s="59"/>
    </row>
    <row r="825" spans="2:9" ht="12.75">
      <c r="B825" s="59"/>
      <c r="C825" s="59"/>
      <c r="D825" s="59"/>
      <c r="E825" s="59"/>
      <c r="F825" s="59"/>
      <c r="G825" s="59"/>
      <c r="H825" s="59"/>
      <c r="I825" s="59"/>
    </row>
    <row r="826" spans="2:9" ht="12.75">
      <c r="B826" s="59"/>
      <c r="C826" s="59"/>
      <c r="D826" s="59"/>
      <c r="E826" s="59"/>
      <c r="F826" s="59"/>
      <c r="G826" s="59"/>
      <c r="H826" s="59"/>
      <c r="I826" s="59"/>
    </row>
    <row r="827" spans="2:9" ht="12.75">
      <c r="B827" s="59"/>
      <c r="C827" s="59"/>
      <c r="D827" s="59"/>
      <c r="E827" s="59"/>
      <c r="F827" s="59"/>
      <c r="G827" s="59"/>
      <c r="H827" s="59"/>
      <c r="I827" s="59"/>
    </row>
    <row r="828" spans="2:9" ht="12.75">
      <c r="B828" s="59"/>
      <c r="C828" s="59"/>
      <c r="D828" s="59"/>
      <c r="E828" s="59"/>
      <c r="F828" s="59"/>
      <c r="G828" s="59"/>
      <c r="H828" s="59"/>
      <c r="I828" s="59"/>
    </row>
    <row r="829" spans="2:9" ht="12.75">
      <c r="B829" s="59"/>
      <c r="C829" s="59"/>
      <c r="D829" s="59"/>
      <c r="E829" s="59"/>
      <c r="F829" s="59"/>
      <c r="G829" s="59"/>
      <c r="H829" s="59"/>
      <c r="I829" s="59"/>
    </row>
    <row r="830" spans="2:9" ht="12.75">
      <c r="B830" s="59"/>
      <c r="C830" s="59"/>
      <c r="D830" s="59"/>
      <c r="E830" s="59"/>
      <c r="F830" s="59"/>
      <c r="G830" s="59"/>
      <c r="H830" s="59"/>
      <c r="I830" s="59"/>
    </row>
    <row r="831" spans="2:9" ht="12.75">
      <c r="B831" s="59"/>
      <c r="C831" s="59"/>
      <c r="D831" s="59"/>
      <c r="E831" s="59"/>
      <c r="F831" s="59"/>
      <c r="G831" s="59"/>
      <c r="H831" s="59"/>
      <c r="I831" s="59"/>
    </row>
    <row r="832" spans="2:9" ht="12.75">
      <c r="B832" s="59"/>
      <c r="C832" s="59"/>
      <c r="D832" s="59"/>
      <c r="E832" s="59"/>
      <c r="F832" s="59"/>
      <c r="G832" s="59"/>
      <c r="H832" s="59"/>
      <c r="I832" s="59"/>
    </row>
    <row r="833" spans="2:9" ht="12.75">
      <c r="B833" s="59"/>
      <c r="C833" s="59"/>
      <c r="D833" s="59"/>
      <c r="E833" s="59"/>
      <c r="F833" s="59"/>
      <c r="G833" s="59"/>
      <c r="H833" s="59"/>
      <c r="I833" s="59"/>
    </row>
    <row r="834" spans="2:9" ht="12.75">
      <c r="B834" s="59"/>
      <c r="C834" s="59"/>
      <c r="D834" s="59"/>
      <c r="E834" s="59"/>
      <c r="F834" s="59"/>
      <c r="G834" s="59"/>
      <c r="H834" s="59"/>
      <c r="I834" s="59"/>
    </row>
    <row r="835" spans="2:9" ht="12.75">
      <c r="B835" s="59"/>
      <c r="C835" s="59"/>
      <c r="D835" s="59"/>
      <c r="E835" s="59"/>
      <c r="F835" s="59"/>
      <c r="G835" s="59"/>
      <c r="H835" s="59"/>
      <c r="I835" s="59"/>
    </row>
    <row r="836" spans="2:9" ht="12.75">
      <c r="B836" s="59"/>
      <c r="C836" s="59"/>
      <c r="D836" s="59"/>
      <c r="E836" s="59"/>
      <c r="F836" s="59"/>
      <c r="G836" s="59"/>
      <c r="H836" s="59"/>
      <c r="I836" s="59"/>
    </row>
    <row r="837" spans="2:9" ht="12.75">
      <c r="B837" s="59"/>
      <c r="C837" s="59"/>
      <c r="D837" s="59"/>
      <c r="E837" s="59"/>
      <c r="F837" s="59"/>
      <c r="G837" s="59"/>
      <c r="H837" s="59"/>
      <c r="I837" s="59"/>
    </row>
    <row r="838" spans="2:9" ht="12.75">
      <c r="B838" s="59"/>
      <c r="C838" s="59"/>
      <c r="D838" s="59"/>
      <c r="E838" s="59"/>
      <c r="F838" s="59"/>
      <c r="G838" s="59"/>
      <c r="H838" s="59"/>
      <c r="I838" s="59"/>
    </row>
    <row r="839" spans="2:9" ht="12.75">
      <c r="B839" s="59"/>
      <c r="C839" s="59"/>
      <c r="D839" s="59"/>
      <c r="E839" s="59"/>
      <c r="F839" s="59"/>
      <c r="G839" s="59"/>
      <c r="H839" s="59"/>
      <c r="I839" s="59"/>
    </row>
    <row r="840" spans="2:9" ht="12.75">
      <c r="B840" s="59"/>
      <c r="C840" s="59"/>
      <c r="D840" s="59"/>
      <c r="E840" s="59"/>
      <c r="F840" s="59"/>
      <c r="G840" s="59"/>
      <c r="H840" s="59"/>
      <c r="I840" s="59"/>
    </row>
    <row r="841" spans="2:9" ht="12.75">
      <c r="B841" s="59"/>
      <c r="C841" s="59"/>
      <c r="D841" s="59"/>
      <c r="E841" s="59"/>
      <c r="F841" s="59"/>
      <c r="G841" s="59"/>
      <c r="H841" s="59"/>
      <c r="I841" s="59"/>
    </row>
    <row r="842" spans="2:9" ht="12.75">
      <c r="B842" s="59"/>
      <c r="C842" s="59"/>
      <c r="D842" s="59"/>
      <c r="E842" s="59"/>
      <c r="F842" s="59"/>
      <c r="G842" s="59"/>
      <c r="H842" s="59"/>
      <c r="I842" s="59"/>
    </row>
    <row r="843" spans="2:9" ht="12.75">
      <c r="B843" s="59"/>
      <c r="C843" s="59"/>
      <c r="D843" s="59"/>
      <c r="E843" s="59"/>
      <c r="F843" s="59"/>
      <c r="G843" s="59"/>
      <c r="H843" s="59"/>
      <c r="I843" s="59"/>
    </row>
    <row r="844" spans="2:9" ht="12.75">
      <c r="B844" s="59"/>
      <c r="C844" s="59"/>
      <c r="D844" s="59"/>
      <c r="E844" s="59"/>
      <c r="F844" s="59"/>
      <c r="G844" s="59"/>
      <c r="H844" s="59"/>
      <c r="I844" s="59"/>
    </row>
    <row r="845" spans="2:9" ht="12.75">
      <c r="B845" s="59"/>
      <c r="C845" s="59"/>
      <c r="D845" s="59"/>
      <c r="E845" s="59"/>
      <c r="F845" s="59"/>
      <c r="G845" s="59"/>
      <c r="H845" s="59"/>
      <c r="I845" s="59"/>
    </row>
    <row r="846" spans="2:9" ht="12.75">
      <c r="B846" s="59"/>
      <c r="C846" s="59"/>
      <c r="D846" s="59"/>
      <c r="E846" s="59"/>
      <c r="F846" s="59"/>
      <c r="G846" s="59"/>
      <c r="H846" s="59"/>
      <c r="I846" s="59"/>
    </row>
    <row r="847" spans="2:9" ht="12.75">
      <c r="B847" s="59"/>
      <c r="C847" s="59"/>
      <c r="D847" s="59"/>
      <c r="E847" s="59"/>
      <c r="F847" s="59"/>
      <c r="G847" s="59"/>
      <c r="H847" s="59"/>
      <c r="I847" s="59"/>
    </row>
    <row r="848" spans="2:9" ht="12.75">
      <c r="B848" s="59"/>
      <c r="C848" s="59"/>
      <c r="D848" s="59"/>
      <c r="E848" s="59"/>
      <c r="F848" s="59"/>
      <c r="G848" s="59"/>
      <c r="H848" s="59"/>
      <c r="I848" s="59"/>
    </row>
    <row r="849" spans="2:9" ht="12.75">
      <c r="B849" s="59"/>
      <c r="C849" s="59"/>
      <c r="D849" s="59"/>
      <c r="E849" s="59"/>
      <c r="F849" s="59"/>
      <c r="G849" s="59"/>
      <c r="H849" s="59"/>
      <c r="I849" s="59"/>
    </row>
    <row r="850" spans="2:9" ht="12.75">
      <c r="B850" s="59"/>
      <c r="C850" s="59"/>
      <c r="D850" s="59"/>
      <c r="E850" s="59"/>
      <c r="F850" s="59"/>
      <c r="G850" s="59"/>
      <c r="H850" s="59"/>
      <c r="I850" s="59"/>
    </row>
    <row r="851" spans="2:9" ht="12.75">
      <c r="B851" s="59"/>
      <c r="C851" s="59"/>
      <c r="D851" s="59"/>
      <c r="E851" s="59"/>
      <c r="F851" s="59"/>
      <c r="G851" s="59"/>
      <c r="H851" s="59"/>
      <c r="I851" s="59"/>
    </row>
    <row r="852" spans="2:9" ht="12.75">
      <c r="B852" s="59"/>
      <c r="C852" s="59"/>
      <c r="D852" s="59"/>
      <c r="E852" s="59"/>
      <c r="F852" s="59"/>
      <c r="G852" s="59"/>
      <c r="H852" s="59"/>
      <c r="I852" s="59"/>
    </row>
    <row r="853" spans="2:9" ht="12.75">
      <c r="B853" s="59"/>
      <c r="C853" s="59"/>
      <c r="D853" s="59"/>
      <c r="E853" s="59"/>
      <c r="F853" s="59"/>
      <c r="G853" s="59"/>
      <c r="H853" s="59"/>
      <c r="I853" s="59"/>
    </row>
    <row r="854" spans="2:9" ht="12.75">
      <c r="B854" s="59"/>
      <c r="C854" s="59"/>
      <c r="D854" s="59"/>
      <c r="E854" s="59"/>
      <c r="F854" s="59"/>
      <c r="G854" s="59"/>
      <c r="H854" s="59"/>
      <c r="I854" s="59"/>
    </row>
    <row r="855" spans="2:9" ht="12.75">
      <c r="B855" s="59"/>
      <c r="C855" s="59"/>
      <c r="D855" s="59"/>
      <c r="E855" s="59"/>
      <c r="F855" s="59"/>
      <c r="G855" s="59"/>
      <c r="H855" s="59"/>
      <c r="I855" s="59"/>
    </row>
    <row r="856" spans="2:9" ht="12.75">
      <c r="B856" s="59"/>
      <c r="C856" s="59"/>
      <c r="D856" s="59"/>
      <c r="E856" s="59"/>
      <c r="F856" s="59"/>
      <c r="G856" s="59"/>
      <c r="H856" s="59"/>
      <c r="I856" s="59"/>
    </row>
    <row r="857" spans="2:9" ht="12.75">
      <c r="B857" s="59"/>
      <c r="C857" s="59"/>
      <c r="D857" s="59"/>
      <c r="E857" s="59"/>
      <c r="F857" s="59"/>
      <c r="G857" s="59"/>
      <c r="H857" s="59"/>
      <c r="I857" s="59"/>
    </row>
    <row r="858" spans="2:9" ht="12.75">
      <c r="B858" s="59"/>
      <c r="C858" s="59"/>
      <c r="D858" s="59"/>
      <c r="E858" s="59"/>
      <c r="F858" s="59"/>
      <c r="G858" s="59"/>
      <c r="H858" s="59"/>
      <c r="I858" s="59"/>
    </row>
    <row r="859" spans="2:9" ht="12.75">
      <c r="B859" s="59"/>
      <c r="C859" s="59"/>
      <c r="D859" s="59"/>
      <c r="E859" s="59"/>
      <c r="F859" s="59"/>
      <c r="G859" s="59"/>
      <c r="H859" s="59"/>
      <c r="I859" s="59"/>
    </row>
    <row r="860" spans="2:9" ht="12.75">
      <c r="B860" s="59"/>
      <c r="C860" s="59"/>
      <c r="D860" s="59"/>
      <c r="E860" s="59"/>
      <c r="F860" s="59"/>
      <c r="G860" s="59"/>
      <c r="H860" s="59"/>
      <c r="I860" s="59"/>
    </row>
    <row r="861" spans="2:9" ht="12.75">
      <c r="B861" s="59"/>
      <c r="C861" s="59"/>
      <c r="D861" s="59"/>
      <c r="E861" s="59"/>
      <c r="F861" s="59"/>
      <c r="G861" s="59"/>
      <c r="H861" s="59"/>
      <c r="I861" s="59"/>
    </row>
    <row r="862" spans="2:9" ht="12.75">
      <c r="B862" s="59"/>
      <c r="C862" s="59"/>
      <c r="D862" s="59"/>
      <c r="E862" s="59"/>
      <c r="F862" s="59"/>
      <c r="G862" s="59"/>
      <c r="H862" s="59"/>
      <c r="I862" s="59"/>
    </row>
    <row r="863" spans="2:9" ht="12.75">
      <c r="B863" s="59"/>
      <c r="C863" s="59"/>
      <c r="D863" s="59"/>
      <c r="E863" s="59"/>
      <c r="F863" s="59"/>
      <c r="G863" s="59"/>
      <c r="H863" s="59"/>
      <c r="I863" s="59"/>
    </row>
    <row r="864" spans="2:9" ht="12.75">
      <c r="B864" s="59"/>
      <c r="C864" s="59"/>
      <c r="D864" s="59"/>
      <c r="E864" s="59"/>
      <c r="F864" s="59"/>
      <c r="G864" s="59"/>
      <c r="H864" s="59"/>
      <c r="I864" s="59"/>
    </row>
    <row r="865" spans="2:9" ht="12.75">
      <c r="B865" s="59"/>
      <c r="C865" s="59"/>
      <c r="D865" s="59"/>
      <c r="E865" s="59"/>
      <c r="F865" s="59"/>
      <c r="G865" s="59"/>
      <c r="H865" s="59"/>
      <c r="I865" s="59"/>
    </row>
    <row r="866" spans="2:9" ht="12.75">
      <c r="B866" s="59"/>
      <c r="C866" s="59"/>
      <c r="D866" s="59"/>
      <c r="E866" s="59"/>
      <c r="F866" s="59"/>
      <c r="G866" s="59"/>
      <c r="H866" s="59"/>
      <c r="I866" s="59"/>
    </row>
    <row r="867" spans="2:9" ht="12.75">
      <c r="B867" s="59"/>
      <c r="C867" s="59"/>
      <c r="D867" s="59"/>
      <c r="E867" s="59"/>
      <c r="F867" s="59"/>
      <c r="G867" s="59"/>
      <c r="H867" s="59"/>
      <c r="I867" s="59"/>
    </row>
    <row r="868" spans="2:9" ht="12.75">
      <c r="B868" s="59"/>
      <c r="C868" s="59"/>
      <c r="D868" s="59"/>
      <c r="E868" s="59"/>
      <c r="F868" s="59"/>
      <c r="G868" s="59"/>
      <c r="H868" s="59"/>
      <c r="I868" s="59"/>
    </row>
    <row r="869" spans="2:9" ht="12.75">
      <c r="B869" s="59"/>
      <c r="C869" s="59"/>
      <c r="D869" s="59"/>
      <c r="E869" s="59"/>
      <c r="F869" s="59"/>
      <c r="G869" s="59"/>
      <c r="H869" s="59"/>
      <c r="I869" s="59"/>
    </row>
    <row r="870" spans="2:9" ht="12.75">
      <c r="B870" s="59"/>
      <c r="C870" s="59"/>
      <c r="D870" s="59"/>
      <c r="E870" s="59"/>
      <c r="F870" s="59"/>
      <c r="G870" s="59"/>
      <c r="H870" s="59"/>
      <c r="I870" s="59"/>
    </row>
    <row r="871" spans="2:9" ht="12.75">
      <c r="B871" s="59"/>
      <c r="C871" s="59"/>
      <c r="D871" s="59"/>
      <c r="E871" s="59"/>
      <c r="F871" s="59"/>
      <c r="G871" s="59"/>
      <c r="H871" s="59"/>
      <c r="I871" s="59"/>
    </row>
    <row r="872" spans="2:9" ht="12.75">
      <c r="B872" s="59"/>
      <c r="C872" s="59"/>
      <c r="D872" s="59"/>
      <c r="E872" s="59"/>
      <c r="F872" s="59"/>
      <c r="G872" s="59"/>
      <c r="H872" s="59"/>
      <c r="I872" s="59"/>
    </row>
    <row r="873" spans="2:9" ht="12.75">
      <c r="B873" s="59"/>
      <c r="C873" s="59"/>
      <c r="D873" s="59"/>
      <c r="E873" s="59"/>
      <c r="F873" s="59"/>
      <c r="G873" s="59"/>
      <c r="H873" s="59"/>
      <c r="I873" s="59"/>
    </row>
    <row r="874" spans="2:9" ht="12.75">
      <c r="B874" s="59"/>
      <c r="C874" s="59"/>
      <c r="D874" s="59"/>
      <c r="E874" s="59"/>
      <c r="F874" s="59"/>
      <c r="G874" s="59"/>
      <c r="H874" s="59"/>
      <c r="I874" s="59"/>
    </row>
    <row r="875" spans="2:9" ht="12.75">
      <c r="B875" s="59"/>
      <c r="C875" s="59"/>
      <c r="D875" s="59"/>
      <c r="E875" s="59"/>
      <c r="F875" s="59"/>
      <c r="G875" s="59"/>
      <c r="H875" s="59"/>
      <c r="I875" s="59"/>
    </row>
    <row r="876" spans="2:9" ht="12.75">
      <c r="B876" s="59"/>
      <c r="C876" s="59"/>
      <c r="D876" s="59"/>
      <c r="E876" s="59"/>
      <c r="F876" s="59"/>
      <c r="G876" s="59"/>
      <c r="H876" s="59"/>
      <c r="I876" s="59"/>
    </row>
    <row r="877" spans="2:9" ht="12.75">
      <c r="B877" s="59"/>
      <c r="C877" s="59"/>
      <c r="D877" s="59"/>
      <c r="E877" s="59"/>
      <c r="F877" s="59"/>
      <c r="G877" s="59"/>
      <c r="H877" s="59"/>
      <c r="I877" s="59"/>
    </row>
    <row r="878" spans="2:9" ht="12.75">
      <c r="B878" s="59"/>
      <c r="C878" s="59"/>
      <c r="D878" s="59"/>
      <c r="E878" s="59"/>
      <c r="F878" s="59"/>
      <c r="G878" s="59"/>
      <c r="H878" s="59"/>
      <c r="I878" s="59"/>
    </row>
    <row r="879" spans="2:9" ht="12.75">
      <c r="B879" s="59"/>
      <c r="C879" s="59"/>
      <c r="D879" s="59"/>
      <c r="E879" s="59"/>
      <c r="F879" s="59"/>
      <c r="G879" s="59"/>
      <c r="H879" s="59"/>
      <c r="I879" s="59"/>
    </row>
    <row r="880" spans="2:9" ht="12.75">
      <c r="B880" s="59"/>
      <c r="C880" s="59"/>
      <c r="D880" s="59"/>
      <c r="E880" s="59"/>
      <c r="F880" s="59"/>
      <c r="G880" s="59"/>
      <c r="H880" s="59"/>
      <c r="I880" s="59"/>
    </row>
    <row r="881" spans="2:9" ht="12.75">
      <c r="B881" s="59"/>
      <c r="C881" s="59"/>
      <c r="D881" s="59"/>
      <c r="E881" s="59"/>
      <c r="F881" s="59"/>
      <c r="G881" s="59"/>
      <c r="H881" s="59"/>
      <c r="I881" s="59"/>
    </row>
    <row r="882" spans="2:9" ht="12.75">
      <c r="B882" s="59"/>
      <c r="C882" s="59"/>
      <c r="D882" s="59"/>
      <c r="E882" s="59"/>
      <c r="F882" s="59"/>
      <c r="G882" s="59"/>
      <c r="H882" s="59"/>
      <c r="I882" s="59"/>
    </row>
    <row r="883" spans="2:9" ht="12.75">
      <c r="B883" s="59"/>
      <c r="C883" s="59"/>
      <c r="D883" s="59"/>
      <c r="E883" s="59"/>
      <c r="F883" s="59"/>
      <c r="G883" s="59"/>
      <c r="H883" s="59"/>
      <c r="I883" s="59"/>
    </row>
    <row r="884" spans="2:9" ht="12.75">
      <c r="B884" s="59"/>
      <c r="C884" s="59"/>
      <c r="D884" s="59"/>
      <c r="E884" s="59"/>
      <c r="F884" s="59"/>
      <c r="G884" s="59"/>
      <c r="H884" s="59"/>
      <c r="I884" s="59"/>
    </row>
    <row r="885" spans="2:9" ht="12.75">
      <c r="B885" s="59"/>
      <c r="C885" s="59"/>
      <c r="D885" s="59"/>
      <c r="E885" s="59"/>
      <c r="F885" s="59"/>
      <c r="G885" s="59"/>
      <c r="H885" s="59"/>
      <c r="I885" s="59"/>
    </row>
    <row r="886" spans="2:9" ht="12.75">
      <c r="B886" s="59"/>
      <c r="C886" s="59"/>
      <c r="D886" s="59"/>
      <c r="E886" s="59"/>
      <c r="F886" s="59"/>
      <c r="G886" s="59"/>
      <c r="H886" s="59"/>
      <c r="I886" s="59"/>
    </row>
    <row r="887" spans="2:9" ht="12.75">
      <c r="B887" s="59"/>
      <c r="C887" s="59"/>
      <c r="D887" s="59"/>
      <c r="E887" s="59"/>
      <c r="F887" s="59"/>
      <c r="G887" s="59"/>
      <c r="H887" s="59"/>
      <c r="I887" s="59"/>
    </row>
    <row r="888" spans="2:9" ht="12.75">
      <c r="B888" s="59"/>
      <c r="C888" s="59"/>
      <c r="D888" s="59"/>
      <c r="E888" s="59"/>
      <c r="F888" s="59"/>
      <c r="G888" s="59"/>
      <c r="H888" s="59"/>
      <c r="I888" s="59"/>
    </row>
    <row r="889" spans="2:9" ht="12.75">
      <c r="B889" s="59"/>
      <c r="C889" s="59"/>
      <c r="D889" s="59"/>
      <c r="E889" s="59"/>
      <c r="F889" s="59"/>
      <c r="G889" s="59"/>
      <c r="H889" s="59"/>
      <c r="I889" s="59"/>
    </row>
    <row r="890" spans="2:9" ht="12.75">
      <c r="B890" s="59"/>
      <c r="C890" s="59"/>
      <c r="D890" s="59"/>
      <c r="E890" s="59"/>
      <c r="F890" s="59"/>
      <c r="G890" s="59"/>
      <c r="H890" s="59"/>
      <c r="I890" s="59"/>
    </row>
    <row r="891" spans="2:9" ht="12.75">
      <c r="B891" s="59"/>
      <c r="C891" s="59"/>
      <c r="D891" s="59"/>
      <c r="E891" s="59"/>
      <c r="F891" s="59"/>
      <c r="G891" s="59"/>
      <c r="H891" s="59"/>
      <c r="I891" s="59"/>
    </row>
    <row r="892" spans="2:9" ht="12.75">
      <c r="B892" s="59"/>
      <c r="C892" s="59"/>
      <c r="D892" s="59"/>
      <c r="E892" s="59"/>
      <c r="F892" s="59"/>
      <c r="G892" s="59"/>
      <c r="H892" s="59"/>
      <c r="I892" s="59"/>
    </row>
    <row r="893" spans="2:9" ht="12.75">
      <c r="B893" s="59"/>
      <c r="C893" s="59"/>
      <c r="D893" s="59"/>
      <c r="E893" s="59"/>
      <c r="F893" s="59"/>
      <c r="G893" s="59"/>
      <c r="H893" s="59"/>
      <c r="I893" s="59"/>
    </row>
    <row r="894" spans="2:9" ht="12.75">
      <c r="B894" s="59"/>
      <c r="C894" s="59"/>
      <c r="D894" s="59"/>
      <c r="E894" s="59"/>
      <c r="F894" s="59"/>
      <c r="G894" s="59"/>
      <c r="H894" s="59"/>
      <c r="I894" s="59"/>
    </row>
    <row r="895" spans="2:9" ht="12.75">
      <c r="B895" s="59"/>
      <c r="C895" s="59"/>
      <c r="D895" s="59"/>
      <c r="E895" s="59"/>
      <c r="F895" s="59"/>
      <c r="G895" s="59"/>
      <c r="H895" s="59"/>
      <c r="I895" s="59"/>
    </row>
    <row r="896" spans="2:9" ht="12.75">
      <c r="B896" s="59"/>
      <c r="C896" s="59"/>
      <c r="D896" s="59"/>
      <c r="E896" s="59"/>
      <c r="F896" s="59"/>
      <c r="G896" s="59"/>
      <c r="H896" s="59"/>
      <c r="I896" s="59"/>
    </row>
    <row r="897" spans="2:9" ht="12.75">
      <c r="B897" s="59"/>
      <c r="C897" s="59"/>
      <c r="D897" s="59"/>
      <c r="E897" s="59"/>
      <c r="F897" s="59"/>
      <c r="G897" s="59"/>
      <c r="H897" s="59"/>
      <c r="I897" s="59"/>
    </row>
    <row r="898" spans="2:9" ht="12.75">
      <c r="B898" s="59"/>
      <c r="C898" s="59"/>
      <c r="D898" s="59"/>
      <c r="E898" s="59"/>
      <c r="F898" s="59"/>
      <c r="G898" s="59"/>
      <c r="H898" s="59"/>
      <c r="I898" s="59"/>
    </row>
    <row r="899" spans="2:9" ht="12.75">
      <c r="B899" s="59"/>
      <c r="C899" s="59"/>
      <c r="D899" s="59"/>
      <c r="E899" s="59"/>
      <c r="F899" s="59"/>
      <c r="G899" s="59"/>
      <c r="H899" s="59"/>
      <c r="I899" s="59"/>
    </row>
    <row r="900" spans="2:9" ht="12.75">
      <c r="B900" s="59"/>
      <c r="C900" s="59"/>
      <c r="D900" s="59"/>
      <c r="E900" s="59"/>
      <c r="F900" s="59"/>
      <c r="G900" s="59"/>
      <c r="H900" s="59"/>
      <c r="I900" s="59"/>
    </row>
    <row r="901" spans="2:9" ht="12.75">
      <c r="B901" s="59"/>
      <c r="C901" s="59"/>
      <c r="D901" s="59"/>
      <c r="E901" s="59"/>
      <c r="F901" s="59"/>
      <c r="G901" s="59"/>
      <c r="H901" s="59"/>
      <c r="I901" s="59"/>
    </row>
    <row r="902" spans="2:9" ht="12.75">
      <c r="B902" s="59"/>
      <c r="C902" s="59"/>
      <c r="D902" s="59"/>
      <c r="E902" s="59"/>
      <c r="F902" s="59"/>
      <c r="G902" s="59"/>
      <c r="H902" s="59"/>
      <c r="I902" s="59"/>
    </row>
    <row r="903" spans="2:9" ht="12.75">
      <c r="B903" s="59"/>
      <c r="C903" s="59"/>
      <c r="D903" s="59"/>
      <c r="E903" s="59"/>
      <c r="F903" s="59"/>
      <c r="G903" s="59"/>
      <c r="H903" s="59"/>
      <c r="I903" s="59"/>
    </row>
    <row r="904" spans="2:9" ht="12.75">
      <c r="B904" s="59"/>
      <c r="C904" s="59"/>
      <c r="D904" s="59"/>
      <c r="E904" s="59"/>
      <c r="F904" s="59"/>
      <c r="G904" s="59"/>
      <c r="H904" s="59"/>
      <c r="I904" s="59"/>
    </row>
    <row r="905" spans="2:9" ht="12.75">
      <c r="B905" s="59"/>
      <c r="C905" s="59"/>
      <c r="D905" s="59"/>
      <c r="E905" s="59"/>
      <c r="F905" s="59"/>
      <c r="G905" s="59"/>
      <c r="H905" s="59"/>
      <c r="I905" s="59"/>
    </row>
    <row r="906" spans="2:9" ht="12.75">
      <c r="B906" s="59"/>
      <c r="C906" s="59"/>
      <c r="D906" s="59"/>
      <c r="E906" s="59"/>
      <c r="F906" s="59"/>
      <c r="G906" s="59"/>
      <c r="H906" s="59"/>
      <c r="I906" s="59"/>
    </row>
    <row r="907" spans="2:9" ht="12.75">
      <c r="B907" s="59"/>
      <c r="C907" s="59"/>
      <c r="D907" s="59"/>
      <c r="E907" s="59"/>
      <c r="F907" s="59"/>
      <c r="G907" s="59"/>
      <c r="H907" s="59"/>
      <c r="I907" s="59"/>
    </row>
    <row r="908" spans="2:9" ht="12.75">
      <c r="B908" s="59"/>
      <c r="C908" s="59"/>
      <c r="D908" s="59"/>
      <c r="E908" s="59"/>
      <c r="F908" s="59"/>
      <c r="G908" s="59"/>
      <c r="H908" s="59"/>
      <c r="I908" s="59"/>
    </row>
    <row r="909" spans="2:9" ht="12.75">
      <c r="B909" s="59"/>
      <c r="C909" s="59"/>
      <c r="D909" s="59"/>
      <c r="E909" s="59"/>
      <c r="F909" s="59"/>
      <c r="G909" s="59"/>
      <c r="H909" s="59"/>
      <c r="I909" s="59"/>
    </row>
    <row r="910" spans="2:9" ht="12.75">
      <c r="B910" s="59"/>
      <c r="C910" s="59"/>
      <c r="D910" s="59"/>
      <c r="E910" s="59"/>
      <c r="F910" s="59"/>
      <c r="G910" s="59"/>
      <c r="H910" s="59"/>
      <c r="I910" s="59"/>
    </row>
    <row r="911" spans="2:9" ht="12.75">
      <c r="B911" s="59"/>
      <c r="C911" s="59"/>
      <c r="D911" s="59"/>
      <c r="E911" s="59"/>
      <c r="F911" s="59"/>
      <c r="G911" s="59"/>
      <c r="H911" s="59"/>
      <c r="I911" s="59"/>
    </row>
    <row r="912" spans="2:9" ht="12.75">
      <c r="B912" s="59"/>
      <c r="C912" s="59"/>
      <c r="D912" s="59"/>
      <c r="E912" s="59"/>
      <c r="F912" s="59"/>
      <c r="G912" s="59"/>
      <c r="H912" s="59"/>
      <c r="I912" s="59"/>
    </row>
    <row r="913" spans="2:9" ht="12.75">
      <c r="B913" s="59"/>
      <c r="C913" s="59"/>
      <c r="D913" s="59"/>
      <c r="E913" s="59"/>
      <c r="F913" s="59"/>
      <c r="G913" s="59"/>
      <c r="H913" s="59"/>
      <c r="I913" s="59"/>
    </row>
    <row r="914" spans="2:9" ht="12.75">
      <c r="B914" s="59"/>
      <c r="C914" s="59"/>
      <c r="D914" s="59"/>
      <c r="E914" s="59"/>
      <c r="F914" s="59"/>
      <c r="G914" s="59"/>
      <c r="H914" s="59"/>
      <c r="I914" s="59"/>
    </row>
    <row r="915" spans="2:9" ht="12.75">
      <c r="B915" s="59"/>
      <c r="C915" s="59"/>
      <c r="D915" s="59"/>
      <c r="E915" s="59"/>
      <c r="F915" s="59"/>
      <c r="G915" s="59"/>
      <c r="H915" s="59"/>
      <c r="I915" s="59"/>
    </row>
    <row r="916" spans="2:9" ht="12.75">
      <c r="B916" s="59"/>
      <c r="C916" s="59"/>
      <c r="D916" s="59"/>
      <c r="E916" s="59"/>
      <c r="F916" s="59"/>
      <c r="G916" s="59"/>
      <c r="H916" s="59"/>
      <c r="I916" s="59"/>
    </row>
    <row r="917" spans="2:9" ht="12.75">
      <c r="B917" s="59"/>
      <c r="C917" s="59"/>
      <c r="D917" s="59"/>
      <c r="E917" s="59"/>
      <c r="F917" s="59"/>
      <c r="G917" s="59"/>
      <c r="H917" s="59"/>
      <c r="I917" s="59"/>
    </row>
    <row r="918" spans="2:9" ht="12.75">
      <c r="B918" s="59"/>
      <c r="C918" s="59"/>
      <c r="D918" s="59"/>
      <c r="E918" s="59"/>
      <c r="F918" s="59"/>
      <c r="G918" s="59"/>
      <c r="H918" s="59"/>
      <c r="I918" s="59"/>
    </row>
    <row r="919" spans="2:9" ht="12.75">
      <c r="B919" s="59"/>
      <c r="C919" s="59"/>
      <c r="D919" s="59"/>
      <c r="E919" s="59"/>
      <c r="F919" s="59"/>
      <c r="G919" s="59"/>
      <c r="H919" s="59"/>
      <c r="I919" s="59"/>
    </row>
    <row r="920" spans="2:9" ht="12.75">
      <c r="B920" s="59"/>
      <c r="C920" s="59"/>
      <c r="D920" s="59"/>
      <c r="E920" s="59"/>
      <c r="F920" s="59"/>
      <c r="G920" s="59"/>
      <c r="H920" s="59"/>
      <c r="I920" s="59"/>
    </row>
    <row r="921" spans="2:9" ht="12.75">
      <c r="B921" s="59"/>
      <c r="C921" s="59"/>
      <c r="D921" s="59"/>
      <c r="E921" s="59"/>
      <c r="F921" s="59"/>
      <c r="G921" s="59"/>
      <c r="H921" s="59"/>
      <c r="I921" s="59"/>
    </row>
    <row r="922" spans="2:9" ht="12.75">
      <c r="B922" s="59"/>
      <c r="C922" s="59"/>
      <c r="D922" s="59"/>
      <c r="E922" s="59"/>
      <c r="F922" s="59"/>
      <c r="G922" s="59"/>
      <c r="H922" s="59"/>
      <c r="I922" s="59"/>
    </row>
    <row r="923" spans="2:9" ht="12.75">
      <c r="B923" s="59"/>
      <c r="C923" s="59"/>
      <c r="D923" s="59"/>
      <c r="E923" s="59"/>
      <c r="F923" s="59"/>
      <c r="G923" s="59"/>
      <c r="H923" s="59"/>
      <c r="I923" s="59"/>
    </row>
    <row r="924" spans="2:9" ht="12.75">
      <c r="B924" s="59"/>
      <c r="C924" s="59"/>
      <c r="D924" s="59"/>
      <c r="E924" s="59"/>
      <c r="F924" s="59"/>
      <c r="G924" s="59"/>
      <c r="H924" s="59"/>
      <c r="I924" s="59"/>
    </row>
    <row r="925" spans="2:9" ht="12.75">
      <c r="B925" s="59"/>
      <c r="C925" s="59"/>
      <c r="D925" s="59"/>
      <c r="E925" s="59"/>
      <c r="F925" s="59"/>
      <c r="G925" s="59"/>
      <c r="H925" s="59"/>
      <c r="I925" s="59"/>
    </row>
    <row r="926" spans="2:9" ht="12.75">
      <c r="B926" s="59"/>
      <c r="C926" s="59"/>
      <c r="D926" s="59"/>
      <c r="E926" s="59"/>
      <c r="F926" s="59"/>
      <c r="G926" s="59"/>
      <c r="H926" s="59"/>
      <c r="I926" s="59"/>
    </row>
    <row r="927" spans="2:9" ht="12.75">
      <c r="B927" s="59"/>
      <c r="C927" s="59"/>
      <c r="D927" s="59"/>
      <c r="E927" s="59"/>
      <c r="F927" s="59"/>
      <c r="G927" s="59"/>
      <c r="H927" s="59"/>
      <c r="I927" s="59"/>
    </row>
    <row r="928" spans="2:9" ht="12.75">
      <c r="B928" s="59"/>
      <c r="C928" s="59"/>
      <c r="D928" s="59"/>
      <c r="E928" s="59"/>
      <c r="F928" s="59"/>
      <c r="G928" s="59"/>
      <c r="H928" s="59"/>
      <c r="I928" s="59"/>
    </row>
    <row r="929" spans="2:9" ht="12.75">
      <c r="B929" s="59"/>
      <c r="C929" s="59"/>
      <c r="D929" s="59"/>
      <c r="E929" s="59"/>
      <c r="F929" s="59"/>
      <c r="G929" s="59"/>
      <c r="H929" s="59"/>
      <c r="I929" s="59"/>
    </row>
    <row r="930" spans="2:9" ht="12.75">
      <c r="B930" s="59"/>
      <c r="C930" s="59"/>
      <c r="D930" s="59"/>
      <c r="E930" s="59"/>
      <c r="F930" s="59"/>
      <c r="G930" s="59"/>
      <c r="H930" s="59"/>
      <c r="I930" s="59"/>
    </row>
    <row r="931" spans="2:9" ht="12.75">
      <c r="B931" s="59"/>
      <c r="C931" s="59"/>
      <c r="D931" s="59"/>
      <c r="E931" s="59"/>
      <c r="F931" s="59"/>
      <c r="G931" s="59"/>
      <c r="H931" s="59"/>
      <c r="I931" s="59"/>
    </row>
    <row r="932" spans="2:9" ht="12.75">
      <c r="B932" s="59"/>
      <c r="C932" s="59"/>
      <c r="D932" s="59"/>
      <c r="E932" s="59"/>
      <c r="F932" s="59"/>
      <c r="G932" s="59"/>
      <c r="H932" s="59"/>
      <c r="I932" s="59"/>
    </row>
    <row r="933" spans="2:9" ht="12.75">
      <c r="B933" s="59"/>
      <c r="C933" s="59"/>
      <c r="D933" s="59"/>
      <c r="E933" s="59"/>
      <c r="F933" s="59"/>
      <c r="G933" s="59"/>
      <c r="H933" s="59"/>
      <c r="I933" s="59"/>
    </row>
    <row r="934" spans="2:9" ht="12.75">
      <c r="B934" s="59"/>
      <c r="C934" s="59"/>
      <c r="D934" s="59"/>
      <c r="E934" s="59"/>
      <c r="F934" s="59"/>
      <c r="G934" s="59"/>
      <c r="H934" s="59"/>
      <c r="I934" s="59"/>
    </row>
    <row r="935" spans="2:9" ht="12.75">
      <c r="B935" s="59"/>
      <c r="C935" s="59"/>
      <c r="D935" s="59"/>
      <c r="E935" s="59"/>
      <c r="F935" s="59"/>
      <c r="G935" s="59"/>
      <c r="H935" s="59"/>
      <c r="I935" s="59"/>
    </row>
    <row r="936" spans="2:9" ht="12.75">
      <c r="B936" s="59"/>
      <c r="C936" s="59"/>
      <c r="D936" s="59"/>
      <c r="E936" s="59"/>
      <c r="F936" s="59"/>
      <c r="G936" s="59"/>
      <c r="H936" s="59"/>
      <c r="I936" s="59"/>
    </row>
    <row r="937" spans="2:9" ht="12.75">
      <c r="B937" s="59"/>
      <c r="C937" s="59"/>
      <c r="D937" s="59"/>
      <c r="E937" s="59"/>
      <c r="F937" s="59"/>
      <c r="G937" s="59"/>
      <c r="H937" s="59"/>
      <c r="I937" s="59"/>
    </row>
    <row r="938" spans="2:9" ht="12.75">
      <c r="B938" s="59"/>
      <c r="C938" s="59"/>
      <c r="D938" s="59"/>
      <c r="E938" s="59"/>
      <c r="F938" s="59"/>
      <c r="G938" s="59"/>
      <c r="H938" s="59"/>
      <c r="I938" s="59"/>
    </row>
    <row r="939" spans="2:9" ht="12.75">
      <c r="B939" s="59"/>
      <c r="C939" s="59"/>
      <c r="D939" s="59"/>
      <c r="E939" s="59"/>
      <c r="F939" s="59"/>
      <c r="G939" s="59"/>
      <c r="H939" s="59"/>
      <c r="I939" s="59"/>
    </row>
    <row r="940" spans="2:9" ht="12.75">
      <c r="B940" s="59"/>
      <c r="C940" s="59"/>
      <c r="D940" s="59"/>
      <c r="E940" s="59"/>
      <c r="F940" s="59"/>
      <c r="G940" s="59"/>
      <c r="H940" s="59"/>
      <c r="I940" s="59"/>
    </row>
    <row r="941" spans="2:9" ht="12.75">
      <c r="B941" s="59"/>
      <c r="C941" s="59"/>
      <c r="D941" s="59"/>
      <c r="E941" s="59"/>
      <c r="F941" s="59"/>
      <c r="G941" s="59"/>
      <c r="H941" s="59"/>
      <c r="I941" s="59"/>
    </row>
    <row r="942" spans="2:9" ht="12.75">
      <c r="B942" s="59"/>
      <c r="C942" s="59"/>
      <c r="D942" s="59"/>
      <c r="E942" s="59"/>
      <c r="F942" s="59"/>
      <c r="G942" s="59"/>
      <c r="H942" s="59"/>
      <c r="I942" s="59"/>
    </row>
    <row r="943" spans="2:9" ht="12.75">
      <c r="B943" s="59"/>
      <c r="C943" s="59"/>
      <c r="D943" s="59"/>
      <c r="E943" s="59"/>
      <c r="F943" s="59"/>
      <c r="G943" s="59"/>
      <c r="H943" s="59"/>
      <c r="I943" s="59"/>
    </row>
    <row r="944" spans="2:9" ht="12.75">
      <c r="B944" s="59"/>
      <c r="C944" s="59"/>
      <c r="D944" s="59"/>
      <c r="E944" s="59"/>
      <c r="F944" s="59"/>
      <c r="G944" s="59"/>
      <c r="H944" s="59"/>
      <c r="I944" s="59"/>
    </row>
    <row r="945" spans="2:9" ht="12.75">
      <c r="B945" s="59"/>
      <c r="C945" s="59"/>
      <c r="D945" s="59"/>
      <c r="E945" s="59"/>
      <c r="F945" s="59"/>
      <c r="G945" s="59"/>
      <c r="H945" s="59"/>
      <c r="I945" s="59"/>
    </row>
    <row r="946" spans="2:9" ht="12.75">
      <c r="B946" s="59"/>
      <c r="C946" s="59"/>
      <c r="D946" s="59"/>
      <c r="E946" s="59"/>
      <c r="F946" s="59"/>
      <c r="G946" s="59"/>
      <c r="H946" s="59"/>
      <c r="I946" s="59"/>
    </row>
    <row r="947" spans="2:9" ht="12.75">
      <c r="B947" s="59"/>
      <c r="C947" s="59"/>
      <c r="D947" s="59"/>
      <c r="E947" s="59"/>
      <c r="F947" s="59"/>
      <c r="G947" s="59"/>
      <c r="H947" s="59"/>
      <c r="I947" s="59"/>
    </row>
    <row r="948" spans="2:9" ht="12.75">
      <c r="B948" s="59"/>
      <c r="C948" s="59"/>
      <c r="D948" s="59"/>
      <c r="E948" s="59"/>
      <c r="F948" s="59"/>
      <c r="G948" s="59"/>
      <c r="H948" s="59"/>
      <c r="I948" s="59"/>
    </row>
    <row r="949" spans="2:9" ht="12.75">
      <c r="B949" s="59"/>
      <c r="C949" s="59"/>
      <c r="D949" s="59"/>
      <c r="E949" s="59"/>
      <c r="F949" s="59"/>
      <c r="G949" s="59"/>
      <c r="H949" s="59"/>
      <c r="I949" s="59"/>
    </row>
    <row r="950" spans="2:9" ht="12.75">
      <c r="B950" s="59"/>
      <c r="C950" s="59"/>
      <c r="D950" s="59"/>
      <c r="E950" s="59"/>
      <c r="F950" s="59"/>
      <c r="G950" s="59"/>
      <c r="H950" s="59"/>
      <c r="I950" s="59"/>
    </row>
    <row r="951" spans="2:9" ht="12.75">
      <c r="B951" s="59"/>
      <c r="C951" s="59"/>
      <c r="D951" s="59"/>
      <c r="E951" s="59"/>
      <c r="F951" s="59"/>
      <c r="G951" s="59"/>
      <c r="H951" s="59"/>
      <c r="I951" s="59"/>
    </row>
    <row r="952" spans="2:9" ht="12.75">
      <c r="B952" s="59"/>
      <c r="C952" s="59"/>
      <c r="D952" s="59"/>
      <c r="E952" s="59"/>
      <c r="F952" s="59"/>
      <c r="G952" s="59"/>
      <c r="H952" s="59"/>
      <c r="I952" s="59"/>
    </row>
    <row r="953" spans="2:9" ht="12.75">
      <c r="B953" s="59"/>
      <c r="C953" s="59"/>
      <c r="D953" s="59"/>
      <c r="E953" s="59"/>
      <c r="F953" s="59"/>
      <c r="G953" s="59"/>
      <c r="H953" s="59"/>
      <c r="I953" s="59"/>
    </row>
    <row r="954" spans="2:9" ht="12.75">
      <c r="B954" s="59"/>
      <c r="C954" s="59"/>
      <c r="D954" s="59"/>
      <c r="E954" s="59"/>
      <c r="F954" s="59"/>
      <c r="G954" s="59"/>
      <c r="H954" s="59"/>
      <c r="I954" s="59"/>
    </row>
    <row r="955" spans="2:9" ht="12.75">
      <c r="B955" s="59"/>
      <c r="C955" s="59"/>
      <c r="D955" s="59"/>
      <c r="E955" s="59"/>
      <c r="F955" s="59"/>
      <c r="G955" s="59"/>
      <c r="H955" s="59"/>
      <c r="I955" s="59"/>
    </row>
    <row r="956" spans="2:9" ht="12.75">
      <c r="B956" s="59"/>
      <c r="C956" s="59"/>
      <c r="D956" s="59"/>
      <c r="E956" s="59"/>
      <c r="F956" s="59"/>
      <c r="G956" s="59"/>
      <c r="H956" s="59"/>
      <c r="I956" s="59"/>
    </row>
    <row r="957" spans="2:9" ht="12.75">
      <c r="B957" s="59"/>
      <c r="C957" s="59"/>
      <c r="D957" s="59"/>
      <c r="E957" s="59"/>
      <c r="F957" s="59"/>
      <c r="G957" s="59"/>
      <c r="H957" s="59"/>
      <c r="I957" s="59"/>
    </row>
    <row r="958" spans="2:9" ht="12.75">
      <c r="B958" s="59"/>
      <c r="C958" s="59"/>
      <c r="D958" s="59"/>
      <c r="E958" s="59"/>
      <c r="F958" s="59"/>
      <c r="G958" s="59"/>
      <c r="H958" s="59"/>
      <c r="I958" s="59"/>
    </row>
    <row r="959" spans="2:9" ht="12.75">
      <c r="B959" s="59"/>
      <c r="C959" s="59"/>
      <c r="D959" s="59"/>
      <c r="E959" s="59"/>
      <c r="F959" s="59"/>
      <c r="G959" s="59"/>
      <c r="H959" s="59"/>
      <c r="I959" s="59"/>
    </row>
    <row r="960" spans="2:9" ht="12.75">
      <c r="B960" s="59"/>
      <c r="C960" s="59"/>
      <c r="D960" s="59"/>
      <c r="E960" s="59"/>
      <c r="F960" s="59"/>
      <c r="G960" s="59"/>
      <c r="H960" s="59"/>
      <c r="I960" s="59"/>
    </row>
    <row r="961" spans="2:9" ht="12.75">
      <c r="B961" s="59"/>
      <c r="C961" s="59"/>
      <c r="D961" s="59"/>
      <c r="E961" s="59"/>
      <c r="F961" s="59"/>
      <c r="G961" s="59"/>
      <c r="H961" s="59"/>
      <c r="I961" s="59"/>
    </row>
    <row r="962" spans="2:9" ht="12.75">
      <c r="B962" s="59"/>
      <c r="C962" s="59"/>
      <c r="D962" s="59"/>
      <c r="E962" s="59"/>
      <c r="F962" s="59"/>
      <c r="G962" s="59"/>
      <c r="H962" s="59"/>
      <c r="I962" s="59"/>
    </row>
    <row r="963" spans="2:9" ht="12.75">
      <c r="B963" s="59"/>
      <c r="C963" s="59"/>
      <c r="D963" s="59"/>
      <c r="E963" s="59"/>
      <c r="F963" s="59"/>
      <c r="G963" s="59"/>
      <c r="H963" s="59"/>
      <c r="I963" s="59"/>
    </row>
    <row r="964" spans="2:9" ht="12.75">
      <c r="B964" s="59"/>
      <c r="C964" s="59"/>
      <c r="D964" s="59"/>
      <c r="E964" s="59"/>
      <c r="F964" s="59"/>
      <c r="G964" s="59"/>
      <c r="H964" s="59"/>
      <c r="I964" s="59"/>
    </row>
    <row r="965" spans="2:9" ht="12.75">
      <c r="B965" s="59"/>
      <c r="C965" s="59"/>
      <c r="D965" s="59"/>
      <c r="E965" s="59"/>
      <c r="F965" s="59"/>
      <c r="G965" s="59"/>
      <c r="H965" s="59"/>
      <c r="I965" s="59"/>
    </row>
    <row r="966" spans="2:9" ht="12.75">
      <c r="B966" s="59"/>
      <c r="C966" s="59"/>
      <c r="D966" s="59"/>
      <c r="E966" s="59"/>
      <c r="F966" s="59"/>
      <c r="G966" s="59"/>
      <c r="H966" s="59"/>
      <c r="I966" s="59"/>
    </row>
    <row r="967" spans="2:9" ht="12.75">
      <c r="B967" s="59"/>
      <c r="C967" s="59"/>
      <c r="D967" s="59"/>
      <c r="E967" s="59"/>
      <c r="F967" s="59"/>
      <c r="G967" s="59"/>
      <c r="H967" s="59"/>
      <c r="I967" s="59"/>
    </row>
    <row r="968" spans="2:9" ht="12.75">
      <c r="B968" s="59"/>
      <c r="C968" s="59"/>
      <c r="D968" s="59"/>
      <c r="E968" s="59"/>
      <c r="F968" s="59"/>
      <c r="G968" s="59"/>
      <c r="H968" s="59"/>
      <c r="I968" s="59"/>
    </row>
    <row r="969" spans="2:9" ht="12.75">
      <c r="B969" s="59"/>
      <c r="C969" s="59"/>
      <c r="D969" s="59"/>
      <c r="E969" s="59"/>
      <c r="F969" s="59"/>
      <c r="G969" s="59"/>
      <c r="H969" s="59"/>
      <c r="I969" s="59"/>
    </row>
    <row r="970" spans="2:9" ht="12.75">
      <c r="B970" s="59"/>
      <c r="C970" s="59"/>
      <c r="D970" s="59"/>
      <c r="E970" s="59"/>
      <c r="F970" s="59"/>
      <c r="G970" s="59"/>
      <c r="H970" s="59"/>
      <c r="I970" s="59"/>
    </row>
    <row r="971" spans="2:9" ht="12.75">
      <c r="B971" s="59"/>
      <c r="C971" s="59"/>
      <c r="D971" s="59"/>
      <c r="E971" s="59"/>
      <c r="F971" s="59"/>
      <c r="G971" s="59"/>
      <c r="H971" s="59"/>
      <c r="I971" s="59"/>
    </row>
    <row r="972" spans="2:9" ht="12.75">
      <c r="B972" s="59"/>
      <c r="C972" s="59"/>
      <c r="D972" s="59"/>
      <c r="E972" s="59"/>
      <c r="F972" s="59"/>
      <c r="G972" s="59"/>
      <c r="H972" s="59"/>
      <c r="I972" s="59"/>
    </row>
    <row r="973" spans="2:9" ht="12.75">
      <c r="B973" s="59"/>
      <c r="C973" s="59"/>
      <c r="D973" s="59"/>
      <c r="E973" s="59"/>
      <c r="F973" s="59"/>
      <c r="G973" s="59"/>
      <c r="H973" s="59"/>
      <c r="I973" s="59"/>
    </row>
    <row r="974" spans="2:9" ht="12.75">
      <c r="B974" s="59"/>
      <c r="C974" s="59"/>
      <c r="D974" s="59"/>
      <c r="E974" s="59"/>
      <c r="F974" s="59"/>
      <c r="G974" s="59"/>
      <c r="H974" s="59"/>
      <c r="I974" s="59"/>
    </row>
    <row r="975" spans="2:9" ht="12.75">
      <c r="B975" s="59"/>
      <c r="C975" s="59"/>
      <c r="D975" s="59"/>
      <c r="E975" s="59"/>
      <c r="F975" s="59"/>
      <c r="G975" s="59"/>
      <c r="H975" s="59"/>
      <c r="I975" s="59"/>
    </row>
    <row r="976" spans="2:9" ht="12.75">
      <c r="B976" s="59"/>
      <c r="C976" s="59"/>
      <c r="D976" s="59"/>
      <c r="E976" s="59"/>
      <c r="F976" s="59"/>
      <c r="G976" s="59"/>
      <c r="H976" s="59"/>
      <c r="I976" s="59"/>
    </row>
    <row r="977" spans="2:9" ht="12.75">
      <c r="B977" s="59"/>
      <c r="C977" s="59"/>
      <c r="D977" s="59"/>
      <c r="E977" s="59"/>
      <c r="F977" s="59"/>
      <c r="G977" s="59"/>
      <c r="H977" s="59"/>
      <c r="I977" s="59"/>
    </row>
    <row r="978" spans="2:9" ht="12.75">
      <c r="B978" s="59"/>
      <c r="C978" s="59"/>
      <c r="D978" s="59"/>
      <c r="E978" s="59"/>
      <c r="F978" s="59"/>
      <c r="G978" s="59"/>
      <c r="H978" s="59"/>
      <c r="I978" s="59"/>
    </row>
    <row r="979" spans="2:9" ht="12.75">
      <c r="B979" s="59"/>
      <c r="C979" s="59"/>
      <c r="D979" s="59"/>
      <c r="E979" s="59"/>
      <c r="F979" s="59"/>
      <c r="G979" s="59"/>
      <c r="H979" s="59"/>
      <c r="I979" s="59"/>
    </row>
    <row r="980" spans="2:9" ht="12.75">
      <c r="B980" s="59"/>
      <c r="C980" s="59"/>
      <c r="D980" s="59"/>
      <c r="E980" s="59"/>
      <c r="F980" s="59"/>
      <c r="G980" s="59"/>
      <c r="H980" s="59"/>
      <c r="I980" s="59"/>
    </row>
    <row r="981" spans="2:9" ht="12.75">
      <c r="B981" s="59"/>
      <c r="C981" s="59"/>
      <c r="D981" s="59"/>
      <c r="E981" s="59"/>
      <c r="F981" s="59"/>
      <c r="G981" s="59"/>
      <c r="H981" s="59"/>
      <c r="I981" s="59"/>
    </row>
    <row r="982" spans="2:9" ht="12.75">
      <c r="B982" s="59"/>
      <c r="C982" s="59"/>
      <c r="D982" s="59"/>
      <c r="E982" s="59"/>
      <c r="F982" s="59"/>
      <c r="G982" s="59"/>
      <c r="H982" s="59"/>
      <c r="I982" s="59"/>
    </row>
    <row r="983" spans="2:9" ht="12.75">
      <c r="B983" s="59"/>
      <c r="C983" s="59"/>
      <c r="D983" s="59"/>
      <c r="E983" s="59"/>
      <c r="F983" s="59"/>
      <c r="G983" s="59"/>
      <c r="H983" s="59"/>
      <c r="I983" s="59"/>
    </row>
    <row r="984" spans="2:9" ht="12.75">
      <c r="B984" s="59"/>
      <c r="C984" s="59"/>
      <c r="D984" s="59"/>
      <c r="E984" s="59"/>
      <c r="F984" s="59"/>
      <c r="G984" s="59"/>
      <c r="H984" s="59"/>
      <c r="I984" s="59"/>
    </row>
    <row r="985" spans="2:9" ht="12.75">
      <c r="B985" s="59"/>
      <c r="C985" s="59"/>
      <c r="D985" s="59"/>
      <c r="E985" s="59"/>
      <c r="F985" s="59"/>
      <c r="G985" s="59"/>
      <c r="H985" s="59"/>
      <c r="I985" s="59"/>
    </row>
    <row r="986" spans="2:9" ht="12.75">
      <c r="B986" s="59"/>
      <c r="C986" s="59"/>
      <c r="D986" s="59"/>
      <c r="E986" s="59"/>
      <c r="F986" s="59"/>
      <c r="G986" s="59"/>
      <c r="H986" s="59"/>
      <c r="I986" s="59"/>
    </row>
    <row r="987" spans="2:9" ht="12.75">
      <c r="B987" s="59"/>
      <c r="C987" s="59"/>
      <c r="D987" s="59"/>
      <c r="E987" s="59"/>
      <c r="F987" s="59"/>
      <c r="G987" s="59"/>
      <c r="H987" s="59"/>
      <c r="I987" s="59"/>
    </row>
    <row r="988" spans="2:9" ht="12.75">
      <c r="B988" s="59"/>
      <c r="C988" s="59"/>
      <c r="D988" s="59"/>
      <c r="E988" s="59"/>
      <c r="F988" s="59"/>
      <c r="G988" s="59"/>
      <c r="H988" s="59"/>
      <c r="I988" s="59"/>
    </row>
    <row r="989" spans="2:9" ht="12.75">
      <c r="B989" s="59"/>
      <c r="C989" s="59"/>
      <c r="D989" s="59"/>
      <c r="E989" s="59"/>
      <c r="F989" s="59"/>
      <c r="G989" s="59"/>
      <c r="H989" s="59"/>
      <c r="I989" s="59"/>
    </row>
    <row r="990" spans="2:9" ht="12.75">
      <c r="B990" s="59"/>
      <c r="C990" s="59"/>
      <c r="D990" s="59"/>
      <c r="E990" s="59"/>
      <c r="F990" s="59"/>
      <c r="G990" s="59"/>
      <c r="H990" s="59"/>
      <c r="I990" s="59"/>
    </row>
    <row r="991" spans="2:9" ht="12.75">
      <c r="B991" s="59"/>
      <c r="C991" s="59"/>
      <c r="D991" s="59"/>
      <c r="E991" s="59"/>
      <c r="F991" s="59"/>
      <c r="G991" s="59"/>
      <c r="H991" s="59"/>
      <c r="I991" s="59"/>
    </row>
    <row r="992" spans="2:9" ht="12.75">
      <c r="B992" s="59"/>
      <c r="C992" s="59"/>
      <c r="D992" s="59"/>
      <c r="E992" s="59"/>
      <c r="F992" s="59"/>
      <c r="G992" s="59"/>
      <c r="H992" s="59"/>
      <c r="I992" s="59"/>
    </row>
    <row r="993" spans="2:9" ht="12.75">
      <c r="B993" s="59"/>
      <c r="C993" s="59"/>
      <c r="D993" s="59"/>
      <c r="E993" s="59"/>
      <c r="F993" s="59"/>
      <c r="G993" s="59"/>
      <c r="H993" s="59"/>
      <c r="I993" s="59"/>
    </row>
    <row r="994" spans="2:9" ht="12.75">
      <c r="B994" s="59"/>
      <c r="C994" s="59"/>
      <c r="D994" s="59"/>
      <c r="E994" s="59"/>
      <c r="F994" s="59"/>
      <c r="G994" s="59"/>
      <c r="H994" s="59"/>
      <c r="I994" s="59"/>
    </row>
    <row r="995" spans="2:9" ht="12.75">
      <c r="B995" s="59"/>
      <c r="C995" s="59"/>
      <c r="D995" s="59"/>
      <c r="E995" s="59"/>
      <c r="F995" s="59"/>
      <c r="G995" s="59"/>
      <c r="H995" s="59"/>
      <c r="I995" s="59"/>
    </row>
    <row r="996" spans="2:9" ht="12.75">
      <c r="B996" s="59"/>
      <c r="C996" s="59"/>
      <c r="D996" s="59"/>
      <c r="E996" s="59"/>
      <c r="F996" s="59"/>
      <c r="G996" s="59"/>
      <c r="H996" s="59"/>
      <c r="I996" s="59"/>
    </row>
  </sheetData>
  <mergeCells count="2">
    <mergeCell ref="B2:I2"/>
    <mergeCell ref="C3:F3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"/>
  <sheetViews>
    <sheetView workbookViewId="0"/>
  </sheetViews>
  <sheetFormatPr baseColWidth="10" defaultColWidth="12.5703125" defaultRowHeight="15.75" customHeight="1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"/>
  <sheetViews>
    <sheetView workbookViewId="0"/>
  </sheetViews>
  <sheetFormatPr baseColWidth="10" defaultColWidth="12.5703125" defaultRowHeight="15.75" customHeight="1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B1:I996"/>
  <sheetViews>
    <sheetView workbookViewId="0">
      <selection activeCell="C4" sqref="C4"/>
    </sheetView>
  </sheetViews>
  <sheetFormatPr baseColWidth="10" defaultColWidth="12.5703125" defaultRowHeight="15.75" customHeight="1"/>
  <cols>
    <col min="1" max="1" width="3.42578125" customWidth="1"/>
    <col min="2" max="3" width="43.28515625" customWidth="1"/>
    <col min="4" max="4" width="43.28515625" hidden="1" customWidth="1"/>
    <col min="5" max="5" width="29.7109375" customWidth="1"/>
    <col min="6" max="6" width="18.42578125" customWidth="1"/>
    <col min="7" max="8" width="43.28515625" hidden="1" customWidth="1"/>
    <col min="9" max="9" width="32.42578125" customWidth="1"/>
  </cols>
  <sheetData>
    <row r="1" spans="2:9" ht="12.75">
      <c r="B1" s="59"/>
      <c r="C1" s="59"/>
      <c r="D1" s="59"/>
      <c r="E1" s="59"/>
      <c r="F1" s="59"/>
      <c r="G1" s="59"/>
      <c r="H1" s="59"/>
      <c r="I1" s="59"/>
    </row>
    <row r="2" spans="2:9" ht="23.25">
      <c r="B2" s="79" t="s">
        <v>832</v>
      </c>
      <c r="C2" s="78"/>
      <c r="D2" s="78"/>
      <c r="E2" s="78"/>
      <c r="F2" s="78"/>
      <c r="G2" s="78"/>
      <c r="H2" s="78"/>
      <c r="I2" s="78"/>
    </row>
    <row r="3" spans="2:9" ht="12.75">
      <c r="B3" s="69"/>
      <c r="C3" s="80"/>
      <c r="D3" s="78"/>
      <c r="E3" s="78"/>
      <c r="F3" s="78"/>
      <c r="G3" s="69"/>
      <c r="H3" s="69"/>
      <c r="I3" s="69"/>
    </row>
    <row r="4" spans="2:9" ht="20.25" customHeight="1">
      <c r="B4" s="70" t="s">
        <v>833</v>
      </c>
      <c r="C4" s="71" t="s">
        <v>834</v>
      </c>
      <c r="G4" s="69"/>
      <c r="H4" s="69"/>
      <c r="I4" s="69"/>
    </row>
    <row r="5" spans="2:9" ht="12.75">
      <c r="B5" s="69"/>
      <c r="C5" s="72"/>
      <c r="D5" s="72"/>
      <c r="E5" s="69"/>
      <c r="F5" s="69"/>
      <c r="G5" s="69"/>
      <c r="H5" s="69"/>
      <c r="I5" s="69"/>
    </row>
    <row r="6" spans="2:9" ht="12.75">
      <c r="B6" s="59"/>
      <c r="C6" s="59"/>
      <c r="D6" s="59"/>
      <c r="E6" s="59"/>
      <c r="F6" s="59"/>
      <c r="G6" s="76"/>
      <c r="H6" s="76"/>
      <c r="I6" s="76"/>
    </row>
    <row r="7" spans="2:9" ht="26.25" customHeight="1">
      <c r="B7" s="73" t="s">
        <v>0</v>
      </c>
      <c r="C7" s="73" t="s">
        <v>1</v>
      </c>
      <c r="D7" s="73" t="s">
        <v>2</v>
      </c>
      <c r="E7" s="73" t="s">
        <v>3</v>
      </c>
      <c r="F7" s="73" t="s">
        <v>4</v>
      </c>
      <c r="G7" s="74" t="s">
        <v>5</v>
      </c>
      <c r="H7" s="74" t="s">
        <v>6</v>
      </c>
      <c r="I7" s="74" t="s">
        <v>7</v>
      </c>
    </row>
    <row r="8" spans="2:9" ht="27" customHeight="1">
      <c r="B8" s="73" t="str">
        <f ca="1">IFERROR(__xludf.DUMMYFUNCTION("FILTER(Arancel,(REGEXMATCH(Arancel[PRESENTACIÓN], ""(?i)""&amp;C3))+(REGEXMATCH(Arancel[NOMBRE COMERCIAL], ""(?i)""&amp;C3)))"),"ACETAMINOFEN 120MG/5ML")</f>
        <v>ACETAMINOFEN 120MG/5ML</v>
      </c>
      <c r="C8" s="73" t="str">
        <f ca="1">IFERROR(__xludf.DUMMYFUNCTION("""COMPUTED_VALUE"""),"SUSPENCIÒN 60ML")</f>
        <v>SUSPENCIÒN 60ML</v>
      </c>
      <c r="D8" s="73" t="str">
        <f ca="1">IFERROR(__xludf.DUMMYFUNCTION("""COMPUTED_VALUE"""),"ACETAMINOFEN")</f>
        <v>ACETAMINOFEN</v>
      </c>
      <c r="E8" s="73" t="str">
        <f ca="1">IFERROR(__xludf.DUMMYFUNCTION("""COMPUTED_VALUE"""),"INFASA")</f>
        <v>INFASA</v>
      </c>
      <c r="F8" s="75">
        <f ca="1">IFERROR(__xludf.DUMMYFUNCTION("""COMPUTED_VALUE"""),45895)</f>
        <v>45895</v>
      </c>
      <c r="G8" s="74">
        <f ca="1">IFERROR(__xludf.DUMMYFUNCTION("""COMPUTED_VALUE"""),16.8)</f>
        <v>16.8</v>
      </c>
      <c r="H8" s="74">
        <f ca="1">IFERROR(__xludf.DUMMYFUNCTION("""COMPUTED_VALUE"""),23.52)</f>
        <v>23.52</v>
      </c>
      <c r="I8" s="74">
        <f ca="1">IFERROR(__xludf.DUMMYFUNCTION("""COMPUTED_VALUE"""),25)</f>
        <v>25</v>
      </c>
    </row>
    <row r="9" spans="2:9" ht="27" customHeight="1">
      <c r="B9" s="73" t="str">
        <f ca="1">IFERROR(__xludf.DUMMYFUNCTION("""COMPUTED_VALUE"""),"ADENURIC 80MG.")</f>
        <v>ADENURIC 80MG.</v>
      </c>
      <c r="C9" s="73" t="str">
        <f ca="1">IFERROR(__xludf.DUMMYFUNCTION("""COMPUTED_VALUE"""),"CAJA 20 TABLETAS")</f>
        <v>CAJA 20 TABLETAS</v>
      </c>
      <c r="D9" s="73" t="str">
        <f ca="1">IFERROR(__xludf.DUMMYFUNCTION("""COMPUTED_VALUE"""),"FEBUXOSTAT")</f>
        <v>FEBUXOSTAT</v>
      </c>
      <c r="E9" s="73" t="str">
        <f ca="1">IFERROR(__xludf.DUMMYFUNCTION("""COMPUTED_VALUE"""),"MENARINI")</f>
        <v>MENARINI</v>
      </c>
      <c r="F9" s="75">
        <f ca="1">IFERROR(__xludf.DUMMYFUNCTION("""COMPUTED_VALUE"""),46017)</f>
        <v>46017</v>
      </c>
      <c r="G9" s="74">
        <f ca="1">IFERROR(__xludf.DUMMYFUNCTION("""COMPUTED_VALUE"""),234.15)</f>
        <v>234.15</v>
      </c>
      <c r="H9" s="74">
        <f ca="1">IFERROR(__xludf.DUMMYFUNCTION("""COMPUTED_VALUE"""),327.81)</f>
        <v>327.81</v>
      </c>
      <c r="I9" s="74">
        <f ca="1">IFERROR(__xludf.DUMMYFUNCTION("""COMPUTED_VALUE"""),330)</f>
        <v>330</v>
      </c>
    </row>
    <row r="10" spans="2:9" ht="27" customHeight="1">
      <c r="B10" s="73" t="str">
        <f ca="1">IFERROR(__xludf.DUMMYFUNCTION("""COMPUTED_VALUE"""),"ADRENALINA /EPINEFRINA")</f>
        <v>ADRENALINA /EPINEFRINA</v>
      </c>
      <c r="C10" s="73" t="str">
        <f ca="1">IFERROR(__xludf.DUMMYFUNCTION("""COMPUTED_VALUE"""),"AMPOLLA")</f>
        <v>AMPOLLA</v>
      </c>
      <c r="D10" s="73" t="str">
        <f ca="1">IFERROR(__xludf.DUMMYFUNCTION("""COMPUTED_VALUE"""),"ADRENALINA C/EPINEFRINA")</f>
        <v>ADRENALINA C/EPINEFRINA</v>
      </c>
      <c r="E10" s="73" t="str">
        <f ca="1">IFERROR(__xludf.DUMMYFUNCTION("""COMPUTED_VALUE"""),"VIJOSA")</f>
        <v>VIJOSA</v>
      </c>
      <c r="F10" s="75">
        <f ca="1">IFERROR(__xludf.DUMMYFUNCTION("""COMPUTED_VALUE"""),45835)</f>
        <v>45835</v>
      </c>
      <c r="G10" s="74">
        <f ca="1">IFERROR(__xludf.DUMMYFUNCTION("""COMPUTED_VALUE"""),12.65)</f>
        <v>12.65</v>
      </c>
      <c r="H10" s="74">
        <f ca="1">IFERROR(__xludf.DUMMYFUNCTION("""COMPUTED_VALUE"""),17.71)</f>
        <v>17.71</v>
      </c>
      <c r="I10" s="74">
        <f ca="1">IFERROR(__xludf.DUMMYFUNCTION("""COMPUTED_VALUE"""),25)</f>
        <v>25</v>
      </c>
    </row>
    <row r="11" spans="2:9" ht="27" customHeight="1">
      <c r="B11" s="73" t="str">
        <f ca="1">IFERROR(__xludf.DUMMYFUNCTION("""COMPUTED_VALUE"""),"AERO OM")</f>
        <v>AERO OM</v>
      </c>
      <c r="C11" s="73" t="str">
        <f ca="1">IFERROR(__xludf.DUMMYFUNCTION("""COMPUTED_VALUE"""),"BLISTER 10 TABLETAS")</f>
        <v>BLISTER 10 TABLETAS</v>
      </c>
      <c r="D11" s="73" t="str">
        <f ca="1">IFERROR(__xludf.DUMMYFUNCTION("""COMPUTED_VALUE"""),"SIMETICONA 40MG.")</f>
        <v>SIMETICONA 40MG.</v>
      </c>
      <c r="E11" s="73" t="str">
        <f ca="1">IFERROR(__xludf.DUMMYFUNCTION("""COMPUTED_VALUE"""),"RESCO")</f>
        <v>RESCO</v>
      </c>
      <c r="F11" s="75">
        <f ca="1">IFERROR(__xludf.DUMMYFUNCTION("""COMPUTED_VALUE"""),45865)</f>
        <v>45865</v>
      </c>
      <c r="G11" s="74">
        <f ca="1">IFERROR(__xludf.DUMMYFUNCTION("""COMPUTED_VALUE"""),16.83)</f>
        <v>16.829999999999998</v>
      </c>
      <c r="H11" s="74">
        <f ca="1">IFERROR(__xludf.DUMMYFUNCTION("""COMPUTED_VALUE"""),23.5619999999999)</f>
        <v>23.561999999999902</v>
      </c>
      <c r="I11" s="74">
        <f ca="1">IFERROR(__xludf.DUMMYFUNCTION("""COMPUTED_VALUE"""),30)</f>
        <v>30</v>
      </c>
    </row>
    <row r="12" spans="2:9" ht="27" customHeight="1">
      <c r="B12" s="73" t="str">
        <f ca="1">IFERROR(__xludf.DUMMYFUNCTION("""COMPUTED_VALUE"""),"AERO OM ORAL")</f>
        <v>AERO OM ORAL</v>
      </c>
      <c r="C12" s="73" t="str">
        <f ca="1">IFERROR(__xludf.DUMMYFUNCTION("""COMPUTED_VALUE"""),"GOTAS")</f>
        <v>GOTAS</v>
      </c>
      <c r="D12" s="73" t="str">
        <f ca="1">IFERROR(__xludf.DUMMYFUNCTION("""COMPUTED_VALUE"""),"SIMETICONA 100MG/ML")</f>
        <v>SIMETICONA 100MG/ML</v>
      </c>
      <c r="E12" s="73" t="str">
        <f ca="1">IFERROR(__xludf.DUMMYFUNCTION("""COMPUTED_VALUE"""),"RESCO")</f>
        <v>RESCO</v>
      </c>
      <c r="F12" s="75">
        <f ca="1">IFERROR(__xludf.DUMMYFUNCTION("""COMPUTED_VALUE"""),45957)</f>
        <v>45957</v>
      </c>
      <c r="G12" s="74">
        <f ca="1">IFERROR(__xludf.DUMMYFUNCTION("""COMPUTED_VALUE"""),51.84)</f>
        <v>51.84</v>
      </c>
      <c r="H12" s="74">
        <f ca="1">IFERROR(__xludf.DUMMYFUNCTION("""COMPUTED_VALUE"""),72.576)</f>
        <v>72.575999999999993</v>
      </c>
      <c r="I12" s="74">
        <f ca="1">IFERROR(__xludf.DUMMYFUNCTION("""COMPUTED_VALUE"""),75)</f>
        <v>75</v>
      </c>
    </row>
    <row r="13" spans="2:9" ht="27" customHeight="1">
      <c r="B13" s="73" t="str">
        <f ca="1">IFERROR(__xludf.DUMMYFUNCTION("""COMPUTED_VALUE"""),"ALAMO 16")</f>
        <v>ALAMO 16</v>
      </c>
      <c r="C13" s="73" t="str">
        <f ca="1">IFERROR(__xludf.DUMMYFUNCTION("""COMPUTED_VALUE"""),"CAJA 30 TABLETAS")</f>
        <v>CAJA 30 TABLETAS</v>
      </c>
      <c r="D13" s="73" t="str">
        <f ca="1">IFERROR(__xludf.DUMMYFUNCTION("""COMPUTED_VALUE"""),"CANDESARTÀN")</f>
        <v>CANDESARTÀN</v>
      </c>
      <c r="E13" s="73" t="str">
        <f ca="1">IFERROR(__xludf.DUMMYFUNCTION("""COMPUTED_VALUE"""),"PHARMEDIC")</f>
        <v>PHARMEDIC</v>
      </c>
      <c r="F13" s="75">
        <f ca="1">IFERROR(__xludf.DUMMYFUNCTION("""COMPUTED_VALUE"""),45896)</f>
        <v>45896</v>
      </c>
      <c r="G13" s="74">
        <f ca="1">IFERROR(__xludf.DUMMYFUNCTION("""COMPUTED_VALUE"""),138)</f>
        <v>138</v>
      </c>
      <c r="H13" s="74">
        <f ca="1">IFERROR(__xludf.DUMMYFUNCTION("""COMPUTED_VALUE"""),193.2)</f>
        <v>193.2</v>
      </c>
      <c r="I13" s="74">
        <f ca="1">IFERROR(__xludf.DUMMYFUNCTION("""COMPUTED_VALUE"""),195)</f>
        <v>195</v>
      </c>
    </row>
    <row r="14" spans="2:9" ht="27" customHeight="1">
      <c r="B14" s="73" t="str">
        <f ca="1">IFERROR(__xludf.DUMMYFUNCTION("""COMPUTED_VALUE"""),"ALBUGENOL-TR")</f>
        <v>ALBUGENOL-TR</v>
      </c>
      <c r="C14" s="73" t="str">
        <f ca="1">IFERROR(__xludf.DUMMYFUNCTION("""COMPUTED_VALUE"""),"AEROSOL PARA INHALAR")</f>
        <v>AEROSOL PARA INHALAR</v>
      </c>
      <c r="D14" s="73" t="str">
        <f ca="1">IFERROR(__xludf.DUMMYFUNCTION("""COMPUTED_VALUE"""),"SALBUTAMOL 120 MCG./ BROMURO DE IPATROPIUM 20 MCG.")</f>
        <v>SALBUTAMOL 120 MCG./ BROMURO DE IPATROPIUM 20 MCG.</v>
      </c>
      <c r="E14" s="73" t="str">
        <f ca="1">IFERROR(__xludf.DUMMYFUNCTION("""COMPUTED_VALUE"""),"GENERIX Hadalabs")</f>
        <v>GENERIX Hadalabs</v>
      </c>
      <c r="F14" s="75">
        <f ca="1">IFERROR(__xludf.DUMMYFUNCTION("""COMPUTED_VALUE"""),45865)</f>
        <v>45865</v>
      </c>
      <c r="G14" s="74">
        <f ca="1">IFERROR(__xludf.DUMMYFUNCTION("""COMPUTED_VALUE"""),115.2)</f>
        <v>115.2</v>
      </c>
      <c r="H14" s="74">
        <f ca="1">IFERROR(__xludf.DUMMYFUNCTION("""COMPUTED_VALUE"""),161.28)</f>
        <v>161.28</v>
      </c>
      <c r="I14" s="74">
        <f ca="1">IFERROR(__xludf.DUMMYFUNCTION("""COMPUTED_VALUE"""),170)</f>
        <v>170</v>
      </c>
    </row>
    <row r="15" spans="2:9" ht="27" customHeight="1">
      <c r="B15" s="73" t="str">
        <f ca="1">IFERROR(__xludf.DUMMYFUNCTION("""COMPUTED_VALUE"""),"ALBUMINA HUMANA")</f>
        <v>ALBUMINA HUMANA</v>
      </c>
      <c r="C15" s="73" t="str">
        <f ca="1">IFERROR(__xludf.DUMMYFUNCTION("""COMPUTED_VALUE"""),"FRASCO IV 50ML")</f>
        <v>FRASCO IV 50ML</v>
      </c>
      <c r="D15" s="73" t="str">
        <f ca="1">IFERROR(__xludf.DUMMYFUNCTION("""COMPUTED_VALUE"""),"ALBUMINA HUMANA")</f>
        <v>ALBUMINA HUMANA</v>
      </c>
      <c r="E15" s="73" t="str">
        <f ca="1">IFERROR(__xludf.DUMMYFUNCTION("""COMPUTED_VALUE"""),"INSUMEDIC GT")</f>
        <v>INSUMEDIC GT</v>
      </c>
      <c r="F15" s="75">
        <f ca="1">IFERROR(__xludf.DUMMYFUNCTION("""COMPUTED_VALUE"""),46017)</f>
        <v>46017</v>
      </c>
      <c r="G15" s="74">
        <f ca="1">IFERROR(__xludf.DUMMYFUNCTION("""COMPUTED_VALUE"""),375)</f>
        <v>375</v>
      </c>
      <c r="H15" s="74">
        <f ca="1">IFERROR(__xludf.DUMMYFUNCTION("""COMPUTED_VALUE"""),525)</f>
        <v>525</v>
      </c>
      <c r="I15" s="74">
        <f ca="1">IFERROR(__xludf.DUMMYFUNCTION("""COMPUTED_VALUE"""),530)</f>
        <v>530</v>
      </c>
    </row>
    <row r="16" spans="2:9" ht="27" customHeight="1">
      <c r="B16" s="73" t="str">
        <f ca="1">IFERROR(__xludf.DUMMYFUNCTION("""COMPUTED_VALUE"""),"ALCET 5")</f>
        <v>ALCET 5</v>
      </c>
      <c r="C16" s="73" t="str">
        <f ca="1">IFERROR(__xludf.DUMMYFUNCTION("""COMPUTED_VALUE"""),"CAJA 10 TAB.")</f>
        <v>CAJA 10 TAB.</v>
      </c>
      <c r="D16" s="73" t="str">
        <f ca="1">IFERROR(__xludf.DUMMYFUNCTION("""COMPUTED_VALUE"""),"LEVOCETIRIZINA 5MG.")</f>
        <v>LEVOCETIRIZINA 5MG.</v>
      </c>
      <c r="E16" s="73" t="str">
        <f ca="1">IFERROR(__xludf.DUMMYFUNCTION("""COMPUTED_VALUE"""),"PRISM")</f>
        <v>PRISM</v>
      </c>
      <c r="F16" s="75">
        <f ca="1">IFERROR(__xludf.DUMMYFUNCTION("""COMPUTED_VALUE"""),45956)</f>
        <v>45956</v>
      </c>
      <c r="G16" s="74">
        <f ca="1">IFERROR(__xludf.DUMMYFUNCTION("""COMPUTED_VALUE"""),75.09)</f>
        <v>75.09</v>
      </c>
      <c r="H16" s="74">
        <f ca="1">IFERROR(__xludf.DUMMYFUNCTION("""COMPUTED_VALUE"""),105.126)</f>
        <v>105.126</v>
      </c>
      <c r="I16" s="74">
        <f ca="1">IFERROR(__xludf.DUMMYFUNCTION("""COMPUTED_VALUE"""),105)</f>
        <v>105</v>
      </c>
    </row>
    <row r="17" spans="2:9" ht="27" customHeight="1">
      <c r="B17" s="73" t="str">
        <f ca="1">IFERROR(__xludf.DUMMYFUNCTION("""COMPUTED_VALUE"""),"AMIKASINA")</f>
        <v>AMIKASINA</v>
      </c>
      <c r="C17" s="73" t="str">
        <f ca="1">IFERROR(__xludf.DUMMYFUNCTION("""COMPUTED_VALUE"""),"AMPOLLA")</f>
        <v>AMPOLLA</v>
      </c>
      <c r="D17" s="73" t="str">
        <f ca="1">IFERROR(__xludf.DUMMYFUNCTION("""COMPUTED_VALUE"""),"AMIKASINA 500MG")</f>
        <v>AMIKASINA 500MG</v>
      </c>
      <c r="E17" s="73" t="str">
        <f ca="1">IFERROR(__xludf.DUMMYFUNCTION("""COMPUTED_VALUE"""),"VITALIS")</f>
        <v>VITALIS</v>
      </c>
      <c r="F17" s="75">
        <f ca="1">IFERROR(__xludf.DUMMYFUNCTION("""COMPUTED_VALUE"""),46018)</f>
        <v>46018</v>
      </c>
      <c r="G17" s="74">
        <f ca="1">IFERROR(__xludf.DUMMYFUNCTION("""COMPUTED_VALUE"""),5)</f>
        <v>5</v>
      </c>
      <c r="H17" s="74">
        <f ca="1">IFERROR(__xludf.DUMMYFUNCTION("""COMPUTED_VALUE"""),7)</f>
        <v>7</v>
      </c>
      <c r="I17" s="74">
        <f ca="1">IFERROR(__xludf.DUMMYFUNCTION("""COMPUTED_VALUE"""),40)</f>
        <v>40</v>
      </c>
    </row>
    <row r="18" spans="2:9" ht="27" customHeight="1">
      <c r="B18" s="73" t="str">
        <f ca="1">IFERROR(__xludf.DUMMYFUNCTION("""COMPUTED_VALUE"""),"AMINOFILINA")</f>
        <v>AMINOFILINA</v>
      </c>
      <c r="C18" s="73" t="str">
        <f ca="1">IFERROR(__xludf.DUMMYFUNCTION("""COMPUTED_VALUE"""),"AMPOLLA")</f>
        <v>AMPOLLA</v>
      </c>
      <c r="D18" s="73" t="str">
        <f ca="1">IFERROR(__xludf.DUMMYFUNCTION("""COMPUTED_VALUE"""),"AMINOFILINA 250MG.")</f>
        <v>AMINOFILINA 250MG.</v>
      </c>
      <c r="E18" s="73" t="str">
        <f ca="1">IFERROR(__xludf.DUMMYFUNCTION("""COMPUTED_VALUE"""),"BONIN/QUALITY")</f>
        <v>BONIN/QUALITY</v>
      </c>
      <c r="F18" s="75">
        <f ca="1">IFERROR(__xludf.DUMMYFUNCTION("""COMPUTED_VALUE"""),45803)</f>
        <v>45803</v>
      </c>
      <c r="G18" s="74">
        <f ca="1">IFERROR(__xludf.DUMMYFUNCTION("""COMPUTED_VALUE"""),6)</f>
        <v>6</v>
      </c>
      <c r="H18" s="74">
        <f ca="1">IFERROR(__xludf.DUMMYFUNCTION("""COMPUTED_VALUE"""),8.4)</f>
        <v>8.4</v>
      </c>
      <c r="I18" s="74">
        <f ca="1">IFERROR(__xludf.DUMMYFUNCTION("""COMPUTED_VALUE"""),40)</f>
        <v>40</v>
      </c>
    </row>
    <row r="19" spans="2:9" ht="27" customHeight="1">
      <c r="B19" s="73" t="str">
        <f ca="1">IFERROR(__xludf.DUMMYFUNCTION("""COMPUTED_VALUE"""),"AMIODARONA ATLANSIL")</f>
        <v>AMIODARONA ATLANSIL</v>
      </c>
      <c r="C19" s="73" t="str">
        <f ca="1">IFERROR(__xludf.DUMMYFUNCTION("""COMPUTED_VALUE"""),"AMPOLLA")</f>
        <v>AMPOLLA</v>
      </c>
      <c r="D19" s="73" t="str">
        <f ca="1">IFERROR(__xludf.DUMMYFUNCTION("""COMPUTED_VALUE"""),"AMIODARONA CLORHIDRATO")</f>
        <v>AMIODARONA CLORHIDRATO</v>
      </c>
      <c r="E19" s="73" t="str">
        <f ca="1">IFERROR(__xludf.DUMMYFUNCTION("""COMPUTED_VALUE"""),"INSUMEDIC GT")</f>
        <v>INSUMEDIC GT</v>
      </c>
      <c r="F19" s="75">
        <f ca="1">IFERROR(__xludf.DUMMYFUNCTION("""COMPUTED_VALUE"""),45803)</f>
        <v>45803</v>
      </c>
      <c r="G19" s="74">
        <f ca="1">IFERROR(__xludf.DUMMYFUNCTION("""COMPUTED_VALUE"""),78)</f>
        <v>78</v>
      </c>
      <c r="H19" s="74">
        <f ca="1">IFERROR(__xludf.DUMMYFUNCTION("""COMPUTED_VALUE"""),109.2)</f>
        <v>109.2</v>
      </c>
      <c r="I19" s="74">
        <f ca="1">IFERROR(__xludf.DUMMYFUNCTION("""COMPUTED_VALUE"""),150)</f>
        <v>150</v>
      </c>
    </row>
    <row r="20" spans="2:9" ht="27" customHeight="1">
      <c r="B20" s="73" t="str">
        <f ca="1">IFERROR(__xludf.DUMMYFUNCTION("""COMPUTED_VALUE"""),"AMPICILINA + SULBACTAM")</f>
        <v>AMPICILINA + SULBACTAM</v>
      </c>
      <c r="C20" s="73" t="str">
        <f ca="1">IFERROR(__xludf.DUMMYFUNCTION("""COMPUTED_VALUE"""),"FRASCO INYECTABLE")</f>
        <v>FRASCO INYECTABLE</v>
      </c>
      <c r="D20" s="73" t="str">
        <f ca="1">IFERROR(__xludf.DUMMYFUNCTION("""COMPUTED_VALUE"""),"AMPICILINA + SULBACTAM 1.5G")</f>
        <v>AMPICILINA + SULBACTAM 1.5G</v>
      </c>
      <c r="E20" s="73" t="str">
        <f ca="1">IFERROR(__xludf.DUMMYFUNCTION("""COMPUTED_VALUE"""),"VITALIS/DISSA")</f>
        <v>VITALIS/DISSA</v>
      </c>
      <c r="F20" s="75">
        <f ca="1">IFERROR(__xludf.DUMMYFUNCTION("""COMPUTED_VALUE"""),45775)</f>
        <v>45775</v>
      </c>
      <c r="G20" s="74">
        <f ca="1">IFERROR(__xludf.DUMMYFUNCTION("""COMPUTED_VALUE"""),7.13)</f>
        <v>7.13</v>
      </c>
      <c r="H20" s="74">
        <f ca="1">IFERROR(__xludf.DUMMYFUNCTION("""COMPUTED_VALUE"""),9.982)</f>
        <v>9.9819999999999993</v>
      </c>
      <c r="I20" s="74">
        <f ca="1">IFERROR(__xludf.DUMMYFUNCTION("""COMPUTED_VALUE"""),70)</f>
        <v>70</v>
      </c>
    </row>
    <row r="21" spans="2:9" ht="27" customHeight="1">
      <c r="B21" s="73" t="str">
        <f ca="1">IFERROR(__xludf.DUMMYFUNCTION("""COMPUTED_VALUE"""),"ANGINOVAG")</f>
        <v>ANGINOVAG</v>
      </c>
      <c r="C21" s="73" t="str">
        <f ca="1">IFERROR(__xludf.DUMMYFUNCTION("""COMPUTED_VALUE"""),"SPRAY BUCAL")</f>
        <v>SPRAY BUCAL</v>
      </c>
      <c r="D21" s="73" t="str">
        <f ca="1">IFERROR(__xludf.DUMMYFUNCTION("""COMPUTED_VALUE"""),"decualinio cloruro, enoxolona, acetato de hidrocortisona , tirotricina y lidocaína clorhidrato.")</f>
        <v>decualinio cloruro, enoxolona, acetato de hidrocortisona , tirotricina y lidocaína clorhidrato.</v>
      </c>
      <c r="E21" s="73" t="str">
        <f ca="1">IFERROR(__xludf.DUMMYFUNCTION("""COMPUTED_VALUE"""),"FERRER")</f>
        <v>FERRER</v>
      </c>
      <c r="F21" s="75">
        <f ca="1">IFERROR(__xludf.DUMMYFUNCTION("""COMPUTED_VALUE"""),45805)</f>
        <v>45805</v>
      </c>
      <c r="G21" s="74">
        <f ca="1">IFERROR(__xludf.DUMMYFUNCTION("""COMPUTED_VALUE"""),85)</f>
        <v>85</v>
      </c>
      <c r="H21" s="74">
        <f ca="1">IFERROR(__xludf.DUMMYFUNCTION("""COMPUTED_VALUE"""),119)</f>
        <v>119</v>
      </c>
      <c r="I21" s="74">
        <f ca="1">IFERROR(__xludf.DUMMYFUNCTION("""COMPUTED_VALUE"""),120)</f>
        <v>120</v>
      </c>
    </row>
    <row r="22" spans="2:9" ht="27" customHeight="1">
      <c r="B22" s="73" t="str">
        <f ca="1">IFERROR(__xludf.DUMMYFUNCTION("""COMPUTED_VALUE"""),"ARTROSIL 5")</f>
        <v>ARTROSIL 5</v>
      </c>
      <c r="C22" s="73" t="str">
        <f ca="1">IFERROR(__xludf.DUMMYFUNCTION("""COMPUTED_VALUE"""),"CAJA 30 SOBRES")</f>
        <v>CAJA 30 SOBRES</v>
      </c>
      <c r="D22" s="73" t="str">
        <f ca="1">IFERROR(__xludf.DUMMYFUNCTION("""COMPUTED_VALUE"""),"GLUCOSAMINA, CONDROITINA, COLÁGENO, ÁCIDO IALURÓNICO, ÁCIDO ASCÓRBICO")</f>
        <v>GLUCOSAMINA, CONDROITINA, COLÁGENO, ÁCIDO IALURÓNICO, ÁCIDO ASCÓRBICO</v>
      </c>
      <c r="E22" s="73" t="str">
        <f ca="1">IFERROR(__xludf.DUMMYFUNCTION("""COMPUTED_VALUE"""),"PHARMALAT")</f>
        <v>PHARMALAT</v>
      </c>
      <c r="F22" s="75">
        <f ca="1">IFERROR(__xludf.DUMMYFUNCTION("""COMPUTED_VALUE"""),45987)</f>
        <v>45987</v>
      </c>
      <c r="G22" s="74">
        <f ca="1">IFERROR(__xludf.DUMMYFUNCTION("""COMPUTED_VALUE"""),395)</f>
        <v>395</v>
      </c>
      <c r="H22" s="74">
        <f ca="1">IFERROR(__xludf.DUMMYFUNCTION("""COMPUTED_VALUE"""),553)</f>
        <v>553</v>
      </c>
      <c r="I22" s="74">
        <f ca="1">IFERROR(__xludf.DUMMYFUNCTION("""COMPUTED_VALUE"""),560)</f>
        <v>560</v>
      </c>
    </row>
    <row r="23" spans="2:9" ht="27" customHeight="1">
      <c r="B23" s="73" t="str">
        <f ca="1">IFERROR(__xludf.DUMMYFUNCTION("""COMPUTED_VALUE"""),"ASCORBOL")</f>
        <v>ASCORBOL</v>
      </c>
      <c r="C23" s="73" t="str">
        <f ca="1">IFERROR(__xludf.DUMMYFUNCTION("""COMPUTED_VALUE"""),"AMPOLLA")</f>
        <v>AMPOLLA</v>
      </c>
      <c r="D23" s="73" t="str">
        <f ca="1">IFERROR(__xludf.DUMMYFUNCTION("""COMPUTED_VALUE"""),"VITAMINA C")</f>
        <v>VITAMINA C</v>
      </c>
      <c r="E23" s="73" t="str">
        <f ca="1">IFERROR(__xludf.DUMMYFUNCTION("""COMPUTED_VALUE"""),"DIPROFARM")</f>
        <v>DIPROFARM</v>
      </c>
      <c r="F23" s="75">
        <f ca="1">IFERROR(__xludf.DUMMYFUNCTION("""COMPUTED_VALUE"""),45804)</f>
        <v>45804</v>
      </c>
      <c r="G23" s="74">
        <f ca="1">IFERROR(__xludf.DUMMYFUNCTION("""COMPUTED_VALUE"""),5.82)</f>
        <v>5.82</v>
      </c>
      <c r="H23" s="74">
        <f ca="1">IFERROR(__xludf.DUMMYFUNCTION("""COMPUTED_VALUE"""),8.148)</f>
        <v>8.1479999999999997</v>
      </c>
      <c r="I23" s="74">
        <f ca="1">IFERROR(__xludf.DUMMYFUNCTION("""COMPUTED_VALUE"""),30)</f>
        <v>30</v>
      </c>
    </row>
    <row r="24" spans="2:9" ht="27" customHeight="1">
      <c r="B24" s="73" t="str">
        <f ca="1">IFERROR(__xludf.DUMMYFUNCTION("""COMPUTED_VALUE"""),"ATOR-DEL 20")</f>
        <v>ATOR-DEL 20</v>
      </c>
      <c r="C24" s="73" t="str">
        <f ca="1">IFERROR(__xludf.DUMMYFUNCTION("""COMPUTED_VALUE"""),"CAJA 30 TABLETAS")</f>
        <v>CAJA 30 TABLETAS</v>
      </c>
      <c r="D24" s="73" t="str">
        <f ca="1">IFERROR(__xludf.DUMMYFUNCTION("""COMPUTED_VALUE"""),"ATORVASTATINA 20MG.")</f>
        <v>ATORVASTATINA 20MG.</v>
      </c>
      <c r="E24" s="73" t="str">
        <f ca="1">IFERROR(__xludf.DUMMYFUNCTION("""COMPUTED_VALUE"""),"PHARMADEL")</f>
        <v>PHARMADEL</v>
      </c>
      <c r="F24" s="75">
        <f ca="1">IFERROR(__xludf.DUMMYFUNCTION("""COMPUTED_VALUE"""),45927)</f>
        <v>45927</v>
      </c>
      <c r="G24" s="74">
        <f ca="1">IFERROR(__xludf.DUMMYFUNCTION("""COMPUTED_VALUE"""),90)</f>
        <v>90</v>
      </c>
      <c r="H24" s="74">
        <f ca="1">IFERROR(__xludf.DUMMYFUNCTION("""COMPUTED_VALUE"""),126)</f>
        <v>126</v>
      </c>
      <c r="I24" s="74">
        <f ca="1">IFERROR(__xludf.DUMMYFUNCTION("""COMPUTED_VALUE"""),140)</f>
        <v>140</v>
      </c>
    </row>
    <row r="25" spans="2:9" ht="27" customHeight="1">
      <c r="B25" s="73" t="str">
        <f ca="1">IFERROR(__xludf.DUMMYFUNCTION("""COMPUTED_VALUE"""),"AZITROMICINA 500MG")</f>
        <v>AZITROMICINA 500MG</v>
      </c>
      <c r="C25" s="73" t="str">
        <f ca="1">IFERROR(__xludf.DUMMYFUNCTION("""COMPUTED_VALUE"""),"BLISTER 5 TABLETAS")</f>
        <v>BLISTER 5 TABLETAS</v>
      </c>
      <c r="D25" s="73" t="str">
        <f ca="1">IFERROR(__xludf.DUMMYFUNCTION("""COMPUTED_VALUE"""),"AZITROMICINA")</f>
        <v>AZITROMICINA</v>
      </c>
      <c r="E25" s="73" t="str">
        <f ca="1">IFERROR(__xludf.DUMMYFUNCTION("""COMPUTED_VALUE"""),"INFASA")</f>
        <v>INFASA</v>
      </c>
      <c r="F25" s="75">
        <f ca="1">IFERROR(__xludf.DUMMYFUNCTION("""COMPUTED_VALUE"""),45927)</f>
        <v>45927</v>
      </c>
      <c r="G25" s="74">
        <f ca="1">IFERROR(__xludf.DUMMYFUNCTION("""COMPUTED_VALUE"""),33)</f>
        <v>33</v>
      </c>
      <c r="H25" s="74">
        <f ca="1">IFERROR(__xludf.DUMMYFUNCTION("""COMPUTED_VALUE"""),46.2)</f>
        <v>46.2</v>
      </c>
      <c r="I25" s="74">
        <f ca="1">IFERROR(__xludf.DUMMYFUNCTION("""COMPUTED_VALUE"""),45)</f>
        <v>45</v>
      </c>
    </row>
    <row r="26" spans="2:9" ht="27" customHeight="1">
      <c r="B26" s="73" t="str">
        <f ca="1">IFERROR(__xludf.DUMMYFUNCTION("""COMPUTED_VALUE"""),"BAC-CLOR")</f>
        <v>BAC-CLOR</v>
      </c>
      <c r="C26" s="73" t="str">
        <f ca="1">IFERROR(__xludf.DUMMYFUNCTION("""COMPUTED_VALUE"""),"SUSPENCIÒN")</f>
        <v>SUSPENCIÒN</v>
      </c>
      <c r="D26" s="73" t="str">
        <f ca="1">IFERROR(__xludf.DUMMYFUNCTION("""COMPUTED_VALUE"""),"CEFIXIMA 100MG.")</f>
        <v>CEFIXIMA 100MG.</v>
      </c>
      <c r="E26" s="73" t="str">
        <f ca="1">IFERROR(__xludf.DUMMYFUNCTION("""COMPUTED_VALUE"""),"PHARMADEL")</f>
        <v>PHARMADEL</v>
      </c>
      <c r="F26" s="75">
        <f ca="1">IFERROR(__xludf.DUMMYFUNCTION("""COMPUTED_VALUE"""),45988)</f>
        <v>45988</v>
      </c>
      <c r="G26" s="74">
        <f ca="1">IFERROR(__xludf.DUMMYFUNCTION("""COMPUTED_VALUE"""),94)</f>
        <v>94</v>
      </c>
      <c r="H26" s="74">
        <f ca="1">IFERROR(__xludf.DUMMYFUNCTION("""COMPUTED_VALUE"""),131.6)</f>
        <v>131.6</v>
      </c>
      <c r="I26" s="74">
        <f ca="1">IFERROR(__xludf.DUMMYFUNCTION("""COMPUTED_VALUE"""),135)</f>
        <v>135</v>
      </c>
    </row>
    <row r="27" spans="2:9" ht="27" customHeight="1">
      <c r="B27" s="73" t="str">
        <f ca="1">IFERROR(__xludf.DUMMYFUNCTION("""COMPUTED_VALUE"""),"BAC-CLOR")</f>
        <v>BAC-CLOR</v>
      </c>
      <c r="C27" s="73" t="str">
        <f ca="1">IFERROR(__xludf.DUMMYFUNCTION("""COMPUTED_VALUE"""),"CAJA 5 CAPSULAS")</f>
        <v>CAJA 5 CAPSULAS</v>
      </c>
      <c r="D27" s="73" t="str">
        <f ca="1">IFERROR(__xludf.DUMMYFUNCTION("""COMPUTED_VALUE"""),"CEFIXIMA 400MG.")</f>
        <v>CEFIXIMA 400MG.</v>
      </c>
      <c r="E27" s="73" t="str">
        <f ca="1">IFERROR(__xludf.DUMMYFUNCTION("""COMPUTED_VALUE"""),"PHARMADEL")</f>
        <v>PHARMADEL</v>
      </c>
      <c r="F27" s="75">
        <f ca="1">IFERROR(__xludf.DUMMYFUNCTION("""COMPUTED_VALUE"""),45805)</f>
        <v>45805</v>
      </c>
      <c r="G27" s="74">
        <f ca="1">IFERROR(__xludf.DUMMYFUNCTION("""COMPUTED_VALUE"""),65)</f>
        <v>65</v>
      </c>
      <c r="H27" s="74">
        <f ca="1">IFERROR(__xludf.DUMMYFUNCTION("""COMPUTED_VALUE"""),91)</f>
        <v>91</v>
      </c>
      <c r="I27" s="74">
        <f ca="1">IFERROR(__xludf.DUMMYFUNCTION("""COMPUTED_VALUE"""),95)</f>
        <v>95</v>
      </c>
    </row>
    <row r="28" spans="2:9" ht="27" customHeight="1">
      <c r="B28" s="73" t="str">
        <f ca="1">IFERROR(__xludf.DUMMYFUNCTION("""COMPUTED_VALUE"""),"BACTEMICINA K")</f>
        <v>BACTEMICINA K</v>
      </c>
      <c r="C28" s="73" t="str">
        <f ca="1">IFERROR(__xludf.DUMMYFUNCTION("""COMPUTED_VALUE"""),"7 ÒVULOS VAGINALES")</f>
        <v>7 ÒVULOS VAGINALES</v>
      </c>
      <c r="D28" s="73" t="str">
        <f ca="1">IFERROR(__xludf.DUMMYFUNCTION("""COMPUTED_VALUE"""),"CLIDAMINICINA + KETOCONAZOL")</f>
        <v>CLIDAMINICINA + KETOCONAZOL</v>
      </c>
      <c r="E28" s="73" t="str">
        <f ca="1">IFERROR(__xludf.DUMMYFUNCTION("""COMPUTED_VALUE"""),"QUALIPHARM")</f>
        <v>QUALIPHARM</v>
      </c>
      <c r="F28" s="75">
        <f ca="1">IFERROR(__xludf.DUMMYFUNCTION("""COMPUTED_VALUE"""),45895)</f>
        <v>45895</v>
      </c>
      <c r="G28" s="74">
        <f ca="1">IFERROR(__xludf.DUMMYFUNCTION("""COMPUTED_VALUE"""),80)</f>
        <v>80</v>
      </c>
      <c r="H28" s="74">
        <f ca="1">IFERROR(__xludf.DUMMYFUNCTION("""COMPUTED_VALUE"""),112)</f>
        <v>112</v>
      </c>
      <c r="I28" s="74">
        <f ca="1">IFERROR(__xludf.DUMMYFUNCTION("""COMPUTED_VALUE"""),130)</f>
        <v>130</v>
      </c>
    </row>
    <row r="29" spans="2:9" ht="27" customHeight="1">
      <c r="B29" s="73" t="str">
        <f ca="1">IFERROR(__xludf.DUMMYFUNCTION("""COMPUTED_VALUE"""),"BACTEMICINA K")</f>
        <v>BACTEMICINA K</v>
      </c>
      <c r="C29" s="73" t="str">
        <f ca="1">IFERROR(__xludf.DUMMYFUNCTION("""COMPUTED_VALUE"""),"CREMA VAGINAL")</f>
        <v>CREMA VAGINAL</v>
      </c>
      <c r="D29" s="73" t="str">
        <f ca="1">IFERROR(__xludf.DUMMYFUNCTION("""COMPUTED_VALUE"""),"CLIDAMINICINA + KETOCONAZOL")</f>
        <v>CLIDAMINICINA + KETOCONAZOL</v>
      </c>
      <c r="E29" s="73" t="str">
        <f ca="1">IFERROR(__xludf.DUMMYFUNCTION("""COMPUTED_VALUE"""),"QUALIPHARM")</f>
        <v>QUALIPHARM</v>
      </c>
      <c r="F29" s="75">
        <f ca="1">IFERROR(__xludf.DUMMYFUNCTION("""COMPUTED_VALUE"""),45927)</f>
        <v>45927</v>
      </c>
      <c r="G29" s="74">
        <f ca="1">IFERROR(__xludf.DUMMYFUNCTION("""COMPUTED_VALUE"""),60)</f>
        <v>60</v>
      </c>
      <c r="H29" s="74">
        <f ca="1">IFERROR(__xludf.DUMMYFUNCTION("""COMPUTED_VALUE"""),84)</f>
        <v>84</v>
      </c>
      <c r="I29" s="74">
        <f ca="1">IFERROR(__xludf.DUMMYFUNCTION("""COMPUTED_VALUE"""),85)</f>
        <v>85</v>
      </c>
    </row>
    <row r="30" spans="2:9" ht="27" customHeight="1">
      <c r="B30" s="73" t="str">
        <f ca="1">IFERROR(__xludf.DUMMYFUNCTION("""COMPUTED_VALUE"""),"BADYKET")</f>
        <v>BADYKET</v>
      </c>
      <c r="C30" s="73" t="str">
        <f ca="1">IFERROR(__xludf.DUMMYFUNCTION("""COMPUTED_VALUE"""),"IV")</f>
        <v>IV</v>
      </c>
      <c r="D30" s="73" t="str">
        <f ca="1">IFERROR(__xludf.DUMMYFUNCTION("""COMPUTED_VALUE"""),"ANTICUABILANTE")</f>
        <v>ANTICUABILANTE</v>
      </c>
      <c r="E30" s="73" t="str">
        <f ca="1">IFERROR(__xludf.DUMMYFUNCTION("""COMPUTED_VALUE"""),"FARMEN")</f>
        <v>FARMEN</v>
      </c>
      <c r="F30" s="75">
        <f ca="1">IFERROR(__xludf.DUMMYFUNCTION("""COMPUTED_VALUE"""),45804)</f>
        <v>45804</v>
      </c>
      <c r="G30" s="74">
        <f ca="1">IFERROR(__xludf.DUMMYFUNCTION("""COMPUTED_VALUE"""),100)</f>
        <v>100</v>
      </c>
      <c r="H30" s="74">
        <f ca="1">IFERROR(__xludf.DUMMYFUNCTION("""COMPUTED_VALUE"""),140)</f>
        <v>140</v>
      </c>
      <c r="I30" s="74">
        <f ca="1">IFERROR(__xludf.DUMMYFUNCTION("""COMPUTED_VALUE"""),150)</f>
        <v>150</v>
      </c>
    </row>
    <row r="31" spans="2:9" ht="27" customHeight="1">
      <c r="B31" s="73" t="str">
        <f ca="1">IFERROR(__xludf.DUMMYFUNCTION("""COMPUTED_VALUE"""),"BALANAT")</f>
        <v>BALANAT</v>
      </c>
      <c r="C31" s="73" t="str">
        <f ca="1">IFERROR(__xludf.DUMMYFUNCTION("""COMPUTED_VALUE"""),"CAJA 30 SOBRES")</f>
        <v>CAJA 30 SOBRES</v>
      </c>
      <c r="D31" s="73" t="str">
        <f ca="1">IFERROR(__xludf.DUMMYFUNCTION("""COMPUTED_VALUE"""),"COMPLEMENTO NUTRICIONAL")</f>
        <v>COMPLEMENTO NUTRICIONAL</v>
      </c>
      <c r="E31" s="73" t="str">
        <f ca="1">IFERROR(__xludf.DUMMYFUNCTION("""COMPUTED_VALUE"""),"WINZZER")</f>
        <v>WINZZER</v>
      </c>
      <c r="F31" s="75">
        <f ca="1">IFERROR(__xludf.DUMMYFUNCTION("""COMPUTED_VALUE"""),45926)</f>
        <v>45926</v>
      </c>
      <c r="G31" s="74">
        <f ca="1">IFERROR(__xludf.DUMMYFUNCTION("""COMPUTED_VALUE"""),485.71)</f>
        <v>485.71</v>
      </c>
      <c r="H31" s="74">
        <f ca="1">IFERROR(__xludf.DUMMYFUNCTION("""COMPUTED_VALUE"""),679.993999999999)</f>
        <v>679.99399999999901</v>
      </c>
      <c r="I31" s="74">
        <f ca="1">IFERROR(__xludf.DUMMYFUNCTION("""COMPUTED_VALUE"""),680)</f>
        <v>680</v>
      </c>
    </row>
    <row r="32" spans="2:9" ht="27" customHeight="1">
      <c r="B32" s="73" t="str">
        <f ca="1">IFERROR(__xludf.DUMMYFUNCTION("""COMPUTED_VALUE"""),"BIO FILM")</f>
        <v>BIO FILM</v>
      </c>
      <c r="C32" s="73" t="str">
        <f ca="1">IFERROR(__xludf.DUMMYFUNCTION("""COMPUTED_VALUE"""),"MEMBRANA 10 * 10")</f>
        <v>MEMBRANA 10 * 10</v>
      </c>
      <c r="D32" s="73" t="str">
        <f ca="1">IFERROR(__xludf.DUMMYFUNCTION("""COMPUTED_VALUE"""),"MEMBRANA 10 * 10")</f>
        <v>MEMBRANA 10 * 10</v>
      </c>
      <c r="E32" s="73" t="str">
        <f ca="1">IFERROR(__xludf.DUMMYFUNCTION("""COMPUTED_VALUE"""),"BIOFILM/BONIN")</f>
        <v>BIOFILM/BONIN</v>
      </c>
      <c r="F32" s="75">
        <f ca="1">IFERROR(__xludf.DUMMYFUNCTION("""COMPUTED_VALUE"""),45803)</f>
        <v>45803</v>
      </c>
      <c r="G32" s="74">
        <f ca="1">IFERROR(__xludf.DUMMYFUNCTION("""COMPUTED_VALUE"""),125)</f>
        <v>125</v>
      </c>
      <c r="H32" s="74">
        <f ca="1">IFERROR(__xludf.DUMMYFUNCTION("""COMPUTED_VALUE"""),175)</f>
        <v>175</v>
      </c>
      <c r="I32" s="74">
        <f ca="1">IFERROR(__xludf.DUMMYFUNCTION("""COMPUTED_VALUE"""),200)</f>
        <v>200</v>
      </c>
    </row>
    <row r="33" spans="2:9" ht="27" customHeight="1">
      <c r="B33" s="73" t="str">
        <f ca="1">IFERROR(__xludf.DUMMYFUNCTION("""COMPUTED_VALUE"""),"BIO ZINK")</f>
        <v>BIO ZINK</v>
      </c>
      <c r="C33" s="73" t="str">
        <f ca="1">IFERROR(__xludf.DUMMYFUNCTION("""COMPUTED_VALUE"""),"PASTA TÒPICA")</f>
        <v>PASTA TÒPICA</v>
      </c>
      <c r="D33" s="73" t="str">
        <f ca="1">IFERROR(__xludf.DUMMYFUNCTION("""COMPUTED_VALUE"""),"OXIDO DE ZINK/MIEL DE ABEJA")</f>
        <v>OXIDO DE ZINK/MIEL DE ABEJA</v>
      </c>
      <c r="E33" s="73" t="str">
        <f ca="1">IFERROR(__xludf.DUMMYFUNCTION("""COMPUTED_VALUE"""),"BIOFILM/BONIN")</f>
        <v>BIOFILM/BONIN</v>
      </c>
      <c r="F33" s="75">
        <f ca="1">IFERROR(__xludf.DUMMYFUNCTION("""COMPUTED_VALUE"""),45686)</f>
        <v>45686</v>
      </c>
      <c r="G33" s="74">
        <f ca="1">IFERROR(__xludf.DUMMYFUNCTION("""COMPUTED_VALUE"""),56.74)</f>
        <v>56.74</v>
      </c>
      <c r="H33" s="74">
        <f ca="1">IFERROR(__xludf.DUMMYFUNCTION("""COMPUTED_VALUE"""),79.436)</f>
        <v>79.436000000000007</v>
      </c>
      <c r="I33" s="74">
        <f ca="1">IFERROR(__xludf.DUMMYFUNCTION("""COMPUTED_VALUE"""),80)</f>
        <v>80</v>
      </c>
    </row>
    <row r="34" spans="2:9" ht="27" customHeight="1">
      <c r="B34" s="73" t="str">
        <f ca="1">IFERROR(__xludf.DUMMYFUNCTION("""COMPUTED_VALUE"""),"BIOGAIA")</f>
        <v>BIOGAIA</v>
      </c>
      <c r="C34" s="73" t="str">
        <f ca="1">IFERROR(__xludf.DUMMYFUNCTION("""COMPUTED_VALUE"""),"GOTERO 5ML")</f>
        <v>GOTERO 5ML</v>
      </c>
      <c r="D34" s="73" t="str">
        <f ca="1">IFERROR(__xludf.DUMMYFUNCTION("""COMPUTED_VALUE"""),"PROBIOTICOS + VITAMINA D3")</f>
        <v>PROBIOTICOS + VITAMINA D3</v>
      </c>
      <c r="E34" s="73" t="str">
        <f ca="1">IFERROR(__xludf.DUMMYFUNCTION("""COMPUTED_VALUE"""),"AGEFINSA")</f>
        <v>AGEFINSA</v>
      </c>
      <c r="F34" s="75">
        <f ca="1">IFERROR(__xludf.DUMMYFUNCTION("""COMPUTED_VALUE"""),45714)</f>
        <v>45714</v>
      </c>
      <c r="G34" s="74">
        <f ca="1">IFERROR(__xludf.DUMMYFUNCTION("""COMPUTED_VALUE"""),189.2)</f>
        <v>189.2</v>
      </c>
      <c r="H34" s="74">
        <f ca="1">IFERROR(__xludf.DUMMYFUNCTION("""COMPUTED_VALUE"""),264.88)</f>
        <v>264.88</v>
      </c>
      <c r="I34" s="74">
        <f ca="1">IFERROR(__xludf.DUMMYFUNCTION("""COMPUTED_VALUE"""),265)</f>
        <v>265</v>
      </c>
    </row>
    <row r="35" spans="2:9" ht="27" customHeight="1">
      <c r="B35" s="73" t="str">
        <f ca="1">IFERROR(__xludf.DUMMYFUNCTION("""COMPUTED_VALUE"""),"BIXICORT")</f>
        <v>BIXICORT</v>
      </c>
      <c r="C35" s="73" t="str">
        <f ca="1">IFERROR(__xludf.DUMMYFUNCTION("""COMPUTED_VALUE"""),"AMPOLLA")</f>
        <v>AMPOLLA</v>
      </c>
      <c r="D35" s="73" t="str">
        <f ca="1">IFERROR(__xludf.DUMMYFUNCTION("""COMPUTED_VALUE"""),"BETAMETASONA 5MG")</f>
        <v>BETAMETASONA 5MG</v>
      </c>
      <c r="E35" s="73" t="str">
        <f ca="1">IFERROR(__xludf.DUMMYFUNCTION("""COMPUTED_VALUE"""),"MEDPHARMA")</f>
        <v>MEDPHARMA</v>
      </c>
      <c r="F35" s="75">
        <f ca="1">IFERROR(__xludf.DUMMYFUNCTION("""COMPUTED_VALUE"""),45895)</f>
        <v>45895</v>
      </c>
      <c r="G35" s="74">
        <f ca="1">IFERROR(__xludf.DUMMYFUNCTION("""COMPUTED_VALUE"""),89.63)</f>
        <v>89.63</v>
      </c>
      <c r="H35" s="74">
        <f ca="1">IFERROR(__xludf.DUMMYFUNCTION("""COMPUTED_VALUE"""),125.482)</f>
        <v>125.482</v>
      </c>
      <c r="I35" s="74">
        <f ca="1">IFERROR(__xludf.DUMMYFUNCTION("""COMPUTED_VALUE"""),130)</f>
        <v>130</v>
      </c>
    </row>
    <row r="36" spans="2:9" ht="27" customHeight="1">
      <c r="B36" s="73" t="str">
        <f ca="1">IFERROR(__xludf.DUMMYFUNCTION("""COMPUTED_VALUE"""),"BOLARIA 16MG.")</f>
        <v>BOLARIA 16MG.</v>
      </c>
      <c r="C36" s="73" t="str">
        <f ca="1">IFERROR(__xludf.DUMMYFUNCTION("""COMPUTED_VALUE"""),"CAJA 20 COMPRIMIDOS")</f>
        <v>CAJA 20 COMPRIMIDOS</v>
      </c>
      <c r="D36" s="73" t="str">
        <f ca="1">IFERROR(__xludf.DUMMYFUNCTION("""COMPUTED_VALUE"""),"BETAHISTINA DICLORHIDRATO")</f>
        <v>BETAHISTINA DICLORHIDRATO</v>
      </c>
      <c r="E36" s="73" t="str">
        <f ca="1">IFERROR(__xludf.DUMMYFUNCTION("""COMPUTED_VALUE"""),"MEGALABS")</f>
        <v>MEGALABS</v>
      </c>
      <c r="F36" s="75">
        <f ca="1">IFERROR(__xludf.DUMMYFUNCTION("""COMPUTED_VALUE"""),45864)</f>
        <v>45864</v>
      </c>
      <c r="G36" s="74">
        <f ca="1">IFERROR(__xludf.DUMMYFUNCTION("""COMPUTED_VALUE"""),110.28)</f>
        <v>110.28</v>
      </c>
      <c r="H36" s="74">
        <f ca="1">IFERROR(__xludf.DUMMYFUNCTION("""COMPUTED_VALUE"""),154.392)</f>
        <v>154.392</v>
      </c>
      <c r="I36" s="74">
        <f ca="1">IFERROR(__xludf.DUMMYFUNCTION("""COMPUTED_VALUE"""),155)</f>
        <v>155</v>
      </c>
    </row>
    <row r="37" spans="2:9" ht="27" customHeight="1">
      <c r="B37" s="73" t="str">
        <f ca="1">IFERROR(__xludf.DUMMYFUNCTION("""COMPUTED_VALUE"""),"BONADIONA /VITAMINA K")</f>
        <v>BONADIONA /VITAMINA K</v>
      </c>
      <c r="C37" s="73" t="str">
        <f ca="1">IFERROR(__xludf.DUMMYFUNCTION("""COMPUTED_VALUE"""),"AMPOLLA 1ML")</f>
        <v>AMPOLLA 1ML</v>
      </c>
      <c r="D37" s="73" t="str">
        <f ca="1">IFERROR(__xludf.DUMMYFUNCTION("""COMPUTED_VALUE"""),"VITAMINA K")</f>
        <v>VITAMINA K</v>
      </c>
      <c r="E37" s="73" t="str">
        <f ca="1">IFERROR(__xludf.DUMMYFUNCTION("""COMPUTED_VALUE"""),"BONIN/QUALITY")</f>
        <v>BONIN/QUALITY</v>
      </c>
      <c r="F37" s="75">
        <f ca="1">IFERROR(__xludf.DUMMYFUNCTION("""COMPUTED_VALUE"""),45773)</f>
        <v>45773</v>
      </c>
      <c r="G37" s="74">
        <f ca="1">IFERROR(__xludf.DUMMYFUNCTION("""COMPUTED_VALUE"""),6.85)</f>
        <v>6.85</v>
      </c>
      <c r="H37" s="74">
        <f ca="1">IFERROR(__xludf.DUMMYFUNCTION("""COMPUTED_VALUE"""),9.59)</f>
        <v>9.59</v>
      </c>
      <c r="I37" s="74">
        <f ca="1">IFERROR(__xludf.DUMMYFUNCTION("""COMPUTED_VALUE"""),15)</f>
        <v>15</v>
      </c>
    </row>
    <row r="38" spans="2:9" ht="27" customHeight="1">
      <c r="B38" s="73" t="str">
        <f ca="1">IFERROR(__xludf.DUMMYFUNCTION("""COMPUTED_VALUE"""),"BRONCODIL")</f>
        <v>BRONCODIL</v>
      </c>
      <c r="C38" s="73" t="str">
        <f ca="1">IFERROR(__xludf.DUMMYFUNCTION("""COMPUTED_VALUE"""),"SUSPENCIÒN")</f>
        <v>SUSPENCIÒN</v>
      </c>
      <c r="D38" s="73" t="str">
        <f ca="1">IFERROR(__xludf.DUMMYFUNCTION("""COMPUTED_VALUE"""),"CARBOXIMETILCISTEÌNA")</f>
        <v>CARBOXIMETILCISTEÌNA</v>
      </c>
      <c r="E38" s="73" t="str">
        <f ca="1">IFERROR(__xludf.DUMMYFUNCTION("""COMPUTED_VALUE"""),"INFASA")</f>
        <v>INFASA</v>
      </c>
      <c r="F38" s="75">
        <f ca="1">IFERROR(__xludf.DUMMYFUNCTION("""COMPUTED_VALUE"""),45926)</f>
        <v>45926</v>
      </c>
      <c r="G38" s="74">
        <f ca="1">IFERROR(__xludf.DUMMYFUNCTION("""COMPUTED_VALUE"""),40)</f>
        <v>40</v>
      </c>
      <c r="H38" s="74">
        <f ca="1">IFERROR(__xludf.DUMMYFUNCTION("""COMPUTED_VALUE"""),56)</f>
        <v>56</v>
      </c>
      <c r="I38" s="74">
        <f ca="1">IFERROR(__xludf.DUMMYFUNCTION("""COMPUTED_VALUE"""),60)</f>
        <v>60</v>
      </c>
    </row>
    <row r="39" spans="2:9" ht="27" customHeight="1">
      <c r="B39" s="73" t="str">
        <f ca="1">IFERROR(__xludf.DUMMYFUNCTION("""COMPUTED_VALUE"""),"BRONCOMAT")</f>
        <v>BRONCOMAT</v>
      </c>
      <c r="C39" s="73" t="str">
        <f ca="1">IFERROR(__xludf.DUMMYFUNCTION("""COMPUTED_VALUE"""),"FRASCO")</f>
        <v>FRASCO</v>
      </c>
      <c r="D39" s="73" t="str">
        <f ca="1">IFERROR(__xludf.DUMMYFUNCTION("""COMPUTED_VALUE"""),"SALBUTAMOL 0.5%")</f>
        <v>SALBUTAMOL 0.5%</v>
      </c>
      <c r="E39" s="73" t="str">
        <f ca="1">IFERROR(__xludf.DUMMYFUNCTION("""COMPUTED_VALUE"""),"UNIPHARM")</f>
        <v>UNIPHARM</v>
      </c>
      <c r="F39" s="75">
        <f ca="1">IFERROR(__xludf.DUMMYFUNCTION("""COMPUTED_VALUE"""),45956)</f>
        <v>45956</v>
      </c>
      <c r="G39" s="74">
        <f ca="1">IFERROR(__xludf.DUMMYFUNCTION("""COMPUTED_VALUE"""),45.08)</f>
        <v>45.08</v>
      </c>
      <c r="H39" s="74">
        <f ca="1">IFERROR(__xludf.DUMMYFUNCTION("""COMPUTED_VALUE"""),63.1119999999999)</f>
        <v>63.111999999999902</v>
      </c>
      <c r="I39" s="74">
        <f ca="1">IFERROR(__xludf.DUMMYFUNCTION("""COMPUTED_VALUE"""),75)</f>
        <v>75</v>
      </c>
    </row>
    <row r="40" spans="2:9" ht="27" customHeight="1">
      <c r="B40" s="73" t="str">
        <f ca="1">IFERROR(__xludf.DUMMYFUNCTION("""COMPUTED_VALUE"""),"BROXOLVAN COMPUESTO")</f>
        <v>BROXOLVAN COMPUESTO</v>
      </c>
      <c r="C40" s="73" t="str">
        <f ca="1">IFERROR(__xludf.DUMMYFUNCTION("""COMPUTED_VALUE"""),"SUSPENCIÒN")</f>
        <v>SUSPENCIÒN</v>
      </c>
      <c r="D40" s="73" t="str">
        <f ca="1">IFERROR(__xludf.DUMMYFUNCTION("""COMPUTED_VALUE"""),"AMBROXOL/CLENBUTEROL")</f>
        <v>AMBROXOL/CLENBUTEROL</v>
      </c>
      <c r="E40" s="73" t="str">
        <f ca="1">IFERROR(__xludf.DUMMYFUNCTION("""COMPUTED_VALUE"""),"INFASA")</f>
        <v>INFASA</v>
      </c>
      <c r="F40" s="75">
        <f ca="1">IFERROR(__xludf.DUMMYFUNCTION("""COMPUTED_VALUE"""),45895)</f>
        <v>45895</v>
      </c>
      <c r="G40" s="74">
        <f ca="1">IFERROR(__xludf.DUMMYFUNCTION("""COMPUTED_VALUE"""),39.35)</f>
        <v>39.35</v>
      </c>
      <c r="H40" s="74">
        <f ca="1">IFERROR(__xludf.DUMMYFUNCTION("""COMPUTED_VALUE"""),55.09)</f>
        <v>55.09</v>
      </c>
      <c r="I40" s="74">
        <f ca="1">IFERROR(__xludf.DUMMYFUNCTION("""COMPUTED_VALUE"""),60)</f>
        <v>60</v>
      </c>
    </row>
    <row r="41" spans="2:9" ht="27" customHeight="1">
      <c r="B41" s="73" t="str">
        <f ca="1">IFERROR(__xludf.DUMMYFUNCTION("""COMPUTED_VALUE"""),"BUDEGEN")</f>
        <v>BUDEGEN</v>
      </c>
      <c r="C41" s="73" t="str">
        <f ca="1">IFERROR(__xludf.DUMMYFUNCTION("""COMPUTED_VALUE"""),"FRASCO 20 ML")</f>
        <v>FRASCO 20 ML</v>
      </c>
      <c r="D41" s="73" t="str">
        <f ca="1">IFERROR(__xludf.DUMMYFUNCTION("""COMPUTED_VALUE"""),"BUDESONIDA PARA NEBULIZAR")</f>
        <v>BUDESONIDA PARA NEBULIZAR</v>
      </c>
      <c r="E41" s="73" t="str">
        <f ca="1">IFERROR(__xludf.DUMMYFUNCTION("""COMPUTED_VALUE"""),"QUALITY")</f>
        <v>QUALITY</v>
      </c>
      <c r="F41" s="75">
        <f ca="1">IFERROR(__xludf.DUMMYFUNCTION("""COMPUTED_VALUE"""),45864)</f>
        <v>45864</v>
      </c>
      <c r="G41" s="74">
        <f ca="1">IFERROR(__xludf.DUMMYFUNCTION("""COMPUTED_VALUE"""),240)</f>
        <v>240</v>
      </c>
      <c r="H41" s="74">
        <f ca="1">IFERROR(__xludf.DUMMYFUNCTION("""COMPUTED_VALUE"""),336)</f>
        <v>336</v>
      </c>
      <c r="I41" s="74">
        <f ca="1">IFERROR(__xludf.DUMMYFUNCTION("""COMPUTED_VALUE"""),336)</f>
        <v>336</v>
      </c>
    </row>
    <row r="42" spans="2:9" ht="27" customHeight="1">
      <c r="B42" s="73" t="str">
        <f ca="1">IFERROR(__xludf.DUMMYFUNCTION("""COMPUTED_VALUE"""),"BUDEGEN")</f>
        <v>BUDEGEN</v>
      </c>
      <c r="C42" s="73" t="str">
        <f ca="1">IFERROR(__xludf.DUMMYFUNCTION("""COMPUTED_VALUE"""),"FRASCO 10ML")</f>
        <v>FRASCO 10ML</v>
      </c>
      <c r="D42" s="73" t="str">
        <f ca="1">IFERROR(__xludf.DUMMYFUNCTION("""COMPUTED_VALUE"""),"BUDESONIDA PARA NEBULIZAR")</f>
        <v>BUDESONIDA PARA NEBULIZAR</v>
      </c>
      <c r="E42" s="73" t="str">
        <f ca="1">IFERROR(__xludf.DUMMYFUNCTION("""COMPUTED_VALUE"""),"QUALITY")</f>
        <v>QUALITY</v>
      </c>
      <c r="F42" s="75">
        <f ca="1">IFERROR(__xludf.DUMMYFUNCTION("""COMPUTED_VALUE"""),45715)</f>
        <v>45715</v>
      </c>
      <c r="G42" s="74">
        <f ca="1">IFERROR(__xludf.DUMMYFUNCTION("""COMPUTED_VALUE"""),154.28)</f>
        <v>154.28</v>
      </c>
      <c r="H42" s="74">
        <f ca="1">IFERROR(__xludf.DUMMYFUNCTION("""COMPUTED_VALUE"""),215.992)</f>
        <v>215.99199999999999</v>
      </c>
      <c r="I42" s="74">
        <f ca="1">IFERROR(__xludf.DUMMYFUNCTION("""COMPUTED_VALUE"""),230)</f>
        <v>230</v>
      </c>
    </row>
    <row r="43" spans="2:9" ht="27" customHeight="1">
      <c r="B43" s="73" t="str">
        <f ca="1">IFERROR(__xludf.DUMMYFUNCTION("""COMPUTED_VALUE"""),"BUDEGEN-200")</f>
        <v>BUDEGEN-200</v>
      </c>
      <c r="C43" s="73" t="str">
        <f ca="1">IFERROR(__xludf.DUMMYFUNCTION("""COMPUTED_VALUE"""),"AEROSOL PARA INHALAR")</f>
        <v>AEROSOL PARA INHALAR</v>
      </c>
      <c r="D43" s="73" t="str">
        <f ca="1">IFERROR(__xludf.DUMMYFUNCTION("""COMPUTED_VALUE"""),"BUDESONIDA 200 MCG")</f>
        <v>BUDESONIDA 200 MCG</v>
      </c>
      <c r="E43" s="73" t="str">
        <f ca="1">IFERROR(__xludf.DUMMYFUNCTION("""COMPUTED_VALUE"""),"GENERIX")</f>
        <v>GENERIX</v>
      </c>
      <c r="F43" s="75">
        <f ca="1">IFERROR(__xludf.DUMMYFUNCTION("""COMPUTED_VALUE"""),45957)</f>
        <v>45957</v>
      </c>
      <c r="G43" s="74">
        <f ca="1">IFERROR(__xludf.DUMMYFUNCTION("""COMPUTED_VALUE"""),216)</f>
        <v>216</v>
      </c>
      <c r="H43" s="74">
        <f ca="1">IFERROR(__xludf.DUMMYFUNCTION("""COMPUTED_VALUE"""),302.4)</f>
        <v>302.39999999999998</v>
      </c>
      <c r="I43" s="74">
        <f ca="1">IFERROR(__xludf.DUMMYFUNCTION("""COMPUTED_VALUE"""),305)</f>
        <v>305</v>
      </c>
    </row>
    <row r="44" spans="2:9" ht="27" customHeight="1">
      <c r="B44" s="73" t="str">
        <f ca="1">IFERROR(__xludf.DUMMYFUNCTION("""COMPUTED_VALUE"""),"CALCID")</f>
        <v>CALCID</v>
      </c>
      <c r="C44" s="73" t="str">
        <f ca="1">IFERROR(__xludf.DUMMYFUNCTION("""COMPUTED_VALUE"""),"CAJA 30 TABLETAS")</f>
        <v>CAJA 30 TABLETAS</v>
      </c>
      <c r="D44" s="73" t="str">
        <f ca="1">IFERROR(__xludf.DUMMYFUNCTION("""COMPUTED_VALUE"""),"CALCIO+ VITAMINA D3 200MG")</f>
        <v>CALCIO+ VITAMINA D3 200MG</v>
      </c>
      <c r="E44" s="73" t="str">
        <f ca="1">IFERROR(__xludf.DUMMYFUNCTION("""COMPUTED_VALUE"""),"QUALIPHARM")</f>
        <v>QUALIPHARM</v>
      </c>
      <c r="F44" s="75">
        <f ca="1">IFERROR(__xludf.DUMMYFUNCTION("""COMPUTED_VALUE"""),45895)</f>
        <v>45895</v>
      </c>
      <c r="G44" s="74">
        <f ca="1">IFERROR(__xludf.DUMMYFUNCTION("""COMPUTED_VALUE"""),50)</f>
        <v>50</v>
      </c>
      <c r="H44" s="74">
        <f ca="1">IFERROR(__xludf.DUMMYFUNCTION("""COMPUTED_VALUE"""),70)</f>
        <v>70</v>
      </c>
      <c r="I44" s="74">
        <f ca="1">IFERROR(__xludf.DUMMYFUNCTION("""COMPUTED_VALUE"""),70)</f>
        <v>70</v>
      </c>
    </row>
    <row r="45" spans="2:9" ht="27" customHeight="1">
      <c r="B45" s="73" t="str">
        <f ca="1">IFERROR(__xludf.DUMMYFUNCTION("""COMPUTED_VALUE"""),"CARDIOZAR 50")</f>
        <v>CARDIOZAR 50</v>
      </c>
      <c r="C45" s="73" t="str">
        <f ca="1">IFERROR(__xludf.DUMMYFUNCTION("""COMPUTED_VALUE"""),"CAJA 30 TABLETAS")</f>
        <v>CAJA 30 TABLETAS</v>
      </c>
      <c r="D45" s="73" t="str">
        <f ca="1">IFERROR(__xludf.DUMMYFUNCTION("""COMPUTED_VALUE"""),"LOSARTÀN")</f>
        <v>LOSARTÀN</v>
      </c>
      <c r="E45" s="73" t="str">
        <f ca="1">IFERROR(__xludf.DUMMYFUNCTION("""COMPUTED_VALUE"""),"PHARMEDIC")</f>
        <v>PHARMEDIC</v>
      </c>
      <c r="F45" s="75">
        <f ca="1">IFERROR(__xludf.DUMMYFUNCTION("""COMPUTED_VALUE"""),45683)</f>
        <v>45683</v>
      </c>
      <c r="G45" s="74">
        <f ca="1">IFERROR(__xludf.DUMMYFUNCTION("""COMPUTED_VALUE"""),118.58)</f>
        <v>118.58</v>
      </c>
      <c r="H45" s="74">
        <f ca="1">IFERROR(__xludf.DUMMYFUNCTION("""COMPUTED_VALUE"""),166.012)</f>
        <v>166.012</v>
      </c>
      <c r="I45" s="74">
        <f ca="1">IFERROR(__xludf.DUMMYFUNCTION("""COMPUTED_VALUE"""),170)</f>
        <v>170</v>
      </c>
    </row>
    <row r="46" spans="2:9" ht="27" customHeight="1">
      <c r="B46" s="73" t="str">
        <f ca="1">IFERROR(__xludf.DUMMYFUNCTION("""COMPUTED_VALUE"""),"CATASIL 30MG.")</f>
        <v>CATASIL 30MG.</v>
      </c>
      <c r="C46" s="73" t="str">
        <f ca="1">IFERROR(__xludf.DUMMYFUNCTION("""COMPUTED_VALUE"""),"CAJA 10 TABLETAS")</f>
        <v>CAJA 10 TABLETAS</v>
      </c>
      <c r="D46" s="73" t="str">
        <f ca="1">IFERROR(__xludf.DUMMYFUNCTION("""COMPUTED_VALUE"""),"KETOROLACO TROMETAMINA")</f>
        <v>KETOROLACO TROMETAMINA</v>
      </c>
      <c r="E46" s="73" t="str">
        <f ca="1">IFERROR(__xludf.DUMMYFUNCTION("""COMPUTED_VALUE"""),"WINZZER")</f>
        <v>WINZZER</v>
      </c>
      <c r="F46" s="75">
        <f ca="1">IFERROR(__xludf.DUMMYFUNCTION("""COMPUTED_VALUE"""),45743)</f>
        <v>45743</v>
      </c>
      <c r="G46" s="74">
        <f ca="1">IFERROR(__xludf.DUMMYFUNCTION("""COMPUTED_VALUE"""),79)</f>
        <v>79</v>
      </c>
      <c r="H46" s="74">
        <f ca="1">IFERROR(__xludf.DUMMYFUNCTION("""COMPUTED_VALUE"""),110.6)</f>
        <v>110.6</v>
      </c>
      <c r="I46" s="74">
        <f ca="1">IFERROR(__xludf.DUMMYFUNCTION("""COMPUTED_VALUE"""),110)</f>
        <v>110</v>
      </c>
    </row>
    <row r="47" spans="2:9" ht="27" customHeight="1">
      <c r="B47" s="73" t="str">
        <f ca="1">IFERROR(__xludf.DUMMYFUNCTION("""COMPUTED_VALUE"""),"CEFAPRONT")</f>
        <v>CEFAPRONT</v>
      </c>
      <c r="C47" s="73" t="str">
        <f ca="1">IFERROR(__xludf.DUMMYFUNCTION("""COMPUTED_VALUE"""),"CAJA 10 CAPSULAS")</f>
        <v>CAJA 10 CAPSULAS</v>
      </c>
      <c r="D47" s="73" t="str">
        <f ca="1">IFERROR(__xludf.DUMMYFUNCTION("""COMPUTED_VALUE"""),"CEFIXIMA 400MG.")</f>
        <v>CEFIXIMA 400MG.</v>
      </c>
      <c r="E47" s="73" t="str">
        <f ca="1">IFERROR(__xludf.DUMMYFUNCTION("""COMPUTED_VALUE"""),"ARA STENDHAL")</f>
        <v>ARA STENDHAL</v>
      </c>
      <c r="F47" s="75">
        <f ca="1">IFERROR(__xludf.DUMMYFUNCTION("""COMPUTED_VALUE"""),45988)</f>
        <v>45988</v>
      </c>
      <c r="G47" s="74">
        <f ca="1">IFERROR(__xludf.DUMMYFUNCTION("""COMPUTED_VALUE"""),120)</f>
        <v>120</v>
      </c>
      <c r="H47" s="74">
        <f ca="1">IFERROR(__xludf.DUMMYFUNCTION("""COMPUTED_VALUE"""),168)</f>
        <v>168</v>
      </c>
      <c r="I47" s="74">
        <f ca="1">IFERROR(__xludf.DUMMYFUNCTION("""COMPUTED_VALUE"""),190)</f>
        <v>190</v>
      </c>
    </row>
    <row r="48" spans="2:9" ht="27" customHeight="1">
      <c r="B48" s="73" t="str">
        <f ca="1">IFERROR(__xludf.DUMMYFUNCTION("""COMPUTED_VALUE"""),"CEFEPIME 1G")</f>
        <v>CEFEPIME 1G</v>
      </c>
      <c r="C48" s="73" t="str">
        <f ca="1">IFERROR(__xludf.DUMMYFUNCTION("""COMPUTED_VALUE"""),"SOLUCIÒN INYECTABLE")</f>
        <v>SOLUCIÒN INYECTABLE</v>
      </c>
      <c r="D48" s="73" t="str">
        <f ca="1">IFERROR(__xludf.DUMMYFUNCTION("""COMPUTED_VALUE"""),"CEFEPIMA 1G")</f>
        <v>CEFEPIMA 1G</v>
      </c>
      <c r="E48" s="73" t="str">
        <f ca="1">IFERROR(__xludf.DUMMYFUNCTION("""COMPUTED_VALUE"""),"LABORATORIO DELTA")</f>
        <v>LABORATORIO DELTA</v>
      </c>
      <c r="F48" s="75">
        <f ca="1">IFERROR(__xludf.DUMMYFUNCTION("""COMPUTED_VALUE"""),45685)</f>
        <v>45685</v>
      </c>
      <c r="G48" s="74">
        <f ca="1">IFERROR(__xludf.DUMMYFUNCTION("""COMPUTED_VALUE"""),21.66)</f>
        <v>21.66</v>
      </c>
      <c r="H48" s="74">
        <f ca="1">IFERROR(__xludf.DUMMYFUNCTION("""COMPUTED_VALUE"""),30.3239999999999)</f>
        <v>30.323999999999899</v>
      </c>
      <c r="I48" s="74">
        <f ca="1">IFERROR(__xludf.DUMMYFUNCTION("""COMPUTED_VALUE"""),100)</f>
        <v>100</v>
      </c>
    </row>
    <row r="49" spans="2:9" ht="27" customHeight="1">
      <c r="B49" s="73" t="str">
        <f ca="1">IFERROR(__xludf.DUMMYFUNCTION("""COMPUTED_VALUE"""),"CEFTRIAXONA 1G")</f>
        <v>CEFTRIAXONA 1G</v>
      </c>
      <c r="C49" s="73" t="str">
        <f ca="1">IFERROR(__xludf.DUMMYFUNCTION("""COMPUTED_VALUE"""),"SOLUCIÒN INYECTABLE")</f>
        <v>SOLUCIÒN INYECTABLE</v>
      </c>
      <c r="D49" s="73" t="str">
        <f ca="1">IFERROR(__xludf.DUMMYFUNCTION("""COMPUTED_VALUE"""),"CEFTRIAXONA 1G")</f>
        <v>CEFTRIAXONA 1G</v>
      </c>
      <c r="E49" s="73" t="str">
        <f ca="1">IFERROR(__xludf.DUMMYFUNCTION("""COMPUTED_VALUE"""),"QUALIPHARM")</f>
        <v>QUALIPHARM</v>
      </c>
      <c r="F49" s="75">
        <f ca="1">IFERROR(__xludf.DUMMYFUNCTION("""COMPUTED_VALUE"""),45743)</f>
        <v>45743</v>
      </c>
      <c r="G49" s="74">
        <f ca="1">IFERROR(__xludf.DUMMYFUNCTION("""COMPUTED_VALUE"""),20)</f>
        <v>20</v>
      </c>
      <c r="H49" s="74">
        <f ca="1">IFERROR(__xludf.DUMMYFUNCTION("""COMPUTED_VALUE"""),28)</f>
        <v>28</v>
      </c>
      <c r="I49" s="74">
        <f ca="1">IFERROR(__xludf.DUMMYFUNCTION("""COMPUTED_VALUE"""),50)</f>
        <v>50</v>
      </c>
    </row>
    <row r="50" spans="2:9" ht="27" customHeight="1">
      <c r="B50" s="73" t="str">
        <f ca="1">IFERROR(__xludf.DUMMYFUNCTION("""COMPUTED_VALUE"""),"CEFTRIAXONA 1G")</f>
        <v>CEFTRIAXONA 1G</v>
      </c>
      <c r="C50" s="73" t="str">
        <f ca="1">IFERROR(__xludf.DUMMYFUNCTION("""COMPUTED_VALUE"""),"SOLUCIÒN INYECTABLE")</f>
        <v>SOLUCIÒN INYECTABLE</v>
      </c>
      <c r="D50" s="73" t="str">
        <f ca="1">IFERROR(__xludf.DUMMYFUNCTION("""COMPUTED_VALUE"""),"CEFTRIAXONA 1G")</f>
        <v>CEFTRIAXONA 1G</v>
      </c>
      <c r="E50" s="73" t="str">
        <f ca="1">IFERROR(__xludf.DUMMYFUNCTION("""COMPUTED_VALUE"""),"ETIC'S S.A.")</f>
        <v>ETIC'S S.A.</v>
      </c>
      <c r="F50" s="75">
        <f ca="1">IFERROR(__xludf.DUMMYFUNCTION("""COMPUTED_VALUE"""),45743)</f>
        <v>45743</v>
      </c>
      <c r="G50" s="74">
        <f ca="1">IFERROR(__xludf.DUMMYFUNCTION("""COMPUTED_VALUE"""),16)</f>
        <v>16</v>
      </c>
      <c r="H50" s="74">
        <f ca="1">IFERROR(__xludf.DUMMYFUNCTION("""COMPUTED_VALUE"""),22.4)</f>
        <v>22.4</v>
      </c>
      <c r="I50" s="74">
        <f ca="1">IFERROR(__xludf.DUMMYFUNCTION("""COMPUTED_VALUE"""),50)</f>
        <v>50</v>
      </c>
    </row>
    <row r="51" spans="2:9" ht="27" customHeight="1">
      <c r="B51" s="73" t="str">
        <f ca="1">IFERROR(__xludf.DUMMYFUNCTION("""COMPUTED_VALUE"""),"CELICOB 200MG.")</f>
        <v>CELICOB 200MG.</v>
      </c>
      <c r="C51" s="73" t="str">
        <f ca="1">IFERROR(__xludf.DUMMYFUNCTION("""COMPUTED_VALUE"""),"CAJA 10 CAPSULAS")</f>
        <v>CAJA 10 CAPSULAS</v>
      </c>
      <c r="D51" s="73" t="str">
        <f ca="1">IFERROR(__xludf.DUMMYFUNCTION("""COMPUTED_VALUE"""),"CELECOXIB")</f>
        <v>CELECOXIB</v>
      </c>
      <c r="E51" s="73" t="str">
        <f ca="1">IFERROR(__xludf.DUMMYFUNCTION("""COMPUTED_VALUE"""),"HETERO")</f>
        <v>HETERO</v>
      </c>
      <c r="F51" s="75">
        <f ca="1">IFERROR(__xludf.DUMMYFUNCTION("""COMPUTED_VALUE"""),45955)</f>
        <v>45955</v>
      </c>
      <c r="G51" s="74">
        <f ca="1">IFERROR(__xludf.DUMMYFUNCTION("""COMPUTED_VALUE"""),52)</f>
        <v>52</v>
      </c>
      <c r="H51" s="74">
        <f ca="1">IFERROR(__xludf.DUMMYFUNCTION("""COMPUTED_VALUE"""),72.8)</f>
        <v>72.8</v>
      </c>
      <c r="I51" s="74">
        <f ca="1">IFERROR(__xludf.DUMMYFUNCTION("""COMPUTED_VALUE"""),75)</f>
        <v>75</v>
      </c>
    </row>
    <row r="52" spans="2:9" ht="27" customHeight="1">
      <c r="B52" s="73" t="str">
        <f ca="1">IFERROR(__xludf.DUMMYFUNCTION("""COMPUTED_VALUE"""),"CETRAXAL PLUS")</f>
        <v>CETRAXAL PLUS</v>
      </c>
      <c r="C52" s="73" t="str">
        <f ca="1">IFERROR(__xludf.DUMMYFUNCTION("""COMPUTED_VALUE"""),"FRASCO")</f>
        <v>FRASCO</v>
      </c>
      <c r="D52" s="73" t="str">
        <f ca="1">IFERROR(__xludf.DUMMYFUNCTION("""COMPUTED_VALUE"""),"CIPROFLOXACINO/ACETÒNIDO DE FLUOCINOLONA")</f>
        <v>CIPROFLOXACINO/ACETÒNIDO DE FLUOCINOLONA</v>
      </c>
      <c r="E52" s="73" t="str">
        <f ca="1">IFERROR(__xludf.DUMMYFUNCTION("""COMPUTED_VALUE"""),"MEGALABS")</f>
        <v>MEGALABS</v>
      </c>
      <c r="F52" s="75">
        <f ca="1">IFERROR(__xludf.DUMMYFUNCTION("""COMPUTED_VALUE"""),45773)</f>
        <v>45773</v>
      </c>
      <c r="G52" s="74">
        <f ca="1">IFERROR(__xludf.DUMMYFUNCTION("""COMPUTED_VALUE"""),90)</f>
        <v>90</v>
      </c>
      <c r="H52" s="74">
        <f ca="1">IFERROR(__xludf.DUMMYFUNCTION("""COMPUTED_VALUE"""),126)</f>
        <v>126</v>
      </c>
      <c r="I52" s="74">
        <f ca="1">IFERROR(__xludf.DUMMYFUNCTION("""COMPUTED_VALUE"""),130)</f>
        <v>130</v>
      </c>
    </row>
    <row r="53" spans="2:9" ht="27" customHeight="1">
      <c r="B53" s="73" t="str">
        <f ca="1">IFERROR(__xludf.DUMMYFUNCTION("""COMPUTED_VALUE"""),"CICASTIM.S")</f>
        <v>CICASTIM.S</v>
      </c>
      <c r="C53" s="73" t="str">
        <f ca="1">IFERROR(__xludf.DUMMYFUNCTION("""COMPUTED_VALUE"""),"GEL")</f>
        <v>GEL</v>
      </c>
      <c r="D53" s="73" t="str">
        <f ca="1">IFERROR(__xludf.DUMMYFUNCTION("""COMPUTED_VALUE"""),"DIMETICONE")</f>
        <v>DIMETICONE</v>
      </c>
      <c r="E53" s="73" t="str">
        <f ca="1">IFERROR(__xludf.DUMMYFUNCTION("""COMPUTED_VALUE"""),"ACM LAB.")</f>
        <v>ACM LAB.</v>
      </c>
      <c r="F53" s="75">
        <f ca="1">IFERROR(__xludf.DUMMYFUNCTION("""COMPUTED_VALUE"""),45836)</f>
        <v>45836</v>
      </c>
      <c r="G53" s="74">
        <f ca="1">IFERROR(__xludf.DUMMYFUNCTION("""COMPUTED_VALUE"""),148.89)</f>
        <v>148.88999999999999</v>
      </c>
      <c r="H53" s="74">
        <f ca="1">IFERROR(__xludf.DUMMYFUNCTION("""COMPUTED_VALUE"""),208.445999999999)</f>
        <v>208.445999999999</v>
      </c>
      <c r="I53" s="74">
        <f ca="1">IFERROR(__xludf.DUMMYFUNCTION("""COMPUTED_VALUE"""),210)</f>
        <v>210</v>
      </c>
    </row>
    <row r="54" spans="2:9" ht="27" customHeight="1">
      <c r="B54" s="73" t="str">
        <f ca="1">IFERROR(__xludf.DUMMYFUNCTION("""COMPUTED_VALUE"""),"CIPROFLOXACINA 500MG.")</f>
        <v>CIPROFLOXACINA 500MG.</v>
      </c>
      <c r="C54" s="73" t="str">
        <f ca="1">IFERROR(__xludf.DUMMYFUNCTION("""COMPUTED_VALUE"""),"BLISTER 10 TAB.")</f>
        <v>BLISTER 10 TAB.</v>
      </c>
      <c r="D54" s="73" t="str">
        <f ca="1">IFERROR(__xludf.DUMMYFUNCTION("""COMPUTED_VALUE"""),"CIPROFLOXACINA 500MG.")</f>
        <v>CIPROFLOXACINA 500MG.</v>
      </c>
      <c r="E54" s="73" t="str">
        <f ca="1">IFERROR(__xludf.DUMMYFUNCTION("""COMPUTED_VALUE"""),"UMEDICA/infasa")</f>
        <v>UMEDICA/infasa</v>
      </c>
      <c r="F54" s="75">
        <f ca="1">IFERROR(__xludf.DUMMYFUNCTION("""COMPUTED_VALUE"""),45804)</f>
        <v>45804</v>
      </c>
      <c r="G54" s="74">
        <f ca="1">IFERROR(__xludf.DUMMYFUNCTION("""COMPUTED_VALUE"""),14.19)</f>
        <v>14.19</v>
      </c>
      <c r="H54" s="74">
        <f ca="1">IFERROR(__xludf.DUMMYFUNCTION("""COMPUTED_VALUE"""),19.866)</f>
        <v>19.866</v>
      </c>
      <c r="I54" s="74">
        <f ca="1">IFERROR(__xludf.DUMMYFUNCTION("""COMPUTED_VALUE"""),20)</f>
        <v>20</v>
      </c>
    </row>
    <row r="55" spans="2:9" ht="27" customHeight="1">
      <c r="B55" s="73" t="str">
        <f ca="1">IFERROR(__xludf.DUMMYFUNCTION("""COMPUTED_VALUE"""),"CIRIAX OTIC")</f>
        <v>CIRIAX OTIC</v>
      </c>
      <c r="C55" s="73" t="str">
        <f ca="1">IFERROR(__xludf.DUMMYFUNCTION("""COMPUTED_VALUE"""),"GOTAS OFTALMOLOGICAS")</f>
        <v>GOTAS OFTALMOLOGICAS</v>
      </c>
      <c r="D55" s="73" t="str">
        <f ca="1">IFERROR(__xludf.DUMMYFUNCTION("""COMPUTED_VALUE"""),"CIPROFLOXACINA/HIDROCORTISONA")</f>
        <v>CIPROFLOXACINA/HIDROCORTISONA</v>
      </c>
      <c r="E55" s="73" t="str">
        <f ca="1">IFERROR(__xludf.DUMMYFUNCTION("""COMPUTED_VALUE"""),"MEGALABS")</f>
        <v>MEGALABS</v>
      </c>
      <c r="F55" s="75">
        <f ca="1">IFERROR(__xludf.DUMMYFUNCTION("""COMPUTED_VALUE"""),45683)</f>
        <v>45683</v>
      </c>
      <c r="G55" s="74">
        <f ca="1">IFERROR(__xludf.DUMMYFUNCTION("""COMPUTED_VALUE"""),47.81)</f>
        <v>47.81</v>
      </c>
      <c r="H55" s="74">
        <f ca="1">IFERROR(__xludf.DUMMYFUNCTION("""COMPUTED_VALUE"""),66.934)</f>
        <v>66.933999999999997</v>
      </c>
      <c r="I55" s="74">
        <f ca="1">IFERROR(__xludf.DUMMYFUNCTION("""COMPUTED_VALUE"""),70)</f>
        <v>70</v>
      </c>
    </row>
    <row r="56" spans="2:9" ht="27" customHeight="1">
      <c r="B56" s="73" t="str">
        <f ca="1">IFERROR(__xludf.DUMMYFUNCTION("""COMPUTED_VALUE"""),"CLAVUDEL BID")</f>
        <v>CLAVUDEL BID</v>
      </c>
      <c r="C56" s="73" t="str">
        <f ca="1">IFERROR(__xludf.DUMMYFUNCTION("""COMPUTED_VALUE"""),"SUSPENCIÒN")</f>
        <v>SUSPENCIÒN</v>
      </c>
      <c r="D56" s="73" t="str">
        <f ca="1">IFERROR(__xludf.DUMMYFUNCTION("""COMPUTED_VALUE"""),"AMOXICILINA/ACIDO CLAVULÀNICO")</f>
        <v>AMOXICILINA/ACIDO CLAVULÀNICO</v>
      </c>
      <c r="E56" s="73" t="str">
        <f ca="1">IFERROR(__xludf.DUMMYFUNCTION("""COMPUTED_VALUE"""),"PHARMADEL")</f>
        <v>PHARMADEL</v>
      </c>
      <c r="F56" s="75">
        <f ca="1">IFERROR(__xludf.DUMMYFUNCTION("""COMPUTED_VALUE"""),46017)</f>
        <v>46017</v>
      </c>
      <c r="G56" s="74">
        <f ca="1">IFERROR(__xludf.DUMMYFUNCTION("""COMPUTED_VALUE"""),72.75)</f>
        <v>72.75</v>
      </c>
      <c r="H56" s="74">
        <f ca="1">IFERROR(__xludf.DUMMYFUNCTION("""COMPUTED_VALUE"""),101.85)</f>
        <v>101.85</v>
      </c>
      <c r="I56" s="74">
        <f ca="1">IFERROR(__xludf.DUMMYFUNCTION("""COMPUTED_VALUE"""),110)</f>
        <v>110</v>
      </c>
    </row>
    <row r="57" spans="2:9" ht="27" customHeight="1">
      <c r="B57" s="73" t="str">
        <f ca="1">IFERROR(__xludf.DUMMYFUNCTION("""COMPUTED_VALUE"""),"CLAVUDEL BID")</f>
        <v>CLAVUDEL BID</v>
      </c>
      <c r="C57" s="73" t="str">
        <f ca="1">IFERROR(__xludf.DUMMYFUNCTION("""COMPUTED_VALUE"""),"CAJA 14 TABLETAS")</f>
        <v>CAJA 14 TABLETAS</v>
      </c>
      <c r="D57" s="73" t="str">
        <f ca="1">IFERROR(__xludf.DUMMYFUNCTION("""COMPUTED_VALUE"""),"AMOXICILINA/ACIDO CLAVULÀNICO")</f>
        <v>AMOXICILINA/ACIDO CLAVULÀNICO</v>
      </c>
      <c r="E57" s="73" t="str">
        <f ca="1">IFERROR(__xludf.DUMMYFUNCTION("""COMPUTED_VALUE"""),"PHARMADEL")</f>
        <v>PHARMADEL</v>
      </c>
      <c r="F57" s="75">
        <f ca="1">IFERROR(__xludf.DUMMYFUNCTION("""COMPUTED_VALUE"""),45926)</f>
        <v>45926</v>
      </c>
      <c r="G57" s="74">
        <f ca="1">IFERROR(__xludf.DUMMYFUNCTION("""COMPUTED_VALUE"""),99.5)</f>
        <v>99.5</v>
      </c>
      <c r="H57" s="74">
        <f ca="1">IFERROR(__xludf.DUMMYFUNCTION("""COMPUTED_VALUE"""),139.3)</f>
        <v>139.30000000000001</v>
      </c>
      <c r="I57" s="74">
        <f ca="1">IFERROR(__xludf.DUMMYFUNCTION("""COMPUTED_VALUE"""),160)</f>
        <v>160</v>
      </c>
    </row>
    <row r="58" spans="2:9" ht="27" customHeight="1">
      <c r="B58" s="73" t="str">
        <f ca="1">IFERROR(__xludf.DUMMYFUNCTION("""COMPUTED_VALUE"""),"CLINDAMICINA 4ML.")</f>
        <v>CLINDAMICINA 4ML.</v>
      </c>
      <c r="C58" s="73" t="str">
        <f ca="1">IFERROR(__xludf.DUMMYFUNCTION("""COMPUTED_VALUE"""),"SOLUCIÒN INYECTABLE")</f>
        <v>SOLUCIÒN INYECTABLE</v>
      </c>
      <c r="D58" s="73" t="str">
        <f ca="1">IFERROR(__xludf.DUMMYFUNCTION("""COMPUTED_VALUE"""),"CLINDAMICINA")</f>
        <v>CLINDAMICINA</v>
      </c>
      <c r="E58" s="73" t="str">
        <f ca="1">IFERROR(__xludf.DUMMYFUNCTION("""COMPUTED_VALUE"""),"CAPLIN POINT")</f>
        <v>CAPLIN POINT</v>
      </c>
      <c r="F58" s="75">
        <f ca="1">IFERROR(__xludf.DUMMYFUNCTION("""COMPUTED_VALUE"""),45683)</f>
        <v>45683</v>
      </c>
      <c r="G58" s="74">
        <f ca="1">IFERROR(__xludf.DUMMYFUNCTION("""COMPUTED_VALUE"""),11)</f>
        <v>11</v>
      </c>
      <c r="H58" s="74">
        <f ca="1">IFERROR(__xludf.DUMMYFUNCTION("""COMPUTED_VALUE"""),15.4)</f>
        <v>15.4</v>
      </c>
      <c r="I58" s="74">
        <f ca="1">IFERROR(__xludf.DUMMYFUNCTION("""COMPUTED_VALUE"""),60)</f>
        <v>60</v>
      </c>
    </row>
    <row r="59" spans="2:9" ht="27" customHeight="1">
      <c r="B59" s="73" t="str">
        <f ca="1">IFERROR(__xludf.DUMMYFUNCTION("""COMPUTED_VALUE"""),"CLORFENIRAMINA 1ML.")</f>
        <v>CLORFENIRAMINA 1ML.</v>
      </c>
      <c r="C59" s="73" t="str">
        <f ca="1">IFERROR(__xludf.DUMMYFUNCTION("""COMPUTED_VALUE"""),"SOLUCIÒN INYECTABLE")</f>
        <v>SOLUCIÒN INYECTABLE</v>
      </c>
      <c r="D59" s="73" t="str">
        <f ca="1">IFERROR(__xludf.DUMMYFUNCTION("""COMPUTED_VALUE"""),"CLORFENIRAMINA 1ML.")</f>
        <v>CLORFENIRAMINA 1ML.</v>
      </c>
      <c r="E59" s="73" t="str">
        <f ca="1">IFERROR(__xludf.DUMMYFUNCTION("""COMPUTED_VALUE"""),"DISSA/SELECTPHARMA")</f>
        <v>DISSA/SELECTPHARMA</v>
      </c>
      <c r="F59" s="75">
        <f ca="1">IFERROR(__xludf.DUMMYFUNCTION("""COMPUTED_VALUE"""),45686)</f>
        <v>45686</v>
      </c>
      <c r="G59" s="74">
        <f ca="1">IFERROR(__xludf.DUMMYFUNCTION("""COMPUTED_VALUE"""),3.72)</f>
        <v>3.72</v>
      </c>
      <c r="H59" s="74">
        <f ca="1">IFERROR(__xludf.DUMMYFUNCTION("""COMPUTED_VALUE"""),5.208)</f>
        <v>5.2080000000000002</v>
      </c>
      <c r="I59" s="74">
        <f ca="1">IFERROR(__xludf.DUMMYFUNCTION("""COMPUTED_VALUE"""),30)</f>
        <v>30</v>
      </c>
    </row>
    <row r="60" spans="2:9" ht="27" customHeight="1">
      <c r="B60" s="73" t="str">
        <f ca="1">IFERROR(__xludf.DUMMYFUNCTION("""COMPUTED_VALUE"""),"CLORURO DE POTASIO KCL 5ML")</f>
        <v>CLORURO DE POTASIO KCL 5ML</v>
      </c>
      <c r="C60" s="73" t="str">
        <f ca="1">IFERROR(__xludf.DUMMYFUNCTION("""COMPUTED_VALUE"""),"SOLUCIÒN INYECTABLE")</f>
        <v>SOLUCIÒN INYECTABLE</v>
      </c>
      <c r="D60" s="73" t="str">
        <f ca="1">IFERROR(__xludf.DUMMYFUNCTION("""COMPUTED_VALUE"""),"CLORURO DE POTASIO KCL")</f>
        <v>CLORURO DE POTASIO KCL</v>
      </c>
      <c r="E60" s="73" t="str">
        <f ca="1">IFERROR(__xludf.DUMMYFUNCTION("""COMPUTED_VALUE"""),"BONIN")</f>
        <v>BONIN</v>
      </c>
      <c r="F60" s="75">
        <f ca="1">IFERROR(__xludf.DUMMYFUNCTION("""COMPUTED_VALUE"""),45745)</f>
        <v>45745</v>
      </c>
      <c r="G60" s="74">
        <f ca="1">IFERROR(__xludf.DUMMYFUNCTION("""COMPUTED_VALUE"""),5.11)</f>
        <v>5.1100000000000003</v>
      </c>
      <c r="H60" s="74">
        <f ca="1">IFERROR(__xludf.DUMMYFUNCTION("""COMPUTED_VALUE"""),7.154)</f>
        <v>7.1539999999999999</v>
      </c>
      <c r="I60" s="74">
        <f ca="1">IFERROR(__xludf.DUMMYFUNCTION("""COMPUTED_VALUE"""),30)</f>
        <v>30</v>
      </c>
    </row>
    <row r="61" spans="2:9" ht="27" customHeight="1">
      <c r="B61" s="73" t="str">
        <f ca="1">IFERROR(__xludf.DUMMYFUNCTION("""COMPUTED_VALUE"""),"CLORURO DE SODIO NACL 10ML")</f>
        <v>CLORURO DE SODIO NACL 10ML</v>
      </c>
      <c r="C61" s="73" t="str">
        <f ca="1">IFERROR(__xludf.DUMMYFUNCTION("""COMPUTED_VALUE"""),"SOLUCIÒN INYECTABLE")</f>
        <v>SOLUCIÒN INYECTABLE</v>
      </c>
      <c r="D61" s="73" t="str">
        <f ca="1">IFERROR(__xludf.DUMMYFUNCTION("""COMPUTED_VALUE"""),"CLORURO DE SOCIO NCL")</f>
        <v>CLORURO DE SOCIO NCL</v>
      </c>
      <c r="E61" s="73" t="str">
        <f ca="1">IFERROR(__xludf.DUMMYFUNCTION("""COMPUTED_VALUE"""),"VIJOSA")</f>
        <v>VIJOSA</v>
      </c>
      <c r="F61" s="75">
        <f ca="1">IFERROR(__xludf.DUMMYFUNCTION("""COMPUTED_VALUE"""),45959)</f>
        <v>45959</v>
      </c>
      <c r="G61" s="74">
        <f ca="1">IFERROR(__xludf.DUMMYFUNCTION("""COMPUTED_VALUE"""),20)</f>
        <v>20</v>
      </c>
      <c r="H61" s="74">
        <f ca="1">IFERROR(__xludf.DUMMYFUNCTION("""COMPUTED_VALUE"""),28)</f>
        <v>28</v>
      </c>
      <c r="I61" s="74">
        <f ca="1">IFERROR(__xludf.DUMMYFUNCTION("""COMPUTED_VALUE"""),35)</f>
        <v>35</v>
      </c>
    </row>
    <row r="62" spans="2:9" ht="27" customHeight="1">
      <c r="B62" s="73" t="str">
        <f ca="1">IFERROR(__xludf.DUMMYFUNCTION("""COMPUTED_VALUE"""),"COMPLEJO B 10ML")</f>
        <v>COMPLEJO B 10ML</v>
      </c>
      <c r="C62" s="73" t="str">
        <f ca="1">IFERROR(__xludf.DUMMYFUNCTION("""COMPUTED_VALUE"""),"SOLUCIÒN INYECTABLE")</f>
        <v>SOLUCIÒN INYECTABLE</v>
      </c>
      <c r="D62" s="73" t="str">
        <f ca="1">IFERROR(__xludf.DUMMYFUNCTION("""COMPUTED_VALUE"""),"COMPLEJO B")</f>
        <v>COMPLEJO B</v>
      </c>
      <c r="E62" s="73" t="str">
        <f ca="1">IFERROR(__xludf.DUMMYFUNCTION("""COMPUTED_VALUE"""),"VIJOSA")</f>
        <v>VIJOSA</v>
      </c>
      <c r="F62" s="75">
        <f ca="1">IFERROR(__xludf.DUMMYFUNCTION("""COMPUTED_VALUE"""),45927)</f>
        <v>45927</v>
      </c>
      <c r="G62" s="74">
        <f ca="1">IFERROR(__xludf.DUMMYFUNCTION("""COMPUTED_VALUE"""),9.99)</f>
        <v>9.99</v>
      </c>
      <c r="H62" s="74">
        <f ca="1">IFERROR(__xludf.DUMMYFUNCTION("""COMPUTED_VALUE"""),13.986)</f>
        <v>13.986000000000001</v>
      </c>
      <c r="I62" s="74">
        <f ca="1">IFERROR(__xludf.DUMMYFUNCTION("""COMPUTED_VALUE"""),30)</f>
        <v>30</v>
      </c>
    </row>
    <row r="63" spans="2:9" ht="27" customHeight="1">
      <c r="B63" s="73" t="str">
        <f ca="1">IFERROR(__xludf.DUMMYFUNCTION("""COMPUTED_VALUE"""),"CRONEX-FEM")</f>
        <v>CRONEX-FEM</v>
      </c>
      <c r="C63" s="73" t="str">
        <f ca="1">IFERROR(__xludf.DUMMYFUNCTION("""COMPUTED_VALUE"""),"CAJA 60 CAPSULAS")</f>
        <v>CAJA 60 CAPSULAS</v>
      </c>
      <c r="D63" s="73" t="str">
        <f ca="1">IFERROR(__xludf.DUMMYFUNCTION("""COMPUTED_VALUE"""),"ISOFLAVONAS/VITAMINA E")</f>
        <v>ISOFLAVONAS/VITAMINA E</v>
      </c>
      <c r="E63" s="73" t="str">
        <f ca="1">IFERROR(__xludf.DUMMYFUNCTION("""COMPUTED_VALUE"""),"WINZZER")</f>
        <v>WINZZER</v>
      </c>
      <c r="F63" s="75">
        <f ca="1">IFERROR(__xludf.DUMMYFUNCTION("""COMPUTED_VALUE"""),45743)</f>
        <v>45743</v>
      </c>
      <c r="G63" s="74">
        <f ca="1">IFERROR(__xludf.DUMMYFUNCTION("""COMPUTED_VALUE"""),144)</f>
        <v>144</v>
      </c>
      <c r="H63" s="74">
        <f ca="1">IFERROR(__xludf.DUMMYFUNCTION("""COMPUTED_VALUE"""),201.6)</f>
        <v>201.6</v>
      </c>
      <c r="I63" s="74">
        <f ca="1">IFERROR(__xludf.DUMMYFUNCTION("""COMPUTED_VALUE"""),205)</f>
        <v>205</v>
      </c>
    </row>
    <row r="64" spans="2:9" ht="27" customHeight="1">
      <c r="B64" s="73" t="str">
        <f ca="1">IFERROR(__xludf.DUMMYFUNCTION("""COMPUTED_VALUE"""),"CRONEX-GEL")</f>
        <v>CRONEX-GEL</v>
      </c>
      <c r="C64" s="73" t="str">
        <f ca="1">IFERROR(__xludf.DUMMYFUNCTION("""COMPUTED_VALUE"""),"TUBO 60 GRAMOS")</f>
        <v>TUBO 60 GRAMOS</v>
      </c>
      <c r="D64" s="73" t="str">
        <f ca="1">IFERROR(__xludf.DUMMYFUNCTION("""COMPUTED_VALUE"""),"HIDRATANTE ÍNTIMO")</f>
        <v>HIDRATANTE ÍNTIMO</v>
      </c>
      <c r="E64" s="73" t="str">
        <f ca="1">IFERROR(__xludf.DUMMYFUNCTION("""COMPUTED_VALUE"""),"WINZZER")</f>
        <v>WINZZER</v>
      </c>
      <c r="F64" s="75">
        <f ca="1">IFERROR(__xludf.DUMMYFUNCTION("""COMPUTED_VALUE"""),45987)</f>
        <v>45987</v>
      </c>
      <c r="G64" s="74">
        <f ca="1">IFERROR(__xludf.DUMMYFUNCTION("""COMPUTED_VALUE"""),64.29)</f>
        <v>64.290000000000006</v>
      </c>
      <c r="H64" s="74">
        <f ca="1">IFERROR(__xludf.DUMMYFUNCTION("""COMPUTED_VALUE"""),90.006)</f>
        <v>90.006</v>
      </c>
      <c r="I64" s="74">
        <f ca="1">IFERROR(__xludf.DUMMYFUNCTION("""COMPUTED_VALUE"""),90)</f>
        <v>90</v>
      </c>
    </row>
    <row r="65" spans="2:9" ht="27" customHeight="1">
      <c r="B65" s="73" t="str">
        <f ca="1">IFERROR(__xludf.DUMMYFUNCTION("""COMPUTED_VALUE"""),"CROSBA")</f>
        <v>CROSBA</v>
      </c>
      <c r="C65" s="73" t="str">
        <f ca="1">IFERROR(__xludf.DUMMYFUNCTION("""COMPUTED_VALUE"""),"CAJA 6 SOBRES")</f>
        <v>CAJA 6 SOBRES</v>
      </c>
      <c r="D65" s="73" t="str">
        <f ca="1">IFERROR(__xludf.DUMMYFUNCTION("""COMPUTED_VALUE"""),"CROSPOVIDONA")</f>
        <v>CROSPOVIDONA</v>
      </c>
      <c r="E65" s="73" t="str">
        <f ca="1">IFERROR(__xludf.DUMMYFUNCTION("""COMPUTED_VALUE"""),"BAGÓ")</f>
        <v>BAGÓ</v>
      </c>
      <c r="F65" s="75">
        <f ca="1">IFERROR(__xludf.DUMMYFUNCTION("""COMPUTED_VALUE"""),46017)</f>
        <v>46017</v>
      </c>
      <c r="G65" s="74">
        <f ca="1">IFERROR(__xludf.DUMMYFUNCTION("""COMPUTED_VALUE"""),67.16)</f>
        <v>67.16</v>
      </c>
      <c r="H65" s="74">
        <f ca="1">IFERROR(__xludf.DUMMYFUNCTION("""COMPUTED_VALUE"""),94.024)</f>
        <v>94.024000000000001</v>
      </c>
      <c r="I65" s="74">
        <f ca="1">IFERROR(__xludf.DUMMYFUNCTION("""COMPUTED_VALUE"""),95)</f>
        <v>95</v>
      </c>
    </row>
    <row r="66" spans="2:9" ht="27" customHeight="1">
      <c r="B66" s="73" t="str">
        <f ca="1">IFERROR(__xludf.DUMMYFUNCTION("""COMPUTED_VALUE"""),"CYFLONDEX")</f>
        <v>CYFLONDEX</v>
      </c>
      <c r="C66" s="73" t="str">
        <f ca="1">IFERROR(__xludf.DUMMYFUNCTION("""COMPUTED_VALUE"""),"GOTAS")</f>
        <v>GOTAS</v>
      </c>
      <c r="D66" s="73" t="str">
        <f ca="1">IFERROR(__xludf.DUMMYFUNCTION("""COMPUTED_VALUE"""),"CIFLODEX")</f>
        <v>CIFLODEX</v>
      </c>
      <c r="E66" s="73" t="str">
        <f ca="1">IFERROR(__xludf.DUMMYFUNCTION("""COMPUTED_VALUE"""),"OFTISOL")</f>
        <v>OFTISOL</v>
      </c>
      <c r="F66" s="75">
        <f ca="1">IFERROR(__xludf.DUMMYFUNCTION("""COMPUTED_VALUE"""),45896)</f>
        <v>45896</v>
      </c>
      <c r="G66" s="74">
        <f ca="1">IFERROR(__xludf.DUMMYFUNCTION("""COMPUTED_VALUE"""),152.02)</f>
        <v>152.02000000000001</v>
      </c>
      <c r="H66" s="74">
        <f ca="1">IFERROR(__xludf.DUMMYFUNCTION("""COMPUTED_VALUE"""),212.828)</f>
        <v>212.828</v>
      </c>
      <c r="I66" s="74">
        <f ca="1">IFERROR(__xludf.DUMMYFUNCTION("""COMPUTED_VALUE"""),215)</f>
        <v>215</v>
      </c>
    </row>
    <row r="67" spans="2:9" ht="27" customHeight="1">
      <c r="B67" s="73" t="str">
        <f ca="1">IFERROR(__xludf.DUMMYFUNCTION("""COMPUTED_VALUE"""),"CYSTONE")</f>
        <v>CYSTONE</v>
      </c>
      <c r="C67" s="73" t="str">
        <f ca="1">IFERROR(__xludf.DUMMYFUNCTION("""COMPUTED_VALUE"""),"FRASCO 100 TABLETAS")</f>
        <v>FRASCO 100 TABLETAS</v>
      </c>
      <c r="D67" s="73" t="str">
        <f ca="1">IFERROR(__xludf.DUMMYFUNCTION("""COMPUTED_VALUE"""),"tartrazina")</f>
        <v>tartrazina</v>
      </c>
      <c r="E67" s="73" t="str">
        <f ca="1">IFERROR(__xludf.DUMMYFUNCTION("""COMPUTED_VALUE"""),"HIMALAYA")</f>
        <v>HIMALAYA</v>
      </c>
      <c r="F67" s="75">
        <f ca="1">IFERROR(__xludf.DUMMYFUNCTION("""COMPUTED_VALUE"""),45715)</f>
        <v>45715</v>
      </c>
      <c r="G67" s="74">
        <f ca="1">IFERROR(__xludf.DUMMYFUNCTION("""COMPUTED_VALUE"""),135)</f>
        <v>135</v>
      </c>
      <c r="H67" s="74">
        <f ca="1">IFERROR(__xludf.DUMMYFUNCTION("""COMPUTED_VALUE"""),189)</f>
        <v>189</v>
      </c>
      <c r="I67" s="74">
        <f ca="1">IFERROR(__xludf.DUMMYFUNCTION("""COMPUTED_VALUE"""),190)</f>
        <v>190</v>
      </c>
    </row>
    <row r="68" spans="2:9" ht="27" customHeight="1">
      <c r="B68" s="73" t="str">
        <f ca="1">IFERROR(__xludf.DUMMYFUNCTION("""COMPUTED_VALUE"""),"CYSTONE 200ML.")</f>
        <v>CYSTONE 200ML.</v>
      </c>
      <c r="C68" s="73" t="str">
        <f ca="1">IFERROR(__xludf.DUMMYFUNCTION("""COMPUTED_VALUE"""),"SUSPENCIÒN")</f>
        <v>SUSPENCIÒN</v>
      </c>
      <c r="D68" s="73" t="str">
        <f ca="1">IFERROR(__xludf.DUMMYFUNCTION("""COMPUTED_VALUE"""),"tartrazina")</f>
        <v>tartrazina</v>
      </c>
      <c r="E68" s="73" t="str">
        <f ca="1">IFERROR(__xludf.DUMMYFUNCTION("""COMPUTED_VALUE"""),"HIMALAYA")</f>
        <v>HIMALAYA</v>
      </c>
      <c r="F68" s="75">
        <f ca="1">IFERROR(__xludf.DUMMYFUNCTION("""COMPUTED_VALUE"""),45926)</f>
        <v>45926</v>
      </c>
      <c r="G68" s="74">
        <f ca="1">IFERROR(__xludf.DUMMYFUNCTION("""COMPUTED_VALUE"""),115.92)</f>
        <v>115.92</v>
      </c>
      <c r="H68" s="74">
        <f ca="1">IFERROR(__xludf.DUMMYFUNCTION("""COMPUTED_VALUE"""),162.288)</f>
        <v>162.28800000000001</v>
      </c>
      <c r="I68" s="74">
        <f ca="1">IFERROR(__xludf.DUMMYFUNCTION("""COMPUTED_VALUE"""),165)</f>
        <v>165</v>
      </c>
    </row>
    <row r="69" spans="2:9" ht="27" customHeight="1">
      <c r="B69" s="73" t="str">
        <f ca="1">IFERROR(__xludf.DUMMYFUNCTION("""COMPUTED_VALUE"""),"DANSYL")</f>
        <v>DANSYL</v>
      </c>
      <c r="C69" s="73" t="str">
        <f ca="1">IFERROR(__xludf.DUMMYFUNCTION("""COMPUTED_VALUE"""),"CAJA 20 TABLETAS")</f>
        <v>CAJA 20 TABLETAS</v>
      </c>
      <c r="D69" s="73" t="str">
        <f ca="1">IFERROR(__xludf.DUMMYFUNCTION("""COMPUTED_VALUE"""),"AMIDOSIDINA 250MG")</f>
        <v>AMIDOSIDINA 250MG</v>
      </c>
      <c r="E69" s="73" t="str">
        <f ca="1">IFERROR(__xludf.DUMMYFUNCTION("""COMPUTED_VALUE"""),"INFASA")</f>
        <v>INFASA</v>
      </c>
      <c r="F69" s="75">
        <f ca="1">IFERROR(__xludf.DUMMYFUNCTION("""COMPUTED_VALUE"""),45834)</f>
        <v>45834</v>
      </c>
      <c r="G69" s="74">
        <f ca="1">IFERROR(__xludf.DUMMYFUNCTION("""COMPUTED_VALUE"""),123.04)</f>
        <v>123.04</v>
      </c>
      <c r="H69" s="74">
        <f ca="1">IFERROR(__xludf.DUMMYFUNCTION("""COMPUTED_VALUE"""),172.256)</f>
        <v>172.256</v>
      </c>
      <c r="I69" s="74">
        <f ca="1">IFERROR(__xludf.DUMMYFUNCTION("""COMPUTED_VALUE"""),175)</f>
        <v>175</v>
      </c>
    </row>
    <row r="70" spans="2:9" ht="27" customHeight="1">
      <c r="B70" s="73" t="str">
        <f ca="1">IFERROR(__xludf.DUMMYFUNCTION("""COMPUTED_VALUE"""),"DANSYL")</f>
        <v>DANSYL</v>
      </c>
      <c r="C70" s="73" t="str">
        <f ca="1">IFERROR(__xludf.DUMMYFUNCTION("""COMPUTED_VALUE"""),"FRASCO 60 ML")</f>
        <v>FRASCO 60 ML</v>
      </c>
      <c r="D70" s="73" t="str">
        <f ca="1">IFERROR(__xludf.DUMMYFUNCTION("""COMPUTED_VALUE"""),"AMIDOSIDINA 125MG/5ML")</f>
        <v>AMIDOSIDINA 125MG/5ML</v>
      </c>
      <c r="E70" s="73" t="str">
        <f ca="1">IFERROR(__xludf.DUMMYFUNCTION("""COMPUTED_VALUE"""),"INFASA")</f>
        <v>INFASA</v>
      </c>
      <c r="F70" s="75">
        <f ca="1">IFERROR(__xludf.DUMMYFUNCTION("""COMPUTED_VALUE"""),45864)</f>
        <v>45864</v>
      </c>
      <c r="G70" s="74">
        <f ca="1">IFERROR(__xludf.DUMMYFUNCTION("""COMPUTED_VALUE"""),88.2)</f>
        <v>88.2</v>
      </c>
      <c r="H70" s="74">
        <f ca="1">IFERROR(__xludf.DUMMYFUNCTION("""COMPUTED_VALUE"""),123.48)</f>
        <v>123.48</v>
      </c>
      <c r="I70" s="74">
        <f ca="1">IFERROR(__xludf.DUMMYFUNCTION("""COMPUTED_VALUE"""),125)</f>
        <v>125</v>
      </c>
    </row>
    <row r="71" spans="2:9" ht="27" customHeight="1">
      <c r="B71" s="73" t="str">
        <f ca="1">IFERROR(__xludf.DUMMYFUNCTION("""COMPUTED_VALUE"""),"DEFLARIN 30 MG.")</f>
        <v>DEFLARIN 30 MG.</v>
      </c>
      <c r="C71" s="73" t="str">
        <f ca="1">IFERROR(__xludf.DUMMYFUNCTION("""COMPUTED_VALUE"""),"CAJA 10 TAB.")</f>
        <v>CAJA 10 TAB.</v>
      </c>
      <c r="D71" s="73" t="str">
        <f ca="1">IFERROR(__xludf.DUMMYFUNCTION("""COMPUTED_VALUE"""),"DEFLEZACORT 30MG")</f>
        <v>DEFLEZACORT 30MG</v>
      </c>
      <c r="E71" s="73" t="str">
        <f ca="1">IFERROR(__xludf.DUMMYFUNCTION("""COMPUTED_VALUE"""),"EXELTIS")</f>
        <v>EXELTIS</v>
      </c>
      <c r="F71" s="75">
        <f ca="1">IFERROR(__xludf.DUMMYFUNCTION("""COMPUTED_VALUE"""),45774)</f>
        <v>45774</v>
      </c>
      <c r="G71" s="74">
        <f ca="1">IFERROR(__xludf.DUMMYFUNCTION("""COMPUTED_VALUE"""),217.58)</f>
        <v>217.58</v>
      </c>
      <c r="H71" s="74">
        <f ca="1">IFERROR(__xludf.DUMMYFUNCTION("""COMPUTED_VALUE"""),304.612)</f>
        <v>304.61200000000002</v>
      </c>
      <c r="I71" s="74">
        <f ca="1">IFERROR(__xludf.DUMMYFUNCTION("""COMPUTED_VALUE"""),305)</f>
        <v>305</v>
      </c>
    </row>
    <row r="72" spans="2:9" ht="27" customHeight="1">
      <c r="B72" s="73" t="str">
        <f ca="1">IFERROR(__xludf.DUMMYFUNCTION("""COMPUTED_VALUE"""),"DEXAMETAZONA")</f>
        <v>DEXAMETAZONA</v>
      </c>
      <c r="C72" s="73" t="str">
        <f ca="1">IFERROR(__xludf.DUMMYFUNCTION("""COMPUTED_VALUE"""),"SOLUCIÒN INYECTABLE 8MG/2ML")</f>
        <v>SOLUCIÒN INYECTABLE 8MG/2ML</v>
      </c>
      <c r="D72" s="73" t="str">
        <f ca="1">IFERROR(__xludf.DUMMYFUNCTION("""COMPUTED_VALUE"""),"DEXAMETAZONA")</f>
        <v>DEXAMETAZONA</v>
      </c>
      <c r="E72" s="73" t="str">
        <f ca="1">IFERROR(__xludf.DUMMYFUNCTION("""COMPUTED_VALUE"""),"VITALIS/DISSA")</f>
        <v>VITALIS/DISSA</v>
      </c>
      <c r="F72" s="75">
        <f ca="1">IFERROR(__xludf.DUMMYFUNCTION("""COMPUTED_VALUE"""),45804)</f>
        <v>45804</v>
      </c>
      <c r="G72" s="74">
        <f ca="1">IFERROR(__xludf.DUMMYFUNCTION("""COMPUTED_VALUE"""),2.28)</f>
        <v>2.2799999999999998</v>
      </c>
      <c r="H72" s="74">
        <f ca="1">IFERROR(__xludf.DUMMYFUNCTION("""COMPUTED_VALUE"""),3.19199999999999)</f>
        <v>3.19199999999999</v>
      </c>
      <c r="I72" s="74">
        <f ca="1">IFERROR(__xludf.DUMMYFUNCTION("""COMPUTED_VALUE"""),30)</f>
        <v>30</v>
      </c>
    </row>
    <row r="73" spans="2:9" ht="27" customHeight="1">
      <c r="B73" s="73" t="str">
        <f ca="1">IFERROR(__xludf.DUMMYFUNCTION("""COMPUTED_VALUE"""),"DIABENOR")</f>
        <v>DIABENOR</v>
      </c>
      <c r="C73" s="73" t="str">
        <f ca="1">IFERROR(__xludf.DUMMYFUNCTION("""COMPUTED_VALUE"""),"CAJA 120 CAPSULAS")</f>
        <v>CAJA 120 CAPSULAS</v>
      </c>
      <c r="D73" s="73" t="str">
        <f ca="1">IFERROR(__xludf.DUMMYFUNCTION("""COMPUTED_VALUE"""),"DELFINIDINA,GLICINA DE COBRE, ACIDO ALFALINOLÈNICO, COLINA, ACIDO ALFALIPOICO")</f>
        <v>DELFINIDINA,GLICINA DE COBRE, ACIDO ALFALINOLÈNICO, COLINA, ACIDO ALFALIPOICO</v>
      </c>
      <c r="E73" s="73" t="str">
        <f ca="1">IFERROR(__xludf.DUMMYFUNCTION("""COMPUTED_VALUE"""),"PHARMALAT")</f>
        <v>PHARMALAT</v>
      </c>
      <c r="F73" s="75">
        <f ca="1">IFERROR(__xludf.DUMMYFUNCTION("""COMPUTED_VALUE"""),45715)</f>
        <v>45715</v>
      </c>
      <c r="G73" s="74">
        <f ca="1">IFERROR(__xludf.DUMMYFUNCTION("""COMPUTED_VALUE"""),250)</f>
        <v>250</v>
      </c>
      <c r="H73" s="74">
        <f ca="1">IFERROR(__xludf.DUMMYFUNCTION("""COMPUTED_VALUE"""),350)</f>
        <v>350</v>
      </c>
      <c r="I73" s="74">
        <f ca="1">IFERROR(__xludf.DUMMYFUNCTION("""COMPUTED_VALUE"""),350)</f>
        <v>350</v>
      </c>
    </row>
    <row r="74" spans="2:9" ht="27" customHeight="1">
      <c r="B74" s="73" t="str">
        <f ca="1">IFERROR(__xludf.DUMMYFUNCTION("""COMPUTED_VALUE"""),"DIAZEPAN")</f>
        <v>DIAZEPAN</v>
      </c>
      <c r="C74" s="73" t="str">
        <f ca="1">IFERROR(__xludf.DUMMYFUNCTION("""COMPUTED_VALUE"""),"SOLUCIÒN INYECTABLE 2ML")</f>
        <v>SOLUCIÒN INYECTABLE 2ML</v>
      </c>
      <c r="D74" s="73" t="str">
        <f ca="1">IFERROR(__xludf.DUMMYFUNCTION("""COMPUTED_VALUE"""),"DIAZEPAN")</f>
        <v>DIAZEPAN</v>
      </c>
      <c r="E74" s="73" t="str">
        <f ca="1">IFERROR(__xludf.DUMMYFUNCTION("""COMPUTED_VALUE"""),"BONIN")</f>
        <v>BONIN</v>
      </c>
      <c r="F74" s="75">
        <f ca="1">IFERROR(__xludf.DUMMYFUNCTION("""COMPUTED_VALUE"""),45927)</f>
        <v>45927</v>
      </c>
      <c r="G74" s="74">
        <f ca="1">IFERROR(__xludf.DUMMYFUNCTION("""COMPUTED_VALUE"""),6)</f>
        <v>6</v>
      </c>
      <c r="H74" s="74">
        <f ca="1">IFERROR(__xludf.DUMMYFUNCTION("""COMPUTED_VALUE"""),8.4)</f>
        <v>8.4</v>
      </c>
      <c r="I74" s="74">
        <f ca="1">IFERROR(__xludf.DUMMYFUNCTION("""COMPUTED_VALUE"""),50)</f>
        <v>50</v>
      </c>
    </row>
    <row r="75" spans="2:9" ht="27" customHeight="1">
      <c r="B75" s="73" t="str">
        <f ca="1">IFERROR(__xludf.DUMMYFUNCTION("""COMPUTED_VALUE"""),"DICABIL")</f>
        <v>DICABIL</v>
      </c>
      <c r="C75" s="73" t="str">
        <f ca="1">IFERROR(__xludf.DUMMYFUNCTION("""COMPUTED_VALUE"""),"SUSPENSION 50ML")</f>
        <v>SUSPENSION 50ML</v>
      </c>
      <c r="D75" s="73" t="str">
        <f ca="1">IFERROR(__xludf.DUMMYFUNCTION("""COMPUTED_VALUE"""),"ACIDO URSODESOXICOLICO")</f>
        <v>ACIDO URSODESOXICOLICO</v>
      </c>
      <c r="E75" s="73" t="str">
        <f ca="1">IFERROR(__xludf.DUMMYFUNCTION("""COMPUTED_VALUE"""),"PHARMOZ")</f>
        <v>PHARMOZ</v>
      </c>
      <c r="F75" s="75">
        <f ca="1">IFERROR(__xludf.DUMMYFUNCTION("""COMPUTED_VALUE"""),45864)</f>
        <v>45864</v>
      </c>
      <c r="G75" s="74">
        <f ca="1">IFERROR(__xludf.DUMMYFUNCTION("""COMPUTED_VALUE"""),60.86)</f>
        <v>60.86</v>
      </c>
      <c r="H75" s="74">
        <f ca="1">IFERROR(__xludf.DUMMYFUNCTION("""COMPUTED_VALUE"""),85.204)</f>
        <v>85.203999999999994</v>
      </c>
      <c r="I75" s="74">
        <f ca="1">IFERROR(__xludf.DUMMYFUNCTION("""COMPUTED_VALUE"""),100)</f>
        <v>100</v>
      </c>
    </row>
    <row r="76" spans="2:9" ht="27" customHeight="1">
      <c r="B76" s="73" t="str">
        <f ca="1">IFERROR(__xludf.DUMMYFUNCTION("""COMPUTED_VALUE"""),"DICABIL 300MG")</f>
        <v>DICABIL 300MG</v>
      </c>
      <c r="C76" s="73" t="str">
        <f ca="1">IFERROR(__xludf.DUMMYFUNCTION("""COMPUTED_VALUE"""),"CAJA 30 TABLETAS")</f>
        <v>CAJA 30 TABLETAS</v>
      </c>
      <c r="D76" s="73" t="str">
        <f ca="1">IFERROR(__xludf.DUMMYFUNCTION("""COMPUTED_VALUE"""),"ACIDO URSODESOXICOLICO")</f>
        <v>ACIDO URSODESOXICOLICO</v>
      </c>
      <c r="E76" s="73" t="str">
        <f ca="1">IFERROR(__xludf.DUMMYFUNCTION("""COMPUTED_VALUE"""),"PHARMOZ")</f>
        <v>PHARMOZ</v>
      </c>
      <c r="F76" s="75">
        <f ca="1">IFERROR(__xludf.DUMMYFUNCTION("""COMPUTED_VALUE"""),45773)</f>
        <v>45773</v>
      </c>
      <c r="G76" s="74">
        <f ca="1">IFERROR(__xludf.DUMMYFUNCTION("""COMPUTED_VALUE"""),118.6)</f>
        <v>118.6</v>
      </c>
      <c r="H76" s="74">
        <f ca="1">IFERROR(__xludf.DUMMYFUNCTION("""COMPUTED_VALUE"""),166.04)</f>
        <v>166.04</v>
      </c>
      <c r="I76" s="74">
        <f ca="1">IFERROR(__xludf.DUMMYFUNCTION("""COMPUTED_VALUE"""),180)</f>
        <v>180</v>
      </c>
    </row>
    <row r="77" spans="2:9" ht="27" customHeight="1">
      <c r="B77" s="73" t="str">
        <f ca="1">IFERROR(__xludf.DUMMYFUNCTION("""COMPUTED_VALUE"""),"DICLOFENACO")</f>
        <v>DICLOFENACO</v>
      </c>
      <c r="C77" s="73" t="str">
        <f ca="1">IFERROR(__xludf.DUMMYFUNCTION("""COMPUTED_VALUE"""),"SOLUCIÒN INYECTABLE 3ML")</f>
        <v>SOLUCIÒN INYECTABLE 3ML</v>
      </c>
      <c r="D77" s="73" t="str">
        <f ca="1">IFERROR(__xludf.DUMMYFUNCTION("""COMPUTED_VALUE"""),"DICLOFENACO")</f>
        <v>DICLOFENACO</v>
      </c>
      <c r="E77" s="73" t="str">
        <f ca="1">IFERROR(__xludf.DUMMYFUNCTION("""COMPUTED_VALUE"""),"PROMEGAL")</f>
        <v>PROMEGAL</v>
      </c>
      <c r="F77" s="75">
        <f ca="1">IFERROR(__xludf.DUMMYFUNCTION("""COMPUTED_VALUE"""),45864)</f>
        <v>45864</v>
      </c>
      <c r="G77" s="74">
        <f ca="1">IFERROR(__xludf.DUMMYFUNCTION("""COMPUTED_VALUE"""),1.6)</f>
        <v>1.6</v>
      </c>
      <c r="H77" s="74">
        <f ca="1">IFERROR(__xludf.DUMMYFUNCTION("""COMPUTED_VALUE"""),2.24)</f>
        <v>2.2400000000000002</v>
      </c>
      <c r="I77" s="74">
        <f ca="1">IFERROR(__xludf.DUMMYFUNCTION("""COMPUTED_VALUE"""),20)</f>
        <v>20</v>
      </c>
    </row>
    <row r="78" spans="2:9" ht="27" customHeight="1">
      <c r="B78" s="73" t="str">
        <f ca="1">IFERROR(__xludf.DUMMYFUNCTION("""COMPUTED_VALUE"""),"DICYNONE")</f>
        <v>DICYNONE</v>
      </c>
      <c r="C78" s="73" t="str">
        <f ca="1">IFERROR(__xludf.DUMMYFUNCTION("""COMPUTED_VALUE"""),"SOLUCIÒN INYECTABLE 2ML")</f>
        <v>SOLUCIÒN INYECTABLE 2ML</v>
      </c>
      <c r="D78" s="73" t="str">
        <f ca="1">IFERROR(__xludf.DUMMYFUNCTION("""COMPUTED_VALUE"""),"DICYNONE")</f>
        <v>DICYNONE</v>
      </c>
      <c r="E78" s="73" t="str">
        <f ca="1">IFERROR(__xludf.DUMMYFUNCTION("""COMPUTED_VALUE"""),"OM PHARMA")</f>
        <v>OM PHARMA</v>
      </c>
      <c r="F78" s="75">
        <f ca="1">IFERROR(__xludf.DUMMYFUNCTION("""COMPUTED_VALUE"""),46018)</f>
        <v>46018</v>
      </c>
      <c r="G78" s="74">
        <f ca="1">IFERROR(__xludf.DUMMYFUNCTION("""COMPUTED_VALUE"""),18.7)</f>
        <v>18.7</v>
      </c>
      <c r="H78" s="74">
        <f ca="1">IFERROR(__xludf.DUMMYFUNCTION("""COMPUTED_VALUE"""),26.18)</f>
        <v>26.18</v>
      </c>
      <c r="I78" s="74">
        <f ca="1">IFERROR(__xludf.DUMMYFUNCTION("""COMPUTED_VALUE"""),30)</f>
        <v>30</v>
      </c>
    </row>
    <row r="79" spans="2:9" ht="27" customHeight="1">
      <c r="B79" s="73" t="str">
        <f ca="1">IFERROR(__xludf.DUMMYFUNCTION("""COMPUTED_VALUE"""),"DICYNONE 500")</f>
        <v>DICYNONE 500</v>
      </c>
      <c r="C79" s="73" t="str">
        <f ca="1">IFERROR(__xludf.DUMMYFUNCTION("""COMPUTED_VALUE"""),"CAJA 20 CAPSULAS")</f>
        <v>CAJA 20 CAPSULAS</v>
      </c>
      <c r="D79" s="73" t="str">
        <f ca="1">IFERROR(__xludf.DUMMYFUNCTION("""COMPUTED_VALUE"""),"ETAMSILATO 500MG")</f>
        <v>ETAMSILATO 500MG</v>
      </c>
      <c r="E79" s="73" t="str">
        <f ca="1">IFERROR(__xludf.DUMMYFUNCTION("""COMPUTED_VALUE"""),"OM")</f>
        <v>OM</v>
      </c>
      <c r="F79" s="75">
        <f ca="1">IFERROR(__xludf.DUMMYFUNCTION("""COMPUTED_VALUE"""),45774)</f>
        <v>45774</v>
      </c>
      <c r="G79" s="74">
        <f ca="1">IFERROR(__xludf.DUMMYFUNCTION("""COMPUTED_VALUE"""),350.37)</f>
        <v>350.37</v>
      </c>
      <c r="H79" s="74">
        <f ca="1">IFERROR(__xludf.DUMMYFUNCTION("""COMPUTED_VALUE"""),490.518)</f>
        <v>490.51799999999997</v>
      </c>
      <c r="I79" s="74">
        <f ca="1">IFERROR(__xludf.DUMMYFUNCTION("""COMPUTED_VALUE"""),490)</f>
        <v>490</v>
      </c>
    </row>
    <row r="80" spans="2:9" ht="27" customHeight="1">
      <c r="B80" s="73" t="str">
        <f ca="1">IFERROR(__xludf.DUMMYFUNCTION("""COMPUTED_VALUE"""),"DIOSMIL")</f>
        <v>DIOSMIL</v>
      </c>
      <c r="C80" s="73" t="str">
        <f ca="1">IFERROR(__xludf.DUMMYFUNCTION("""COMPUTED_VALUE"""),"CAJA 30 COMPRIMIDOS")</f>
        <v>CAJA 30 COMPRIMIDOS</v>
      </c>
      <c r="D80" s="73" t="str">
        <f ca="1">IFERROR(__xludf.DUMMYFUNCTION("""COMPUTED_VALUE"""),"DIOSMINA MICRONIZADA/HESPERIDINA 500MG")</f>
        <v>DIOSMINA MICRONIZADA/HESPERIDINA 500MG</v>
      </c>
      <c r="E80" s="73" t="str">
        <f ca="1">IFERROR(__xludf.DUMMYFUNCTION("""COMPUTED_VALUE"""),"GLOBAL FARMA")</f>
        <v>GLOBAL FARMA</v>
      </c>
      <c r="F80" s="75">
        <f ca="1">IFERROR(__xludf.DUMMYFUNCTION("""COMPUTED_VALUE"""),45804)</f>
        <v>45804</v>
      </c>
      <c r="G80" s="74">
        <f ca="1">IFERROR(__xludf.DUMMYFUNCTION("""COMPUTED_VALUE"""),115.93)</f>
        <v>115.93</v>
      </c>
      <c r="H80" s="74">
        <f ca="1">IFERROR(__xludf.DUMMYFUNCTION("""COMPUTED_VALUE"""),162.302)</f>
        <v>162.30199999999999</v>
      </c>
      <c r="I80" s="74">
        <f ca="1">IFERROR(__xludf.DUMMYFUNCTION("""COMPUTED_VALUE"""),165)</f>
        <v>165</v>
      </c>
    </row>
    <row r="81" spans="2:9" ht="27" customHeight="1">
      <c r="B81" s="73" t="str">
        <f ca="1">IFERROR(__xludf.DUMMYFUNCTION("""COMPUTED_VALUE"""),"DIPIRONA")</f>
        <v>DIPIRONA</v>
      </c>
      <c r="C81" s="73" t="str">
        <f ca="1">IFERROR(__xludf.DUMMYFUNCTION("""COMPUTED_VALUE"""),"SOLUCIÒN INYECTABLE 2ML")</f>
        <v>SOLUCIÒN INYECTABLE 2ML</v>
      </c>
      <c r="D81" s="73" t="str">
        <f ca="1">IFERROR(__xludf.DUMMYFUNCTION("""COMPUTED_VALUE"""),"DIPIRONA")</f>
        <v>DIPIRONA</v>
      </c>
      <c r="E81" s="73" t="str">
        <f ca="1">IFERROR(__xludf.DUMMYFUNCTION("""COMPUTED_VALUE"""),"BONIN")</f>
        <v>BONIN</v>
      </c>
      <c r="F81" s="75">
        <f ca="1">IFERROR(__xludf.DUMMYFUNCTION("""COMPUTED_VALUE"""),45773)</f>
        <v>45773</v>
      </c>
      <c r="G81" s="74">
        <f ca="1">IFERROR(__xludf.DUMMYFUNCTION("""COMPUTED_VALUE"""),2.85)</f>
        <v>2.85</v>
      </c>
      <c r="H81" s="74">
        <f ca="1">IFERROR(__xludf.DUMMYFUNCTION("""COMPUTED_VALUE"""),3.99)</f>
        <v>3.99</v>
      </c>
      <c r="I81" s="74">
        <f ca="1">IFERROR(__xludf.DUMMYFUNCTION("""COMPUTED_VALUE"""),20)</f>
        <v>20</v>
      </c>
    </row>
    <row r="82" spans="2:9" ht="27" customHeight="1">
      <c r="B82" s="73" t="str">
        <f ca="1">IFERROR(__xludf.DUMMYFUNCTION("""COMPUTED_VALUE"""),"DISLEP")</f>
        <v>DISLEP</v>
      </c>
      <c r="C82" s="73" t="str">
        <f ca="1">IFERROR(__xludf.DUMMYFUNCTION("""COMPUTED_VALUE"""),"GOTAS ORALES")</f>
        <v>GOTAS ORALES</v>
      </c>
      <c r="D82" s="73" t="str">
        <f ca="1">IFERROR(__xludf.DUMMYFUNCTION("""COMPUTED_VALUE"""),"LEVOSULPIRIDE")</f>
        <v>LEVOSULPIRIDE</v>
      </c>
      <c r="E82" s="73" t="str">
        <f ca="1">IFERROR(__xludf.DUMMYFUNCTION("""COMPUTED_VALUE"""),"FERRER")</f>
        <v>FERRER</v>
      </c>
      <c r="F82" s="75">
        <f ca="1">IFERROR(__xludf.DUMMYFUNCTION("""COMPUTED_VALUE"""),45804)</f>
        <v>45804</v>
      </c>
      <c r="G82" s="74">
        <f ca="1">IFERROR(__xludf.DUMMYFUNCTION("""COMPUTED_VALUE"""),145.54)</f>
        <v>145.54</v>
      </c>
      <c r="H82" s="74">
        <f ca="1">IFERROR(__xludf.DUMMYFUNCTION("""COMPUTED_VALUE"""),203.756)</f>
        <v>203.756</v>
      </c>
      <c r="I82" s="74">
        <f ca="1">IFERROR(__xludf.DUMMYFUNCTION("""COMPUTED_VALUE"""),215)</f>
        <v>215</v>
      </c>
    </row>
    <row r="83" spans="2:9" ht="27" customHeight="1">
      <c r="B83" s="73" t="str">
        <f ca="1">IFERROR(__xludf.DUMMYFUNCTION("""COMPUTED_VALUE"""),"DISSUALON PLUS")</f>
        <v>DISSUALON PLUS</v>
      </c>
      <c r="C83" s="73" t="str">
        <f ca="1">IFERROR(__xludf.DUMMYFUNCTION("""COMPUTED_VALUE"""),"CAJA 30 COMPRIMIDOS")</f>
        <v>CAJA 30 COMPRIMIDOS</v>
      </c>
      <c r="D83" s="73" t="str">
        <f ca="1">IFERROR(__xludf.DUMMYFUNCTION("""COMPUTED_VALUE"""),"ATORVASTATINA 20MG/EZETIMIBE 10MG")</f>
        <v>ATORVASTATINA 20MG/EZETIMIBE 10MG</v>
      </c>
      <c r="E83" s="73" t="str">
        <f ca="1">IFERROR(__xludf.DUMMYFUNCTION("""COMPUTED_VALUE"""),"VIZCAINO")</f>
        <v>VIZCAINO</v>
      </c>
      <c r="F83" s="75">
        <f ca="1">IFERROR(__xludf.DUMMYFUNCTION("""COMPUTED_VALUE"""),45775)</f>
        <v>45775</v>
      </c>
      <c r="G83" s="74">
        <f ca="1">IFERROR(__xludf.DUMMYFUNCTION("""COMPUTED_VALUE"""),292.64)</f>
        <v>292.64</v>
      </c>
      <c r="H83" s="74">
        <f ca="1">IFERROR(__xludf.DUMMYFUNCTION("""COMPUTED_VALUE"""),409.695999999999)</f>
        <v>409.695999999999</v>
      </c>
      <c r="I83" s="74">
        <f ca="1">IFERROR(__xludf.DUMMYFUNCTION("""COMPUTED_VALUE"""),410)</f>
        <v>410</v>
      </c>
    </row>
    <row r="84" spans="2:9" ht="27" customHeight="1">
      <c r="B84" s="73" t="str">
        <f ca="1">IFERROR(__xludf.DUMMYFUNCTION("""COMPUTED_VALUE"""),"DIVAX-C 100ML IV")</f>
        <v>DIVAX-C 100ML IV</v>
      </c>
      <c r="C84" s="73" t="str">
        <f ca="1">IFERROR(__xludf.DUMMYFUNCTION("""COMPUTED_VALUE"""),"SOLUCIÒN INYECTABLE")</f>
        <v>SOLUCIÒN INYECTABLE</v>
      </c>
      <c r="D84" s="73" t="str">
        <f ca="1">IFERROR(__xludf.DUMMYFUNCTION("""COMPUTED_VALUE"""),"CIPROFLOXACINA 100ML")</f>
        <v>CIPROFLOXACINA 100ML</v>
      </c>
      <c r="E84" s="73" t="str">
        <f ca="1">IFERROR(__xludf.DUMMYFUNCTION("""COMPUTED_VALUE"""),"FARMEX")</f>
        <v>FARMEX</v>
      </c>
      <c r="F84" s="75">
        <f ca="1">IFERROR(__xludf.DUMMYFUNCTION("""COMPUTED_VALUE"""),45896)</f>
        <v>45896</v>
      </c>
      <c r="G84" s="74">
        <f ca="1">IFERROR(__xludf.DUMMYFUNCTION("""COMPUTED_VALUE"""),30)</f>
        <v>30</v>
      </c>
      <c r="H84" s="74">
        <f ca="1">IFERROR(__xludf.DUMMYFUNCTION("""COMPUTED_VALUE"""),42)</f>
        <v>42</v>
      </c>
      <c r="I84" s="74">
        <f ca="1">IFERROR(__xludf.DUMMYFUNCTION("""COMPUTED_VALUE"""),125)</f>
        <v>125</v>
      </c>
    </row>
    <row r="85" spans="2:9" ht="27" customHeight="1">
      <c r="B85" s="73" t="str">
        <f ca="1">IFERROR(__xludf.DUMMYFUNCTION("""COMPUTED_VALUE"""),"DIXAFER/ HIERRO SACAROSO")</f>
        <v>DIXAFER/ HIERRO SACAROSO</v>
      </c>
      <c r="C85" s="73" t="str">
        <f ca="1">IFERROR(__xludf.DUMMYFUNCTION("""COMPUTED_VALUE"""),"AMPOLLA 5ML")</f>
        <v>AMPOLLA 5ML</v>
      </c>
      <c r="D85" s="73" t="str">
        <f ca="1">IFERROR(__xludf.DUMMYFUNCTION("""COMPUTED_VALUE"""),"HIERRO SACARATO")</f>
        <v>HIERRO SACARATO</v>
      </c>
      <c r="E85" s="73" t="str">
        <f ca="1">IFERROR(__xludf.DUMMYFUNCTION("""COMPUTED_VALUE"""),"VITALIS")</f>
        <v>VITALIS</v>
      </c>
      <c r="F85" s="75">
        <f ca="1">IFERROR(__xludf.DUMMYFUNCTION("""COMPUTED_VALUE"""),45895)</f>
        <v>45895</v>
      </c>
      <c r="G85" s="74">
        <f ca="1">IFERROR(__xludf.DUMMYFUNCTION("""COMPUTED_VALUE"""),27.75)</f>
        <v>27.75</v>
      </c>
      <c r="H85" s="74">
        <f ca="1">IFERROR(__xludf.DUMMYFUNCTION("""COMPUTED_VALUE"""),38.85)</f>
        <v>38.85</v>
      </c>
      <c r="I85" s="74">
        <f ca="1">IFERROR(__xludf.DUMMYFUNCTION("""COMPUTED_VALUE"""),100)</f>
        <v>100</v>
      </c>
    </row>
    <row r="86" spans="2:9" ht="27" customHeight="1">
      <c r="B86" s="73" t="str">
        <f ca="1">IFERROR(__xludf.DUMMYFUNCTION("""COMPUTED_VALUE"""),"DKS")</f>
        <v>DKS</v>
      </c>
      <c r="C86" s="73" t="str">
        <f ca="1">IFERROR(__xludf.DUMMYFUNCTION("""COMPUTED_VALUE"""),"CAJA 15 GELCAPS")</f>
        <v>CAJA 15 GELCAPS</v>
      </c>
      <c r="D86" s="73" t="str">
        <f ca="1">IFERROR(__xludf.DUMMYFUNCTION("""COMPUTED_VALUE"""),"DEXKETOPROFENO 25MG.")</f>
        <v>DEXKETOPROFENO 25MG.</v>
      </c>
      <c r="E86" s="73" t="str">
        <f ca="1">IFERROR(__xludf.DUMMYFUNCTION("""COMPUTED_VALUE"""),"APS")</f>
        <v>APS</v>
      </c>
      <c r="F86" s="75">
        <f ca="1">IFERROR(__xludf.DUMMYFUNCTION("""COMPUTED_VALUE"""),45864)</f>
        <v>45864</v>
      </c>
      <c r="G86" s="74">
        <f ca="1">IFERROR(__xludf.DUMMYFUNCTION("""COMPUTED_VALUE"""),70)</f>
        <v>70</v>
      </c>
      <c r="H86" s="74">
        <f ca="1">IFERROR(__xludf.DUMMYFUNCTION("""COMPUTED_VALUE"""),98)</f>
        <v>98</v>
      </c>
      <c r="I86" s="74">
        <f ca="1">IFERROR(__xludf.DUMMYFUNCTION("""COMPUTED_VALUE"""),100)</f>
        <v>100</v>
      </c>
    </row>
    <row r="87" spans="2:9" ht="27" customHeight="1">
      <c r="B87" s="73" t="str">
        <f ca="1">IFERROR(__xludf.DUMMYFUNCTION("""COMPUTED_VALUE"""),"DOGAMIN")</f>
        <v>DOGAMIN</v>
      </c>
      <c r="C87" s="73" t="str">
        <f ca="1">IFERROR(__xludf.DUMMYFUNCTION("""COMPUTED_VALUE"""),"CAJA 30 COMPRIMIDOS")</f>
        <v>CAJA 30 COMPRIMIDOS</v>
      </c>
      <c r="D87" s="73" t="str">
        <f ca="1">IFERROR(__xludf.DUMMYFUNCTION("""COMPUTED_VALUE"""),"PREGABALINA 150MG")</f>
        <v>PREGABALINA 150MG</v>
      </c>
      <c r="E87" s="73" t="str">
        <f ca="1">IFERROR(__xludf.DUMMYFUNCTION("""COMPUTED_VALUE"""),"VIZCAINO")</f>
        <v>VIZCAINO</v>
      </c>
      <c r="F87" s="75">
        <f ca="1">IFERROR(__xludf.DUMMYFUNCTION("""COMPUTED_VALUE"""),45987)</f>
        <v>45987</v>
      </c>
      <c r="G87" s="74">
        <f ca="1">IFERROR(__xludf.DUMMYFUNCTION("""COMPUTED_VALUE"""),275.06)</f>
        <v>275.06</v>
      </c>
      <c r="H87" s="74">
        <f ca="1">IFERROR(__xludf.DUMMYFUNCTION("""COMPUTED_VALUE"""),385.084)</f>
        <v>385.084</v>
      </c>
      <c r="I87" s="74">
        <f ca="1">IFERROR(__xludf.DUMMYFUNCTION("""COMPUTED_VALUE"""),385)</f>
        <v>385</v>
      </c>
    </row>
    <row r="88" spans="2:9" ht="27" customHeight="1">
      <c r="B88" s="73" t="str">
        <f ca="1">IFERROR(__xludf.DUMMYFUNCTION("""COMPUTED_VALUE"""),"DOLO GLUCOFLEX")</f>
        <v>DOLO GLUCOFLEX</v>
      </c>
      <c r="C88" s="73" t="str">
        <f ca="1">IFERROR(__xludf.DUMMYFUNCTION("""COMPUTED_VALUE"""),"CAJA 15 SOBRES")</f>
        <v>CAJA 15 SOBRES</v>
      </c>
      <c r="D88" s="73" t="str">
        <f ca="1">IFERROR(__xludf.DUMMYFUNCTION("""COMPUTED_VALUE"""),"GLUCOSAMINA SULFATO 1500MG., MELOXICAM 15MG.")</f>
        <v>GLUCOSAMINA SULFATO 1500MG., MELOXICAM 15MG.</v>
      </c>
      <c r="E88" s="73" t="str">
        <f ca="1">IFERROR(__xludf.DUMMYFUNCTION("""COMPUTED_VALUE"""),"INFASA")</f>
        <v>INFASA</v>
      </c>
      <c r="F88" s="75">
        <f ca="1">IFERROR(__xludf.DUMMYFUNCTION("""COMPUTED_VALUE"""),45684)</f>
        <v>45684</v>
      </c>
      <c r="G88" s="74">
        <f ca="1">IFERROR(__xludf.DUMMYFUNCTION("""COMPUTED_VALUE"""),128.58)</f>
        <v>128.58000000000001</v>
      </c>
      <c r="H88" s="74">
        <f ca="1">IFERROR(__xludf.DUMMYFUNCTION("""COMPUTED_VALUE"""),180.012)</f>
        <v>180.012</v>
      </c>
      <c r="I88" s="74">
        <f ca="1">IFERROR(__xludf.DUMMYFUNCTION("""COMPUTED_VALUE"""),180)</f>
        <v>180</v>
      </c>
    </row>
    <row r="89" spans="2:9" ht="27" customHeight="1">
      <c r="B89" s="73" t="str">
        <f ca="1">IFERROR(__xludf.DUMMYFUNCTION("""COMPUTED_VALUE"""),"DOLO-BELCREVIT")</f>
        <v>DOLO-BELCREVIT</v>
      </c>
      <c r="C89" s="73" t="str">
        <f ca="1">IFERROR(__xludf.DUMMYFUNCTION("""COMPUTED_VALUE"""),"SOLUCIÒN INYECTABLE")</f>
        <v>SOLUCIÒN INYECTABLE</v>
      </c>
      <c r="D89" s="73" t="str">
        <f ca="1">IFERROR(__xludf.DUMMYFUNCTION("""COMPUTED_VALUE"""),"VITAMINAS NEUROTROPAS B1, B6, B12 + DICLOFENACO SÒDICO")</f>
        <v>VITAMINAS NEUROTROPAS B1, B6, B12 + DICLOFENACO SÒDICO</v>
      </c>
      <c r="E89" s="73" t="str">
        <f ca="1">IFERROR(__xludf.DUMMYFUNCTION("""COMPUTED_VALUE"""),"BELENPHARM")</f>
        <v>BELENPHARM</v>
      </c>
      <c r="F89" s="75">
        <f ca="1">IFERROR(__xludf.DUMMYFUNCTION("""COMPUTED_VALUE"""),45684)</f>
        <v>45684</v>
      </c>
      <c r="G89" s="74">
        <f ca="1">IFERROR(__xludf.DUMMYFUNCTION("""COMPUTED_VALUE"""),20)</f>
        <v>20</v>
      </c>
      <c r="H89" s="74">
        <f ca="1">IFERROR(__xludf.DUMMYFUNCTION("""COMPUTED_VALUE"""),28)</f>
        <v>28</v>
      </c>
      <c r="I89" s="74">
        <f ca="1">IFERROR(__xludf.DUMMYFUNCTION("""COMPUTED_VALUE"""),35)</f>
        <v>35</v>
      </c>
    </row>
    <row r="90" spans="2:9" ht="27" customHeight="1">
      <c r="B90" s="73" t="str">
        <f ca="1">IFERROR(__xludf.DUMMYFUNCTION("""COMPUTED_VALUE"""),"DOLOFORT")</f>
        <v>DOLOFORT</v>
      </c>
      <c r="C90" s="73" t="str">
        <f ca="1">IFERROR(__xludf.DUMMYFUNCTION("""COMPUTED_VALUE"""),"SOLUCIÒN INYECTABLE 5ML")</f>
        <v>SOLUCIÒN INYECTABLE 5ML</v>
      </c>
      <c r="D90" s="73" t="str">
        <f ca="1">IFERROR(__xludf.DUMMYFUNCTION("""COMPUTED_VALUE"""),"DIPIRONA MAGNÈSICA 2G/5ML")</f>
        <v>DIPIRONA MAGNÈSICA 2G/5ML</v>
      </c>
      <c r="E90" s="73" t="str">
        <f ca="1">IFERROR(__xludf.DUMMYFUNCTION("""COMPUTED_VALUE"""),"UNIPHARM")</f>
        <v>UNIPHARM</v>
      </c>
      <c r="F90" s="75">
        <f ca="1">IFERROR(__xludf.DUMMYFUNCTION("""COMPUTED_VALUE"""),45683)</f>
        <v>45683</v>
      </c>
      <c r="G90" s="74">
        <f ca="1">IFERROR(__xludf.DUMMYFUNCTION("""COMPUTED_VALUE"""),15)</f>
        <v>15</v>
      </c>
      <c r="H90" s="74">
        <f ca="1">IFERROR(__xludf.DUMMYFUNCTION("""COMPUTED_VALUE"""),21)</f>
        <v>21</v>
      </c>
      <c r="I90" s="74">
        <f ca="1">IFERROR(__xludf.DUMMYFUNCTION("""COMPUTED_VALUE"""),30)</f>
        <v>30</v>
      </c>
    </row>
    <row r="91" spans="2:9" ht="27" customHeight="1">
      <c r="B91" s="73" t="str">
        <f ca="1">IFERROR(__xludf.DUMMYFUNCTION("""COMPUTED_VALUE"""),"DOLOSAL (MEPERIDINA)")</f>
        <v>DOLOSAL (MEPERIDINA)</v>
      </c>
      <c r="C91" s="73" t="str">
        <f ca="1">IFERROR(__xludf.DUMMYFUNCTION("""COMPUTED_VALUE"""),"AMPOLLA")</f>
        <v>AMPOLLA</v>
      </c>
      <c r="D91" s="73" t="str">
        <f ca="1">IFERROR(__xludf.DUMMYFUNCTION("""COMPUTED_VALUE"""),"DEMEROL")</f>
        <v>DEMEROL</v>
      </c>
      <c r="E91" s="73" t="str">
        <f ca="1">IFERROR(__xludf.DUMMYFUNCTION("""COMPUTED_VALUE"""),"BONIN")</f>
        <v>BONIN</v>
      </c>
      <c r="F91" s="75">
        <f ca="1">IFERROR(__xludf.DUMMYFUNCTION("""COMPUTED_VALUE"""),45686)</f>
        <v>45686</v>
      </c>
      <c r="G91" s="74">
        <f ca="1">IFERROR(__xludf.DUMMYFUNCTION("""COMPUTED_VALUE"""),52.5)</f>
        <v>52.5</v>
      </c>
      <c r="H91" s="74">
        <f ca="1">IFERROR(__xludf.DUMMYFUNCTION("""COMPUTED_VALUE"""),73.5)</f>
        <v>73.5</v>
      </c>
      <c r="I91" s="74">
        <f ca="1">IFERROR(__xludf.DUMMYFUNCTION("""COMPUTED_VALUE"""),100)</f>
        <v>100</v>
      </c>
    </row>
    <row r="92" spans="2:9" ht="27" customHeight="1">
      <c r="B92" s="73" t="str">
        <f ca="1">IFERROR(__xludf.DUMMYFUNCTION("""COMPUTED_VALUE"""),"DOTRAM")</f>
        <v>DOTRAM</v>
      </c>
      <c r="C92" s="73" t="str">
        <f ca="1">IFERROR(__xludf.DUMMYFUNCTION("""COMPUTED_VALUE"""),"SUSPENSION 60ML")</f>
        <v>SUSPENSION 60ML</v>
      </c>
      <c r="D92" s="73" t="str">
        <f ca="1">IFERROR(__xludf.DUMMYFUNCTION("""COMPUTED_VALUE"""),"CLARITROMICINA 250MG/5ML")</f>
        <v>CLARITROMICINA 250MG/5ML</v>
      </c>
      <c r="E92" s="73" t="str">
        <f ca="1">IFERROR(__xludf.DUMMYFUNCTION("""COMPUTED_VALUE"""),"PHARMADEL")</f>
        <v>PHARMADEL</v>
      </c>
      <c r="F92" s="75">
        <f ca="1">IFERROR(__xludf.DUMMYFUNCTION("""COMPUTED_VALUE"""),45685)</f>
        <v>45685</v>
      </c>
      <c r="G92" s="74">
        <f ca="1">IFERROR(__xludf.DUMMYFUNCTION("""COMPUTED_VALUE"""),86.5)</f>
        <v>86.5</v>
      </c>
      <c r="H92" s="74">
        <f ca="1">IFERROR(__xludf.DUMMYFUNCTION("""COMPUTED_VALUE"""),121.1)</f>
        <v>121.1</v>
      </c>
      <c r="I92" s="74">
        <f ca="1">IFERROR(__xludf.DUMMYFUNCTION("""COMPUTED_VALUE"""),150)</f>
        <v>150</v>
      </c>
    </row>
    <row r="93" spans="2:9" ht="27" customHeight="1">
      <c r="B93" s="73" t="str">
        <f ca="1">IFERROR(__xludf.DUMMYFUNCTION("""COMPUTED_VALUE"""),"DOXILIN")</f>
        <v>DOXILIN</v>
      </c>
      <c r="C93" s="73" t="str">
        <f ca="1">IFERROR(__xludf.DUMMYFUNCTION("""COMPUTED_VALUE"""),"CAJA 10 CAPSULAS")</f>
        <v>CAJA 10 CAPSULAS</v>
      </c>
      <c r="D93" s="73" t="str">
        <f ca="1">IFERROR(__xludf.DUMMYFUNCTION("""COMPUTED_VALUE"""),"DOXICICLINA 100MG")</f>
        <v>DOXICICLINA 100MG</v>
      </c>
      <c r="E93" s="73" t="str">
        <f ca="1">IFERROR(__xludf.DUMMYFUNCTION("""COMPUTED_VALUE"""),"PHARBEST, S.A.")</f>
        <v>PHARBEST, S.A.</v>
      </c>
      <c r="F93" s="75">
        <f ca="1">IFERROR(__xludf.DUMMYFUNCTION("""COMPUTED_VALUE"""),45958)</f>
        <v>45958</v>
      </c>
      <c r="G93" s="74">
        <f ca="1">IFERROR(__xludf.DUMMYFUNCTION("""COMPUTED_VALUE"""),153.81)</f>
        <v>153.81</v>
      </c>
      <c r="H93" s="74">
        <f ca="1">IFERROR(__xludf.DUMMYFUNCTION("""COMPUTED_VALUE"""),215.334)</f>
        <v>215.334</v>
      </c>
      <c r="I93" s="74">
        <f ca="1">IFERROR(__xludf.DUMMYFUNCTION("""COMPUTED_VALUE"""),215)</f>
        <v>215</v>
      </c>
    </row>
    <row r="94" spans="2:9" ht="27" customHeight="1">
      <c r="B94" s="73" t="str">
        <f ca="1">IFERROR(__xludf.DUMMYFUNCTION("""COMPUTED_VALUE"""),"DYNAMOGEN")</f>
        <v>DYNAMOGEN</v>
      </c>
      <c r="C94" s="73" t="str">
        <f ca="1">IFERROR(__xludf.DUMMYFUNCTION("""COMPUTED_VALUE"""),"CAJA 20 AMPOLLAS BEBIBLES")</f>
        <v>CAJA 20 AMPOLLAS BEBIBLES</v>
      </c>
      <c r="D94" s="73" t="str">
        <f ca="1">IFERROR(__xludf.DUMMYFUNCTION("""COMPUTED_VALUE"""),"VIALES")</f>
        <v>VIALES</v>
      </c>
      <c r="E94" s="73" t="str">
        <f ca="1">IFERROR(__xludf.DUMMYFUNCTION("""COMPUTED_VALUE"""),"FAES FARMA")</f>
        <v>FAES FARMA</v>
      </c>
      <c r="F94" s="75">
        <f ca="1">IFERROR(__xludf.DUMMYFUNCTION("""COMPUTED_VALUE"""),46018)</f>
        <v>46018</v>
      </c>
      <c r="G94" s="74">
        <f ca="1">IFERROR(__xludf.DUMMYFUNCTION("""COMPUTED_VALUE"""),173.93)</f>
        <v>173.93</v>
      </c>
      <c r="H94" s="74">
        <f ca="1">IFERROR(__xludf.DUMMYFUNCTION("""COMPUTED_VALUE"""),243.502)</f>
        <v>243.50200000000001</v>
      </c>
      <c r="I94" s="74">
        <f ca="1">IFERROR(__xludf.DUMMYFUNCTION("""COMPUTED_VALUE"""),245)</f>
        <v>245</v>
      </c>
    </row>
    <row r="95" spans="2:9" ht="27" customHeight="1">
      <c r="B95" s="73" t="str">
        <f ca="1">IFERROR(__xludf.DUMMYFUNCTION("""COMPUTED_VALUE"""),"EFEDRINA")</f>
        <v>EFEDRINA</v>
      </c>
      <c r="C95" s="73" t="str">
        <f ca="1">IFERROR(__xludf.DUMMYFUNCTION("""COMPUTED_VALUE"""),"AMPOLLA")</f>
        <v>AMPOLLA</v>
      </c>
      <c r="D95" s="73" t="str">
        <f ca="1">IFERROR(__xludf.DUMMYFUNCTION("""COMPUTED_VALUE"""),"EFEDRINA HCI 50MG/1ML")</f>
        <v>EFEDRINA HCI 50MG/1ML</v>
      </c>
      <c r="E95" s="73" t="str">
        <f ca="1">IFERROR(__xludf.DUMMYFUNCTION("""COMPUTED_VALUE"""),"VIZCAINO")</f>
        <v>VIZCAINO</v>
      </c>
      <c r="F95" s="75">
        <f ca="1">IFERROR(__xludf.DUMMYFUNCTION("""COMPUTED_VALUE"""),45896)</f>
        <v>45896</v>
      </c>
      <c r="G95" s="74">
        <f ca="1">IFERROR(__xludf.DUMMYFUNCTION("""COMPUTED_VALUE"""),52.5)</f>
        <v>52.5</v>
      </c>
      <c r="H95" s="74">
        <f ca="1">IFERROR(__xludf.DUMMYFUNCTION("""COMPUTED_VALUE"""),73.5)</f>
        <v>73.5</v>
      </c>
      <c r="I95" s="74">
        <f ca="1">IFERROR(__xludf.DUMMYFUNCTION("""COMPUTED_VALUE"""),75)</f>
        <v>75</v>
      </c>
    </row>
    <row r="96" spans="2:9" ht="27" customHeight="1">
      <c r="B96" s="73" t="str">
        <f ca="1">IFERROR(__xludf.DUMMYFUNCTION("""COMPUTED_VALUE"""),"ENEMA FLEET")</f>
        <v>ENEMA FLEET</v>
      </c>
      <c r="C96" s="73" t="str">
        <f ca="1">IFERROR(__xludf.DUMMYFUNCTION("""COMPUTED_VALUE"""),"FRASCO 133ML")</f>
        <v>FRASCO 133ML</v>
      </c>
      <c r="D96" s="73" t="str">
        <f ca="1">IFERROR(__xludf.DUMMYFUNCTION("""COMPUTED_VALUE"""),"SOLUCIÓN SALINA LAXANTE, USO RECTAL")</f>
        <v>SOLUCIÓN SALINA LAXANTE, USO RECTAL</v>
      </c>
      <c r="E96" s="73" t="str">
        <f ca="1">IFERROR(__xludf.DUMMYFUNCTION("""COMPUTED_VALUE"""),"H&amp;L")</f>
        <v>H&amp;L</v>
      </c>
      <c r="F96" s="75">
        <f ca="1">IFERROR(__xludf.DUMMYFUNCTION("""COMPUTED_VALUE"""),45926)</f>
        <v>45926</v>
      </c>
      <c r="G96" s="74">
        <f ca="1">IFERROR(__xludf.DUMMYFUNCTION("""COMPUTED_VALUE"""),27.9)</f>
        <v>27.9</v>
      </c>
      <c r="H96" s="74">
        <f ca="1">IFERROR(__xludf.DUMMYFUNCTION("""COMPUTED_VALUE"""),39.06)</f>
        <v>39.06</v>
      </c>
      <c r="I96" s="74">
        <f ca="1">IFERROR(__xludf.DUMMYFUNCTION("""COMPUTED_VALUE"""),45)</f>
        <v>45</v>
      </c>
    </row>
    <row r="97" spans="2:9" ht="27" customHeight="1">
      <c r="B97" s="73" t="str">
        <f ca="1">IFERROR(__xludf.DUMMYFUNCTION("""COMPUTED_VALUE"""),"ENOXAPARINA")</f>
        <v>ENOXAPARINA</v>
      </c>
      <c r="C97" s="73" t="str">
        <f ca="1">IFERROR(__xludf.DUMMYFUNCTION("""COMPUTED_VALUE"""),"AMPOLLA")</f>
        <v>AMPOLLA</v>
      </c>
      <c r="D97" s="73" t="str">
        <f ca="1">IFERROR(__xludf.DUMMYFUNCTION("""COMPUTED_VALUE"""),"ENOXAPARINA")</f>
        <v>ENOXAPARINA</v>
      </c>
      <c r="E97" s="73" t="str">
        <f ca="1">IFERROR(__xludf.DUMMYFUNCTION("""COMPUTED_VALUE"""),"BONIN")</f>
        <v>BONIN</v>
      </c>
      <c r="F97" s="75">
        <f ca="1">IFERROR(__xludf.DUMMYFUNCTION("""COMPUTED_VALUE"""),45987)</f>
        <v>45987</v>
      </c>
      <c r="G97" s="74">
        <f ca="1">IFERROR(__xludf.DUMMYFUNCTION("""COMPUTED_VALUE"""),193.6)</f>
        <v>193.6</v>
      </c>
      <c r="H97" s="74">
        <f ca="1">IFERROR(__xludf.DUMMYFUNCTION("""COMPUTED_VALUE"""),271.039999999999)</f>
        <v>271.039999999999</v>
      </c>
      <c r="I97" s="74">
        <f ca="1">IFERROR(__xludf.DUMMYFUNCTION("""COMPUTED_VALUE"""),275)</f>
        <v>275</v>
      </c>
    </row>
    <row r="98" spans="2:9" ht="27" customHeight="1">
      <c r="B98" s="73" t="str">
        <f ca="1">IFERROR(__xludf.DUMMYFUNCTION("""COMPUTED_VALUE"""),"EQUILIV")</f>
        <v>EQUILIV</v>
      </c>
      <c r="C98" s="73" t="str">
        <f ca="1">IFERROR(__xludf.DUMMYFUNCTION("""COMPUTED_VALUE"""),"GOTAS ORALES")</f>
        <v>GOTAS ORALES</v>
      </c>
      <c r="D98" s="73" t="str">
        <f ca="1">IFERROR(__xludf.DUMMYFUNCTION("""COMPUTED_VALUE"""),"CLONAZEPAN 2.5MG")</f>
        <v>CLONAZEPAN 2.5MG</v>
      </c>
      <c r="E98" s="73" t="str">
        <f ca="1">IFERROR(__xludf.DUMMYFUNCTION("""COMPUTED_VALUE"""),"MEDPHARMA")</f>
        <v>MEDPHARMA</v>
      </c>
      <c r="F98" s="75">
        <f ca="1">IFERROR(__xludf.DUMMYFUNCTION("""COMPUTED_VALUE"""),45987)</f>
        <v>45987</v>
      </c>
      <c r="G98" s="74">
        <f ca="1">IFERROR(__xludf.DUMMYFUNCTION("""COMPUTED_VALUE"""),78.4)</f>
        <v>78.400000000000006</v>
      </c>
      <c r="H98" s="74">
        <f ca="1">IFERROR(__xludf.DUMMYFUNCTION("""COMPUTED_VALUE"""),109.76)</f>
        <v>109.76</v>
      </c>
      <c r="I98" s="74">
        <f ca="1">IFERROR(__xludf.DUMMYFUNCTION("""COMPUTED_VALUE"""),110)</f>
        <v>110</v>
      </c>
    </row>
    <row r="99" spans="2:9" ht="27" customHeight="1">
      <c r="B99" s="73" t="str">
        <f ca="1">IFERROR(__xludf.DUMMYFUNCTION("""COMPUTED_VALUE"""),"ERITROPROYECTINA")</f>
        <v>ERITROPROYECTINA</v>
      </c>
      <c r="C99" s="73" t="str">
        <f ca="1">IFERROR(__xludf.DUMMYFUNCTION("""COMPUTED_VALUE"""),"AMPOLLA")</f>
        <v>AMPOLLA</v>
      </c>
      <c r="D99" s="73" t="str">
        <f ca="1">IFERROR(__xludf.DUMMYFUNCTION("""COMPUTED_VALUE"""),"ERITROPROYECTINA")</f>
        <v>ERITROPROYECTINA</v>
      </c>
      <c r="E99" s="73" t="str">
        <f ca="1">IFERROR(__xludf.DUMMYFUNCTION("""COMPUTED_VALUE"""),"MEGALABS")</f>
        <v>MEGALABS</v>
      </c>
      <c r="F99" s="75">
        <f ca="1">IFERROR(__xludf.DUMMYFUNCTION("""COMPUTED_VALUE"""),45987)</f>
        <v>45987</v>
      </c>
      <c r="G99" s="74">
        <f ca="1">IFERROR(__xludf.DUMMYFUNCTION("""COMPUTED_VALUE"""),78.53)</f>
        <v>78.53</v>
      </c>
      <c r="H99" s="74">
        <f ca="1">IFERROR(__xludf.DUMMYFUNCTION("""COMPUTED_VALUE"""),109.942)</f>
        <v>109.94199999999999</v>
      </c>
      <c r="I99" s="74">
        <f ca="1">IFERROR(__xludf.DUMMYFUNCTION("""COMPUTED_VALUE"""),150)</f>
        <v>150</v>
      </c>
    </row>
    <row r="100" spans="2:9" ht="27" customHeight="1">
      <c r="B100" s="73" t="str">
        <f ca="1">IFERROR(__xludf.DUMMYFUNCTION("""COMPUTED_VALUE"""),"ESKAPAR COMPUESTO")</f>
        <v>ESKAPAR COMPUESTO</v>
      </c>
      <c r="C100" s="73" t="str">
        <f ca="1">IFERROR(__xludf.DUMMYFUNCTION("""COMPUTED_VALUE"""),"CAJA DE 20 CAPSULAS")</f>
        <v>CAJA DE 20 CAPSULAS</v>
      </c>
      <c r="D100" s="73" t="str">
        <f ca="1">IFERROR(__xludf.DUMMYFUNCTION("""COMPUTED_VALUE"""),"NIFUROXAZIDA/METRONIDAZOL")</f>
        <v>NIFUROXAZIDA/METRONIDAZOL</v>
      </c>
      <c r="E100" s="73" t="str">
        <f ca="1">IFERROR(__xludf.DUMMYFUNCTION("""COMPUTED_VALUE"""),"RESCO")</f>
        <v>RESCO</v>
      </c>
      <c r="F100" s="75">
        <f ca="1">IFERROR(__xludf.DUMMYFUNCTION("""COMPUTED_VALUE"""),45864)</f>
        <v>45864</v>
      </c>
      <c r="G100" s="74">
        <f ca="1">IFERROR(__xludf.DUMMYFUNCTION("""COMPUTED_VALUE"""),67.64)</f>
        <v>67.64</v>
      </c>
      <c r="H100" s="74">
        <f ca="1">IFERROR(__xludf.DUMMYFUNCTION("""COMPUTED_VALUE"""),94.696)</f>
        <v>94.695999999999998</v>
      </c>
      <c r="I100" s="74">
        <f ca="1">IFERROR(__xludf.DUMMYFUNCTION("""COMPUTED_VALUE"""),95)</f>
        <v>95</v>
      </c>
    </row>
    <row r="101" spans="2:9" ht="27" customHeight="1">
      <c r="B101" s="73" t="str">
        <f ca="1">IFERROR(__xludf.DUMMYFUNCTION("""COMPUTED_VALUE"""),"ESPASMO DIGESTONE")</f>
        <v>ESPASMO DIGESTONE</v>
      </c>
      <c r="C101" s="73" t="str">
        <f ca="1">IFERROR(__xludf.DUMMYFUNCTION("""COMPUTED_VALUE"""),"BLISTER DE 10 TAB.")</f>
        <v>BLISTER DE 10 TAB.</v>
      </c>
      <c r="D101" s="73" t="str">
        <f ca="1">IFERROR(__xludf.DUMMYFUNCTION("""COMPUTED_VALUE"""),"PANCREATINA, SIMETICONA, LACTOSA Y OTROS")</f>
        <v>PANCREATINA, SIMETICONA, LACTOSA Y OTROS</v>
      </c>
      <c r="E101" s="73" t="str">
        <f ca="1">IFERROR(__xludf.DUMMYFUNCTION("""COMPUTED_VALUE"""),"MENARINI")</f>
        <v>MENARINI</v>
      </c>
      <c r="F101" s="75">
        <f ca="1">IFERROR(__xludf.DUMMYFUNCTION("""COMPUTED_VALUE"""),45988)</f>
        <v>45988</v>
      </c>
      <c r="G101" s="74">
        <f ca="1">IFERROR(__xludf.DUMMYFUNCTION("""COMPUTED_VALUE"""),49.49)</f>
        <v>49.49</v>
      </c>
      <c r="H101" s="74">
        <f ca="1">IFERROR(__xludf.DUMMYFUNCTION("""COMPUTED_VALUE"""),69.286)</f>
        <v>69.286000000000001</v>
      </c>
      <c r="I101" s="74">
        <f ca="1">IFERROR(__xludf.DUMMYFUNCTION("""COMPUTED_VALUE"""),70)</f>
        <v>70</v>
      </c>
    </row>
    <row r="102" spans="2:9" ht="27" customHeight="1">
      <c r="B102" s="73" t="str">
        <f ca="1">IFERROR(__xludf.DUMMYFUNCTION("""COMPUTED_VALUE"""),"EUROCLIN")</f>
        <v>EUROCLIN</v>
      </c>
      <c r="C102" s="73" t="str">
        <f ca="1">IFERROR(__xludf.DUMMYFUNCTION("""COMPUTED_VALUE"""),"CAJA 30 CAPSULAS")</f>
        <v>CAJA 30 CAPSULAS</v>
      </c>
      <c r="D102" s="73" t="str">
        <f ca="1">IFERROR(__xludf.DUMMYFUNCTION("""COMPUTED_VALUE"""),"CLINDAMICINA 300MG.")</f>
        <v>CLINDAMICINA 300MG.</v>
      </c>
      <c r="E102" s="73" t="str">
        <f ca="1">IFERROR(__xludf.DUMMYFUNCTION("""COMPUTED_VALUE"""),"CHALVER")</f>
        <v>CHALVER</v>
      </c>
      <c r="F102" s="75">
        <f ca="1">IFERROR(__xludf.DUMMYFUNCTION("""COMPUTED_VALUE"""),45715)</f>
        <v>45715</v>
      </c>
      <c r="G102" s="74">
        <f ca="1">IFERROR(__xludf.DUMMYFUNCTION("""COMPUTED_VALUE"""),172.88)</f>
        <v>172.88</v>
      </c>
      <c r="H102" s="74">
        <f ca="1">IFERROR(__xludf.DUMMYFUNCTION("""COMPUTED_VALUE"""),242.031999999999)</f>
        <v>242.03199999999899</v>
      </c>
      <c r="I102" s="74">
        <f ca="1">IFERROR(__xludf.DUMMYFUNCTION("""COMPUTED_VALUE"""),245)</f>
        <v>245</v>
      </c>
    </row>
    <row r="103" spans="2:9" ht="27" customHeight="1">
      <c r="B103" s="73" t="str">
        <f ca="1">IFERROR(__xludf.DUMMYFUNCTION("""COMPUTED_VALUE"""),"EVECARE")</f>
        <v>EVECARE</v>
      </c>
      <c r="C103" s="73" t="str">
        <f ca="1">IFERROR(__xludf.DUMMYFUNCTION("""COMPUTED_VALUE"""),"FRASCO DE 30 TAB.")</f>
        <v>FRASCO DE 30 TAB.</v>
      </c>
      <c r="D103" s="73" t="str">
        <f ca="1">IFERROR(__xludf.DUMMYFUNCTION("""COMPUTED_VALUE"""),"CAPSULAS")</f>
        <v>CAPSULAS</v>
      </c>
      <c r="E103" s="73" t="str">
        <f ca="1">IFERROR(__xludf.DUMMYFUNCTION("""COMPUTED_VALUE"""),"HIMALAYA")</f>
        <v>HIMALAYA</v>
      </c>
      <c r="F103" s="75">
        <f ca="1">IFERROR(__xludf.DUMMYFUNCTION("""COMPUTED_VALUE"""),45684)</f>
        <v>45684</v>
      </c>
      <c r="G103" s="74">
        <f ca="1">IFERROR(__xludf.DUMMYFUNCTION("""COMPUTED_VALUE"""),114.04)</f>
        <v>114.04</v>
      </c>
      <c r="H103" s="74">
        <f ca="1">IFERROR(__xludf.DUMMYFUNCTION("""COMPUTED_VALUE"""),159.656)</f>
        <v>159.65600000000001</v>
      </c>
      <c r="I103" s="74">
        <f ca="1">IFERROR(__xludf.DUMMYFUNCTION("""COMPUTED_VALUE"""),160)</f>
        <v>160</v>
      </c>
    </row>
    <row r="104" spans="2:9" ht="27" customHeight="1">
      <c r="B104" s="73" t="str">
        <f ca="1">IFERROR(__xludf.DUMMYFUNCTION("""COMPUTED_VALUE"""),"EXKEN DEXEKETOFRENO")</f>
        <v>EXKEN DEXEKETOFRENO</v>
      </c>
      <c r="C104" s="73" t="str">
        <f ca="1">IFERROR(__xludf.DUMMYFUNCTION("""COMPUTED_VALUE"""),"CAJA 10 TABLETAS")</f>
        <v>CAJA 10 TABLETAS</v>
      </c>
      <c r="D104" s="73" t="str">
        <f ca="1">IFERROR(__xludf.DUMMYFUNCTION("""COMPUTED_VALUE"""),"PARACETAMOL TROMETAMOL 25MG")</f>
        <v>PARACETAMOL TROMETAMOL 25MG</v>
      </c>
      <c r="E104" s="73" t="str">
        <f ca="1">IFERROR(__xludf.DUMMYFUNCTION("""COMPUTED_VALUE"""),"PHARA")</f>
        <v>PHARA</v>
      </c>
      <c r="F104" s="75">
        <f ca="1">IFERROR(__xludf.DUMMYFUNCTION("""COMPUTED_VALUE"""),45683)</f>
        <v>45683</v>
      </c>
      <c r="G104" s="74">
        <f ca="1">IFERROR(__xludf.DUMMYFUNCTION("""COMPUTED_VALUE"""),78.65)</f>
        <v>78.650000000000006</v>
      </c>
      <c r="H104" s="74">
        <f ca="1">IFERROR(__xludf.DUMMYFUNCTION("""COMPUTED_VALUE"""),110.11)</f>
        <v>110.11</v>
      </c>
      <c r="I104" s="74">
        <f ca="1">IFERROR(__xludf.DUMMYFUNCTION("""COMPUTED_VALUE"""),100)</f>
        <v>100</v>
      </c>
    </row>
    <row r="105" spans="2:9" ht="27" customHeight="1">
      <c r="B105" s="73" t="str">
        <f ca="1">IFERROR(__xludf.DUMMYFUNCTION("""COMPUTED_VALUE"""),"FEMTRIOL CREMA VAGINAL")</f>
        <v>FEMTRIOL CREMA VAGINAL</v>
      </c>
      <c r="C105" s="73" t="str">
        <f ca="1">IFERROR(__xludf.DUMMYFUNCTION("""COMPUTED_VALUE"""),"CAJA 5 APLICADORES")</f>
        <v>CAJA 5 APLICADORES</v>
      </c>
      <c r="D105" s="73" t="str">
        <f ca="1">IFERROR(__xludf.DUMMYFUNCTION("""COMPUTED_VALUE"""),"ESTRIOL 0,1G")</f>
        <v>ESTRIOL 0,1G</v>
      </c>
      <c r="E105" s="73" t="str">
        <f ca="1">IFERROR(__xludf.DUMMYFUNCTION("""COMPUTED_VALUE"""),"CHALVER")</f>
        <v>CHALVER</v>
      </c>
      <c r="F105" s="75">
        <f ca="1">IFERROR(__xludf.DUMMYFUNCTION("""COMPUTED_VALUE"""),45987)</f>
        <v>45987</v>
      </c>
      <c r="G105" s="74">
        <f ca="1">IFERROR(__xludf.DUMMYFUNCTION("""COMPUTED_VALUE"""),193.86)</f>
        <v>193.86</v>
      </c>
      <c r="H105" s="74">
        <f ca="1">IFERROR(__xludf.DUMMYFUNCTION("""COMPUTED_VALUE"""),271.404)</f>
        <v>271.404</v>
      </c>
      <c r="I105" s="74">
        <f ca="1">IFERROR(__xludf.DUMMYFUNCTION("""COMPUTED_VALUE"""),270)</f>
        <v>270</v>
      </c>
    </row>
    <row r="106" spans="2:9" ht="27" customHeight="1">
      <c r="B106" s="73" t="str">
        <f ca="1">IFERROR(__xludf.DUMMYFUNCTION("""COMPUTED_VALUE"""),"FENITOINA SODICA")</f>
        <v>FENITOINA SODICA</v>
      </c>
      <c r="C106" s="73" t="str">
        <f ca="1">IFERROR(__xludf.DUMMYFUNCTION("""COMPUTED_VALUE"""),"AMPOLLA")</f>
        <v>AMPOLLA</v>
      </c>
      <c r="D106" s="73" t="str">
        <f ca="1">IFERROR(__xludf.DUMMYFUNCTION("""COMPUTED_VALUE"""),"FENITOINA SODICA")</f>
        <v>FENITOINA SODICA</v>
      </c>
      <c r="E106" s="73" t="str">
        <f ca="1">IFERROR(__xludf.DUMMYFUNCTION("""COMPUTED_VALUE"""),"H&amp;L")</f>
        <v>H&amp;L</v>
      </c>
      <c r="F106" s="75">
        <f ca="1">IFERROR(__xludf.DUMMYFUNCTION("""COMPUTED_VALUE"""),45987)</f>
        <v>45987</v>
      </c>
      <c r="G106" s="74">
        <f ca="1">IFERROR(__xludf.DUMMYFUNCTION("""COMPUTED_VALUE"""),62.5)</f>
        <v>62.5</v>
      </c>
      <c r="H106" s="74">
        <f ca="1">IFERROR(__xludf.DUMMYFUNCTION("""COMPUTED_VALUE"""),87.5)</f>
        <v>87.5</v>
      </c>
      <c r="I106" s="74">
        <f ca="1">IFERROR(__xludf.DUMMYFUNCTION("""COMPUTED_VALUE"""),90)</f>
        <v>90</v>
      </c>
    </row>
    <row r="107" spans="2:9" ht="27" customHeight="1">
      <c r="B107" s="73" t="str">
        <f ca="1">IFERROR(__xludf.DUMMYFUNCTION("""COMPUTED_VALUE"""),"FENTANILO")</f>
        <v>FENTANILO</v>
      </c>
      <c r="C107" s="73" t="str">
        <f ca="1">IFERROR(__xludf.DUMMYFUNCTION("""COMPUTED_VALUE"""),"AMPOLLA 0.05MG/2ML")</f>
        <v>AMPOLLA 0.05MG/2ML</v>
      </c>
      <c r="D107" s="73" t="str">
        <f ca="1">IFERROR(__xludf.DUMMYFUNCTION("""COMPUTED_VALUE"""),"FENTANILO")</f>
        <v>FENTANILO</v>
      </c>
      <c r="E107" s="73" t="str">
        <f ca="1">IFERROR(__xludf.DUMMYFUNCTION("""COMPUTED_VALUE"""),"VIZCAINO")</f>
        <v>VIZCAINO</v>
      </c>
      <c r="F107" s="75">
        <f ca="1">IFERROR(__xludf.DUMMYFUNCTION("""COMPUTED_VALUE"""),45834)</f>
        <v>45834</v>
      </c>
      <c r="G107" s="74">
        <f ca="1">IFERROR(__xludf.DUMMYFUNCTION("""COMPUTED_VALUE"""),22)</f>
        <v>22</v>
      </c>
      <c r="H107" s="74">
        <f ca="1">IFERROR(__xludf.DUMMYFUNCTION("""COMPUTED_VALUE"""),30.8)</f>
        <v>30.8</v>
      </c>
      <c r="I107" s="74">
        <f ca="1">IFERROR(__xludf.DUMMYFUNCTION("""COMPUTED_VALUE"""),65)</f>
        <v>65</v>
      </c>
    </row>
    <row r="108" spans="2:9" ht="27" customHeight="1">
      <c r="B108" s="73" t="str">
        <f ca="1">IFERROR(__xludf.DUMMYFUNCTION("""COMPUTED_VALUE"""),"FE-Q800")</f>
        <v>FE-Q800</v>
      </c>
      <c r="C108" s="73" t="str">
        <f ca="1">IFERROR(__xludf.DUMMYFUNCTION("""COMPUTED_VALUE"""),"CAJA DE 28 TAB.")</f>
        <v>CAJA DE 28 TAB.</v>
      </c>
      <c r="D108" s="73" t="str">
        <f ca="1">IFERROR(__xludf.DUMMYFUNCTION("""COMPUTED_VALUE"""),"HIERRO AMINOQUELADO, ACIDO FOLICO, CIANOCOBALAMINA")</f>
        <v>HIERRO AMINOQUELADO, ACIDO FOLICO, CIANOCOBALAMINA</v>
      </c>
      <c r="E108" s="73" t="str">
        <f ca="1">IFERROR(__xludf.DUMMYFUNCTION("""COMPUTED_VALUE"""),"COIDE S.A.")</f>
        <v>COIDE S.A.</v>
      </c>
      <c r="F108" s="75">
        <f ca="1">IFERROR(__xludf.DUMMYFUNCTION("""COMPUTED_VALUE"""),45987)</f>
        <v>45987</v>
      </c>
      <c r="G108" s="74">
        <f ca="1">IFERROR(__xludf.DUMMYFUNCTION("""COMPUTED_VALUE"""),45.4)</f>
        <v>45.4</v>
      </c>
      <c r="H108" s="74">
        <f ca="1">IFERROR(__xludf.DUMMYFUNCTION("""COMPUTED_VALUE"""),63.56)</f>
        <v>63.56</v>
      </c>
      <c r="I108" s="74">
        <f ca="1">IFERROR(__xludf.DUMMYFUNCTION("""COMPUTED_VALUE"""),90)</f>
        <v>90</v>
      </c>
    </row>
    <row r="109" spans="2:9" ht="27" customHeight="1">
      <c r="B109" s="73" t="str">
        <f ca="1">IFERROR(__xludf.DUMMYFUNCTION("""COMPUTED_VALUE"""),"FERKEL")</f>
        <v>FERKEL</v>
      </c>
      <c r="C109" s="73" t="str">
        <f ca="1">IFERROR(__xludf.DUMMYFUNCTION("""COMPUTED_VALUE"""),"GOTERO 30ML")</f>
        <v>GOTERO 30ML</v>
      </c>
      <c r="D109" s="73" t="str">
        <f ca="1">IFERROR(__xludf.DUMMYFUNCTION("""COMPUTED_VALUE"""),"HIERRO AMINOQUELADO")</f>
        <v>HIERRO AMINOQUELADO</v>
      </c>
      <c r="E109" s="73" t="str">
        <f ca="1">IFERROR(__xludf.DUMMYFUNCTION("""COMPUTED_VALUE"""),"INFASA")</f>
        <v>INFASA</v>
      </c>
      <c r="F109" s="75">
        <f ca="1">IFERROR(__xludf.DUMMYFUNCTION("""COMPUTED_VALUE"""),45803)</f>
        <v>45803</v>
      </c>
      <c r="G109" s="74">
        <f ca="1">IFERROR(__xludf.DUMMYFUNCTION("""COMPUTED_VALUE"""),38.06)</f>
        <v>38.06</v>
      </c>
      <c r="H109" s="74">
        <f ca="1">IFERROR(__xludf.DUMMYFUNCTION("""COMPUTED_VALUE"""),53.284)</f>
        <v>53.283999999999999</v>
      </c>
      <c r="I109" s="74">
        <f ca="1">IFERROR(__xludf.DUMMYFUNCTION("""COMPUTED_VALUE"""),60)</f>
        <v>60</v>
      </c>
    </row>
    <row r="110" spans="2:9" ht="27" customHeight="1">
      <c r="B110" s="73" t="str">
        <f ca="1">IFERROR(__xludf.DUMMYFUNCTION("""COMPUTED_VALUE"""),"FILINAR G")</f>
        <v>FILINAR G</v>
      </c>
      <c r="C110" s="73" t="str">
        <f ca="1">IFERROR(__xludf.DUMMYFUNCTION("""COMPUTED_VALUE"""),"FRASCO 120 ML.")</f>
        <v>FRASCO 120 ML.</v>
      </c>
      <c r="D110" s="73" t="str">
        <f ca="1">IFERROR(__xludf.DUMMYFUNCTION("""COMPUTED_VALUE"""),"ACEBROFILINA 5ML")</f>
        <v>ACEBROFILINA 5ML</v>
      </c>
      <c r="E110" s="73" t="str">
        <f ca="1">IFERROR(__xludf.DUMMYFUNCTION("""COMPUTED_VALUE"""),"COIDE S.A.")</f>
        <v>COIDE S.A.</v>
      </c>
      <c r="F110" s="75">
        <f ca="1">IFERROR(__xludf.DUMMYFUNCTION("""COMPUTED_VALUE"""),45773)</f>
        <v>45773</v>
      </c>
      <c r="G110" s="74">
        <f ca="1">IFERROR(__xludf.DUMMYFUNCTION("""COMPUTED_VALUE"""),120.28)</f>
        <v>120.28</v>
      </c>
      <c r="H110" s="74">
        <f ca="1">IFERROR(__xludf.DUMMYFUNCTION("""COMPUTED_VALUE"""),168.392)</f>
        <v>168.392</v>
      </c>
      <c r="I110" s="74">
        <f ca="1">IFERROR(__xludf.DUMMYFUNCTION("""COMPUTED_VALUE"""),170)</f>
        <v>170</v>
      </c>
    </row>
    <row r="111" spans="2:9" ht="27" customHeight="1">
      <c r="B111" s="73" t="str">
        <f ca="1">IFERROR(__xludf.DUMMYFUNCTION("""COMPUTED_VALUE"""),"FLAMANTIL")</f>
        <v>FLAMANTIL</v>
      </c>
      <c r="C111" s="73" t="str">
        <f ca="1">IFERROR(__xludf.DUMMYFUNCTION("""COMPUTED_VALUE"""),"BLISTER DE 5 TAB.")</f>
        <v>BLISTER DE 5 TAB.</v>
      </c>
      <c r="D111" s="73" t="str">
        <f ca="1">IFERROR(__xludf.DUMMYFUNCTION("""COMPUTED_VALUE"""),"NAPROXENO SODICO 550MG.")</f>
        <v>NAPROXENO SODICO 550MG.</v>
      </c>
      <c r="E111" s="73" t="str">
        <f ca="1">IFERROR(__xludf.DUMMYFUNCTION("""COMPUTED_VALUE"""),"VIZCAINO")</f>
        <v>VIZCAINO</v>
      </c>
      <c r="F111" s="75">
        <f ca="1">IFERROR(__xludf.DUMMYFUNCTION("""COMPUTED_VALUE"""),45928)</f>
        <v>45928</v>
      </c>
      <c r="G111" s="74">
        <f ca="1">IFERROR(__xludf.DUMMYFUNCTION("""COMPUTED_VALUE"""),5.26)</f>
        <v>5.26</v>
      </c>
      <c r="H111" s="74">
        <f ca="1">IFERROR(__xludf.DUMMYFUNCTION("""COMPUTED_VALUE"""),7.364)</f>
        <v>7.3639999999999999</v>
      </c>
      <c r="I111" s="74">
        <f ca="1">IFERROR(__xludf.DUMMYFUNCTION("""COMPUTED_VALUE"""),10)</f>
        <v>10</v>
      </c>
    </row>
    <row r="112" spans="2:9" ht="27" customHeight="1">
      <c r="B112" s="73" t="str">
        <f ca="1">IFERROR(__xludf.DUMMYFUNCTION("""COMPUTED_VALUE"""),"FLAMYDOL")</f>
        <v>FLAMYDOL</v>
      </c>
      <c r="C112" s="73" t="str">
        <f ca="1">IFERROR(__xludf.DUMMYFUNCTION("""COMPUTED_VALUE"""),"SUSPENSION")</f>
        <v>SUSPENSION</v>
      </c>
      <c r="D112" s="73" t="str">
        <f ca="1">IFERROR(__xludf.DUMMYFUNCTION("""COMPUTED_VALUE"""),"SUSPENSION")</f>
        <v>SUSPENSION</v>
      </c>
      <c r="E112" s="73" t="str">
        <f ca="1">IFERROR(__xludf.DUMMYFUNCTION("""COMPUTED_VALUE"""),"MEDIUM")</f>
        <v>MEDIUM</v>
      </c>
      <c r="F112" s="75">
        <f ca="1">IFERROR(__xludf.DUMMYFUNCTION("""COMPUTED_VALUE"""),45835)</f>
        <v>45835</v>
      </c>
      <c r="G112" s="74">
        <f ca="1">IFERROR(__xludf.DUMMYFUNCTION("""COMPUTED_VALUE"""),27.97)</f>
        <v>27.97</v>
      </c>
      <c r="H112" s="74">
        <f ca="1">IFERROR(__xludf.DUMMYFUNCTION("""COMPUTED_VALUE"""),39.158)</f>
        <v>39.158000000000001</v>
      </c>
      <c r="I112" s="74">
        <f ca="1">IFERROR(__xludf.DUMMYFUNCTION("""COMPUTED_VALUE"""),40)</f>
        <v>40</v>
      </c>
    </row>
    <row r="113" spans="2:9" ht="27" customHeight="1">
      <c r="B113" s="73" t="str">
        <f ca="1">IFERROR(__xludf.DUMMYFUNCTION("""COMPUTED_VALUE"""),"FLORENTEROL")</f>
        <v>FLORENTEROL</v>
      </c>
      <c r="C113" s="73" t="str">
        <f ca="1">IFERROR(__xludf.DUMMYFUNCTION("""COMPUTED_VALUE"""),"CAJA DE 6 SOBRES")</f>
        <v>CAJA DE 6 SOBRES</v>
      </c>
      <c r="D113" s="73" t="str">
        <f ca="1">IFERROR(__xludf.DUMMYFUNCTION("""COMPUTED_VALUE"""),"SACCHAROMYCES BOULARDIL 200MG")</f>
        <v>SACCHAROMYCES BOULARDIL 200MG</v>
      </c>
      <c r="E113" s="73" t="str">
        <f ca="1">IFERROR(__xludf.DUMMYFUNCTION("""COMPUTED_VALUE"""),"INFASA")</f>
        <v>INFASA</v>
      </c>
      <c r="F113" s="75">
        <f ca="1">IFERROR(__xludf.DUMMYFUNCTION("""COMPUTED_VALUE"""),46017)</f>
        <v>46017</v>
      </c>
      <c r="G113" s="74">
        <f ca="1">IFERROR(__xludf.DUMMYFUNCTION("""COMPUTED_VALUE"""),53.46)</f>
        <v>53.46</v>
      </c>
      <c r="H113" s="74">
        <f ca="1">IFERROR(__xludf.DUMMYFUNCTION("""COMPUTED_VALUE"""),74.844)</f>
        <v>74.843999999999994</v>
      </c>
      <c r="I113" s="74">
        <f ca="1">IFERROR(__xludf.DUMMYFUNCTION("""COMPUTED_VALUE"""),90)</f>
        <v>90</v>
      </c>
    </row>
    <row r="114" spans="2:9" ht="27" customHeight="1">
      <c r="B114" s="73" t="str">
        <f ca="1">IFERROR(__xludf.DUMMYFUNCTION("""COMPUTED_VALUE"""),"FLUMAZENIL")</f>
        <v>FLUMAZENIL</v>
      </c>
      <c r="C114" s="73" t="str">
        <f ca="1">IFERROR(__xludf.DUMMYFUNCTION("""COMPUTED_VALUE"""),"AMPOLLA")</f>
        <v>AMPOLLA</v>
      </c>
      <c r="D114" s="73" t="str">
        <f ca="1">IFERROR(__xludf.DUMMYFUNCTION("""COMPUTED_VALUE"""),"FLUMAZENIL 01")</f>
        <v>FLUMAZENIL 01</v>
      </c>
      <c r="E114" s="73" t="str">
        <f ca="1">IFERROR(__xludf.DUMMYFUNCTION("""COMPUTED_VALUE"""),"INSUMEDIC GT")</f>
        <v>INSUMEDIC GT</v>
      </c>
      <c r="F114" s="75">
        <f ca="1">IFERROR(__xludf.DUMMYFUNCTION("""COMPUTED_VALUE"""),45895)</f>
        <v>45895</v>
      </c>
      <c r="G114" s="74">
        <f ca="1">IFERROR(__xludf.DUMMYFUNCTION("""COMPUTED_VALUE"""),385)</f>
        <v>385</v>
      </c>
      <c r="H114" s="74">
        <f ca="1">IFERROR(__xludf.DUMMYFUNCTION("""COMPUTED_VALUE"""),539)</f>
        <v>539</v>
      </c>
      <c r="I114" s="74">
        <f ca="1">IFERROR(__xludf.DUMMYFUNCTION("""COMPUTED_VALUE"""),550)</f>
        <v>550</v>
      </c>
    </row>
    <row r="115" spans="2:9" ht="27" customHeight="1">
      <c r="B115" s="73" t="str">
        <f ca="1">IFERROR(__xludf.DUMMYFUNCTION("""COMPUTED_VALUE"""),"FOLY PLUS")</f>
        <v>FOLY PLUS</v>
      </c>
      <c r="C115" s="73" t="str">
        <f ca="1">IFERROR(__xludf.DUMMYFUNCTION("""COMPUTED_VALUE"""),"CAJA DE 30 CAPSULAS")</f>
        <v>CAJA DE 30 CAPSULAS</v>
      </c>
      <c r="D115" s="73" t="str">
        <f ca="1">IFERROR(__xludf.DUMMYFUNCTION("""COMPUTED_VALUE"""),"ACIDO FOLICO 5MG.")</f>
        <v>ACIDO FOLICO 5MG.</v>
      </c>
      <c r="E115" s="73" t="str">
        <f ca="1">IFERROR(__xludf.DUMMYFUNCTION("""COMPUTED_VALUE"""),"FARMECO")</f>
        <v>FARMECO</v>
      </c>
      <c r="F115" s="75">
        <f ca="1">IFERROR(__xludf.DUMMYFUNCTION("""COMPUTED_VALUE"""),45773)</f>
        <v>45773</v>
      </c>
      <c r="G115" s="74">
        <f ca="1">IFERROR(__xludf.DUMMYFUNCTION("""COMPUTED_VALUE"""),8.25)</f>
        <v>8.25</v>
      </c>
      <c r="H115" s="74">
        <f ca="1">IFERROR(__xludf.DUMMYFUNCTION("""COMPUTED_VALUE"""),11.55)</f>
        <v>11.55</v>
      </c>
      <c r="I115" s="74">
        <f ca="1">IFERROR(__xludf.DUMMYFUNCTION("""COMPUTED_VALUE"""),70)</f>
        <v>70</v>
      </c>
    </row>
    <row r="116" spans="2:9" ht="27" customHeight="1">
      <c r="B116" s="73" t="str">
        <f ca="1">IFERROR(__xludf.DUMMYFUNCTION("""COMPUTED_VALUE"""),"FORTALENE")</f>
        <v>FORTALENE</v>
      </c>
      <c r="C116" s="73" t="str">
        <f ca="1">IFERROR(__xludf.DUMMYFUNCTION("""COMPUTED_VALUE"""),"CAJA DE 30 TAB.")</f>
        <v>CAJA DE 30 TAB.</v>
      </c>
      <c r="D116" s="73" t="str">
        <f ca="1">IFERROR(__xludf.DUMMYFUNCTION("""COMPUTED_VALUE"""),"ZINC 20MG")</f>
        <v>ZINC 20MG</v>
      </c>
      <c r="E116" s="73" t="str">
        <f ca="1">IFERROR(__xludf.DUMMYFUNCTION("""COMPUTED_VALUE"""),"WINZZER")</f>
        <v>WINZZER</v>
      </c>
      <c r="F116" s="75">
        <f ca="1">IFERROR(__xludf.DUMMYFUNCTION("""COMPUTED_VALUE"""),45834)</f>
        <v>45834</v>
      </c>
      <c r="G116" s="74">
        <f ca="1">IFERROR(__xludf.DUMMYFUNCTION("""COMPUTED_VALUE"""),56)</f>
        <v>56</v>
      </c>
      <c r="H116" s="74">
        <f ca="1">IFERROR(__xludf.DUMMYFUNCTION("""COMPUTED_VALUE"""),78.4)</f>
        <v>78.400000000000006</v>
      </c>
      <c r="I116" s="74">
        <f ca="1">IFERROR(__xludf.DUMMYFUNCTION("""COMPUTED_VALUE"""),80)</f>
        <v>80</v>
      </c>
    </row>
    <row r="117" spans="2:9" ht="27" customHeight="1">
      <c r="B117" s="73" t="str">
        <f ca="1">IFERROR(__xludf.DUMMYFUNCTION("""COMPUTED_VALUE"""),"FORTALENE")</f>
        <v>FORTALENE</v>
      </c>
      <c r="C117" s="73" t="str">
        <f ca="1">IFERROR(__xludf.DUMMYFUNCTION("""COMPUTED_VALUE"""),"FRASCO 120ML. SUSP")</f>
        <v>FRASCO 120ML. SUSP</v>
      </c>
      <c r="D117" s="73" t="str">
        <f ca="1">IFERROR(__xludf.DUMMYFUNCTION("""COMPUTED_VALUE"""),"ZINC 10MG/5ML")</f>
        <v>ZINC 10MG/5ML</v>
      </c>
      <c r="E117" s="73" t="str">
        <f ca="1">IFERROR(__xludf.DUMMYFUNCTION("""COMPUTED_VALUE"""),"WINZZER")</f>
        <v>WINZZER</v>
      </c>
      <c r="F117" s="75">
        <f ca="1">IFERROR(__xludf.DUMMYFUNCTION("""COMPUTED_VALUE"""),45956)</f>
        <v>45956</v>
      </c>
      <c r="G117" s="74">
        <f ca="1">IFERROR(__xludf.DUMMYFUNCTION("""COMPUTED_VALUE"""),56)</f>
        <v>56</v>
      </c>
      <c r="H117" s="74">
        <f ca="1">IFERROR(__xludf.DUMMYFUNCTION("""COMPUTED_VALUE"""),78.4)</f>
        <v>78.400000000000006</v>
      </c>
      <c r="I117" s="74">
        <f ca="1">IFERROR(__xludf.DUMMYFUNCTION("""COMPUTED_VALUE"""),80)</f>
        <v>80</v>
      </c>
    </row>
    <row r="118" spans="2:9" ht="27" customHeight="1">
      <c r="B118" s="73" t="str">
        <f ca="1">IFERROR(__xludf.DUMMYFUNCTION("""COMPUTED_VALUE"""),"FOSFOBAC")</f>
        <v>FOSFOBAC</v>
      </c>
      <c r="C118" s="73" t="str">
        <f ca="1">IFERROR(__xludf.DUMMYFUNCTION("""COMPUTED_VALUE"""),"POLVO PARA SUSP. ORAL")</f>
        <v>POLVO PARA SUSP. ORAL</v>
      </c>
      <c r="D118" s="73" t="str">
        <f ca="1">IFERROR(__xludf.DUMMYFUNCTION("""COMPUTED_VALUE"""),"FOSFOMACINA 3G")</f>
        <v>FOSFOMACINA 3G</v>
      </c>
      <c r="E118" s="73" t="str">
        <f ca="1">IFERROR(__xludf.DUMMYFUNCTION("""COMPUTED_VALUE"""),"QUALIPHARM")</f>
        <v>QUALIPHARM</v>
      </c>
      <c r="F118" s="75">
        <f ca="1">IFERROR(__xludf.DUMMYFUNCTION("""COMPUTED_VALUE"""),45743)</f>
        <v>45743</v>
      </c>
      <c r="G118" s="74">
        <f ca="1">IFERROR(__xludf.DUMMYFUNCTION("""COMPUTED_VALUE"""),60)</f>
        <v>60</v>
      </c>
      <c r="H118" s="74">
        <f ca="1">IFERROR(__xludf.DUMMYFUNCTION("""COMPUTED_VALUE"""),84)</f>
        <v>84</v>
      </c>
      <c r="I118" s="74">
        <f ca="1">IFERROR(__xludf.DUMMYFUNCTION("""COMPUTED_VALUE"""),85)</f>
        <v>85</v>
      </c>
    </row>
    <row r="119" spans="2:9" ht="27" customHeight="1">
      <c r="B119" s="73" t="str">
        <f ca="1">IFERROR(__xludf.DUMMYFUNCTION("""COMPUTED_VALUE"""),"FOSFOMICINA")</f>
        <v>FOSFOMICINA</v>
      </c>
      <c r="C119" s="73" t="str">
        <f ca="1">IFERROR(__xludf.DUMMYFUNCTION("""COMPUTED_VALUE"""),"FRASCO IV 1 G")</f>
        <v>FRASCO IV 1 G</v>
      </c>
      <c r="D119" s="73" t="str">
        <f ca="1">IFERROR(__xludf.DUMMYFUNCTION("""COMPUTED_VALUE"""),"FOSFOMACINA 3G")</f>
        <v>FOSFOMACINA 3G</v>
      </c>
      <c r="E119" s="73" t="str">
        <f ca="1">IFERROR(__xludf.DUMMYFUNCTION("""COMPUTED_VALUE"""),"MEDICAL")</f>
        <v>MEDICAL</v>
      </c>
      <c r="F119" s="75">
        <f ca="1">IFERROR(__xludf.DUMMYFUNCTION("""COMPUTED_VALUE"""),45774)</f>
        <v>45774</v>
      </c>
      <c r="G119" s="74">
        <f ca="1">IFERROR(__xludf.DUMMYFUNCTION("""COMPUTED_VALUE"""),180)</f>
        <v>180</v>
      </c>
      <c r="H119" s="74">
        <f ca="1">IFERROR(__xludf.DUMMYFUNCTION("""COMPUTED_VALUE"""),252)</f>
        <v>252</v>
      </c>
      <c r="I119" s="74">
        <f ca="1">IFERROR(__xludf.DUMMYFUNCTION("""COMPUTED_VALUE"""),260)</f>
        <v>260</v>
      </c>
    </row>
    <row r="120" spans="2:9" ht="27" customHeight="1">
      <c r="B120" s="73" t="str">
        <f ca="1">IFERROR(__xludf.DUMMYFUNCTION("""COMPUTED_VALUE"""),"FRENEX")</f>
        <v>FRENEX</v>
      </c>
      <c r="C120" s="73" t="str">
        <f ca="1">IFERROR(__xludf.DUMMYFUNCTION("""COMPUTED_VALUE"""),"FRASCO 60ML. SUSP")</f>
        <v>FRASCO 60ML. SUSP</v>
      </c>
      <c r="D120" s="73" t="str">
        <f ca="1">IFERROR(__xludf.DUMMYFUNCTION("""COMPUTED_VALUE"""),"NITAZOXANIDA 100MG/5ML")</f>
        <v>NITAZOXANIDA 100MG/5ML</v>
      </c>
      <c r="E120" s="73" t="str">
        <f ca="1">IFERROR(__xludf.DUMMYFUNCTION("""COMPUTED_VALUE"""),"WINZZER")</f>
        <v>WINZZER</v>
      </c>
      <c r="F120" s="75">
        <f ca="1">IFERROR(__xludf.DUMMYFUNCTION("""COMPUTED_VALUE"""),45986)</f>
        <v>45986</v>
      </c>
      <c r="G120" s="74">
        <f ca="1">IFERROR(__xludf.DUMMYFUNCTION("""COMPUTED_VALUE"""),39)</f>
        <v>39</v>
      </c>
      <c r="H120" s="74">
        <f ca="1">IFERROR(__xludf.DUMMYFUNCTION("""COMPUTED_VALUE"""),54.6)</f>
        <v>54.6</v>
      </c>
      <c r="I120" s="74">
        <f ca="1">IFERROR(__xludf.DUMMYFUNCTION("""COMPUTED_VALUE"""),55)</f>
        <v>55</v>
      </c>
    </row>
    <row r="121" spans="2:9" ht="27" customHeight="1">
      <c r="B121" s="73" t="str">
        <f ca="1">IFERROR(__xludf.DUMMYFUNCTION("""COMPUTED_VALUE"""),"FRENEX")</f>
        <v>FRENEX</v>
      </c>
      <c r="C121" s="73" t="str">
        <f ca="1">IFERROR(__xludf.DUMMYFUNCTION("""COMPUTED_VALUE"""),"CAJA 6 TABLETAS")</f>
        <v>CAJA 6 TABLETAS</v>
      </c>
      <c r="D121" s="73" t="str">
        <f ca="1">IFERROR(__xludf.DUMMYFUNCTION("""COMPUTED_VALUE"""),"NITAZOXANIDA 500MG")</f>
        <v>NITAZOXANIDA 500MG</v>
      </c>
      <c r="E121" s="73" t="str">
        <f ca="1">IFERROR(__xludf.DUMMYFUNCTION("""COMPUTED_VALUE"""),"WINZZER")</f>
        <v>WINZZER</v>
      </c>
      <c r="F121" s="75">
        <f ca="1">IFERROR(__xludf.DUMMYFUNCTION("""COMPUTED_VALUE"""),45743)</f>
        <v>45743</v>
      </c>
      <c r="G121" s="74">
        <f ca="1">IFERROR(__xludf.DUMMYFUNCTION("""COMPUTED_VALUE"""),75.4)</f>
        <v>75.400000000000006</v>
      </c>
      <c r="H121" s="74">
        <f ca="1">IFERROR(__xludf.DUMMYFUNCTION("""COMPUTED_VALUE"""),105.56)</f>
        <v>105.56</v>
      </c>
      <c r="I121" s="74">
        <f ca="1">IFERROR(__xludf.DUMMYFUNCTION("""COMPUTED_VALUE"""),105)</f>
        <v>105</v>
      </c>
    </row>
    <row r="122" spans="2:9" ht="27" customHeight="1">
      <c r="B122" s="73" t="str">
        <f ca="1">IFERROR(__xludf.DUMMYFUNCTION("""COMPUTED_VALUE"""),"FUNGITER")</f>
        <v>FUNGITER</v>
      </c>
      <c r="C122" s="73" t="str">
        <f ca="1">IFERROR(__xludf.DUMMYFUNCTION("""COMPUTED_VALUE"""),"AEROSOL")</f>
        <v>AEROSOL</v>
      </c>
      <c r="D122" s="73" t="str">
        <f ca="1">IFERROR(__xludf.DUMMYFUNCTION("""COMPUTED_VALUE"""),"TERBINAFINA HCI 1%")</f>
        <v>TERBINAFINA HCI 1%</v>
      </c>
      <c r="E122" s="73" t="str">
        <f ca="1">IFERROR(__xludf.DUMMYFUNCTION("""COMPUTED_VALUE"""),"MEDPHARMA")</f>
        <v>MEDPHARMA</v>
      </c>
      <c r="F122" s="75">
        <f ca="1">IFERROR(__xludf.DUMMYFUNCTION("""COMPUTED_VALUE"""),45803)</f>
        <v>45803</v>
      </c>
      <c r="G122" s="74">
        <f ca="1">IFERROR(__xludf.DUMMYFUNCTION("""COMPUTED_VALUE"""),47.71)</f>
        <v>47.71</v>
      </c>
      <c r="H122" s="74">
        <f ca="1">IFERROR(__xludf.DUMMYFUNCTION("""COMPUTED_VALUE"""),66.794)</f>
        <v>66.793999999999997</v>
      </c>
      <c r="I122" s="74">
        <f ca="1">IFERROR(__xludf.DUMMYFUNCTION("""COMPUTED_VALUE"""),70)</f>
        <v>70</v>
      </c>
    </row>
    <row r="123" spans="2:9" ht="27" customHeight="1">
      <c r="B123" s="73" t="str">
        <f ca="1">IFERROR(__xludf.DUMMYFUNCTION("""COMPUTED_VALUE"""),"FUROSEMIDA")</f>
        <v>FUROSEMIDA</v>
      </c>
      <c r="C123" s="73" t="str">
        <f ca="1">IFERROR(__xludf.DUMMYFUNCTION("""COMPUTED_VALUE"""),"AMPOLLA 2ML")</f>
        <v>AMPOLLA 2ML</v>
      </c>
      <c r="D123" s="73" t="str">
        <f ca="1">IFERROR(__xludf.DUMMYFUNCTION("""COMPUTED_VALUE"""),"FUROSEMIDA 20MG")</f>
        <v>FUROSEMIDA 20MG</v>
      </c>
      <c r="E123" s="73" t="str">
        <f ca="1">IFERROR(__xludf.DUMMYFUNCTION("""COMPUTED_VALUE"""),"SOLUCIONES MÈDICAS")</f>
        <v>SOLUCIONES MÈDICAS</v>
      </c>
      <c r="F123" s="75">
        <f ca="1">IFERROR(__xludf.DUMMYFUNCTION("""COMPUTED_VALUE"""),45926)</f>
        <v>45926</v>
      </c>
      <c r="G123" s="74">
        <f ca="1">IFERROR(__xludf.DUMMYFUNCTION("""COMPUTED_VALUE"""),3.25)</f>
        <v>3.25</v>
      </c>
      <c r="H123" s="74">
        <f ca="1">IFERROR(__xludf.DUMMYFUNCTION("""COMPUTED_VALUE"""),4.55)</f>
        <v>4.55</v>
      </c>
      <c r="I123" s="74">
        <f ca="1">IFERROR(__xludf.DUMMYFUNCTION("""COMPUTED_VALUE"""),30)</f>
        <v>30</v>
      </c>
    </row>
    <row r="124" spans="2:9" ht="27" customHeight="1">
      <c r="B124" s="73" t="str">
        <f ca="1">IFERROR(__xludf.DUMMYFUNCTION("""COMPUTED_VALUE"""),"FUROSEMIDA MK")</f>
        <v>FUROSEMIDA MK</v>
      </c>
      <c r="C124" s="73" t="str">
        <f ca="1">IFERROR(__xludf.DUMMYFUNCTION("""COMPUTED_VALUE"""),"CAJA 50 TABLETAS")</f>
        <v>CAJA 50 TABLETAS</v>
      </c>
      <c r="D124" s="73" t="str">
        <f ca="1">IFERROR(__xludf.DUMMYFUNCTION("""COMPUTED_VALUE"""),"FUROSEMIDA 40MG")</f>
        <v>FUROSEMIDA 40MG</v>
      </c>
      <c r="E124" s="73" t="str">
        <f ca="1">IFERROR(__xludf.DUMMYFUNCTION("""COMPUTED_VALUE"""),"COIDE S.A.")</f>
        <v>COIDE S.A.</v>
      </c>
      <c r="F124" s="73" t="str">
        <f ca="1">IFERROR(__xludf.DUMMYFUNCTION("""COMPUTED_VALUE"""),"feb-30")</f>
        <v>feb-30</v>
      </c>
      <c r="G124" s="74">
        <f ca="1">IFERROR(__xludf.DUMMYFUNCTION("""COMPUTED_VALUE"""),95.84)</f>
        <v>95.84</v>
      </c>
      <c r="H124" s="74">
        <f ca="1">IFERROR(__xludf.DUMMYFUNCTION("""COMPUTED_VALUE"""),134.176)</f>
        <v>134.17599999999999</v>
      </c>
      <c r="I124" s="74">
        <f ca="1">IFERROR(__xludf.DUMMYFUNCTION("""COMPUTED_VALUE"""),135)</f>
        <v>135</v>
      </c>
    </row>
    <row r="125" spans="2:9" ht="27" customHeight="1">
      <c r="B125" s="73" t="str">
        <f ca="1">IFERROR(__xludf.DUMMYFUNCTION("""COMPUTED_VALUE"""),"GABEX PLUS")</f>
        <v>GABEX PLUS</v>
      </c>
      <c r="C125" s="73" t="str">
        <f ca="1">IFERROR(__xludf.DUMMYFUNCTION("""COMPUTED_VALUE"""),"CAJA DE 30 TAB.")</f>
        <v>CAJA DE 30 TAB.</v>
      </c>
      <c r="D125" s="73" t="str">
        <f ca="1">IFERROR(__xludf.DUMMYFUNCTION("""COMPUTED_VALUE"""),"GABAPENTINA + VITAMINAS B1 Y 12")</f>
        <v>GABAPENTINA + VITAMINAS B1 Y 12</v>
      </c>
      <c r="E125" s="73" t="str">
        <f ca="1">IFERROR(__xludf.DUMMYFUNCTION("""COMPUTED_VALUE"""),"MEDPHARMA")</f>
        <v>MEDPHARMA</v>
      </c>
      <c r="F125" s="75">
        <f ca="1">IFERROR(__xludf.DUMMYFUNCTION("""COMPUTED_VALUE"""),45773)</f>
        <v>45773</v>
      </c>
      <c r="G125" s="74">
        <f ca="1">IFERROR(__xludf.DUMMYFUNCTION("""COMPUTED_VALUE"""),132)</f>
        <v>132</v>
      </c>
      <c r="H125" s="74">
        <f ca="1">IFERROR(__xludf.DUMMYFUNCTION("""COMPUTED_VALUE"""),184.8)</f>
        <v>184.8</v>
      </c>
      <c r="I125" s="74">
        <f ca="1">IFERROR(__xludf.DUMMYFUNCTION("""COMPUTED_VALUE"""),220)</f>
        <v>220</v>
      </c>
    </row>
    <row r="126" spans="2:9" ht="27" customHeight="1">
      <c r="B126" s="73" t="str">
        <f ca="1">IFERROR(__xludf.DUMMYFUNCTION("""COMPUTED_VALUE"""),"GASTREXX")</f>
        <v>GASTREXX</v>
      </c>
      <c r="C126" s="73" t="str">
        <f ca="1">IFERROR(__xludf.DUMMYFUNCTION("""COMPUTED_VALUE"""),"CAJA DE 30 CAPSULAS")</f>
        <v>CAJA DE 30 CAPSULAS</v>
      </c>
      <c r="D126" s="73" t="str">
        <f ca="1">IFERROR(__xludf.DUMMYFUNCTION("""COMPUTED_VALUE"""),"ESOMEPRAZOL 40MG")</f>
        <v>ESOMEPRAZOL 40MG</v>
      </c>
      <c r="E126" s="73" t="str">
        <f ca="1">IFERROR(__xludf.DUMMYFUNCTION("""COMPUTED_VALUE"""),"MEDPHARMA")</f>
        <v>MEDPHARMA</v>
      </c>
      <c r="F126" s="75">
        <f ca="1">IFERROR(__xludf.DUMMYFUNCTION("""COMPUTED_VALUE"""),45714)</f>
        <v>45714</v>
      </c>
      <c r="G126" s="74">
        <f ca="1">IFERROR(__xludf.DUMMYFUNCTION("""COMPUTED_VALUE"""),214.03)</f>
        <v>214.03</v>
      </c>
      <c r="H126" s="74">
        <f ca="1">IFERROR(__xludf.DUMMYFUNCTION("""COMPUTED_VALUE"""),299.642)</f>
        <v>299.642</v>
      </c>
      <c r="I126" s="74">
        <f ca="1">IFERROR(__xludf.DUMMYFUNCTION("""COMPUTED_VALUE"""),300)</f>
        <v>300</v>
      </c>
    </row>
    <row r="127" spans="2:9" ht="27" customHeight="1">
      <c r="B127" s="73" t="str">
        <f ca="1">IFERROR(__xludf.DUMMYFUNCTION("""COMPUTED_VALUE"""),"GESIMAX GEL")</f>
        <v>GESIMAX GEL</v>
      </c>
      <c r="C127" s="73" t="str">
        <f ca="1">IFERROR(__xludf.DUMMYFUNCTION("""COMPUTED_VALUE"""),"GEL TOPICO 40G")</f>
        <v>GEL TOPICO 40G</v>
      </c>
      <c r="D127" s="73" t="str">
        <f ca="1">IFERROR(__xludf.DUMMYFUNCTION("""COMPUTED_VALUE"""),"NAPROXENO 10%")</f>
        <v>NAPROXENO 10%</v>
      </c>
      <c r="E127" s="73" t="str">
        <f ca="1">IFERROR(__xludf.DUMMYFUNCTION("""COMPUTED_VALUE"""),"WINZZER")</f>
        <v>WINZZER</v>
      </c>
      <c r="F127" s="75">
        <f ca="1">IFERROR(__xludf.DUMMYFUNCTION("""COMPUTED_VALUE"""),45895)</f>
        <v>45895</v>
      </c>
      <c r="G127" s="74">
        <f ca="1">IFERROR(__xludf.DUMMYFUNCTION("""COMPUTED_VALUE"""),48.57)</f>
        <v>48.57</v>
      </c>
      <c r="H127" s="74">
        <f ca="1">IFERROR(__xludf.DUMMYFUNCTION("""COMPUTED_VALUE"""),67.998)</f>
        <v>67.998000000000005</v>
      </c>
      <c r="I127" s="74">
        <f ca="1">IFERROR(__xludf.DUMMYFUNCTION("""COMPUTED_VALUE"""),70)</f>
        <v>70</v>
      </c>
    </row>
    <row r="128" spans="2:9" ht="27" customHeight="1">
      <c r="B128" s="73" t="str">
        <f ca="1">IFERROR(__xludf.DUMMYFUNCTION("""COMPUTED_VALUE"""),"GLISER-PLUS")</f>
        <v>GLISER-PLUS</v>
      </c>
      <c r="C128" s="73" t="str">
        <f ca="1">IFERROR(__xludf.DUMMYFUNCTION("""COMPUTED_VALUE"""),"CAJA 30 TABLETAS")</f>
        <v>CAJA 30 TABLETAS</v>
      </c>
      <c r="D128" s="73" t="str">
        <f ca="1">IFERROR(__xludf.DUMMYFUNCTION("""COMPUTED_VALUE"""),"METFORMINA + GLIMEPIRIDE")</f>
        <v>METFORMINA + GLIMEPIRIDE</v>
      </c>
      <c r="E128" s="73" t="str">
        <f ca="1">IFERROR(__xludf.DUMMYFUNCTION("""COMPUTED_VALUE"""),"FRAMA SWISS")</f>
        <v>FRAMA SWISS</v>
      </c>
      <c r="F128" s="75">
        <f ca="1">IFERROR(__xludf.DUMMYFUNCTION("""COMPUTED_VALUE"""),45956)</f>
        <v>45956</v>
      </c>
      <c r="G128" s="74">
        <f ca="1">IFERROR(__xludf.DUMMYFUNCTION("""COMPUTED_VALUE"""),125)</f>
        <v>125</v>
      </c>
      <c r="H128" s="74">
        <f ca="1">IFERROR(__xludf.DUMMYFUNCTION("""COMPUTED_VALUE"""),175)</f>
        <v>175</v>
      </c>
      <c r="I128" s="74">
        <f ca="1">IFERROR(__xludf.DUMMYFUNCTION("""COMPUTED_VALUE"""),175)</f>
        <v>175</v>
      </c>
    </row>
    <row r="129" spans="2:9" ht="27" customHeight="1">
      <c r="B129" s="73" t="str">
        <f ca="1">IFERROR(__xludf.DUMMYFUNCTION("""COMPUTED_VALUE"""),"GLUCONATO D CALCIO 10%")</f>
        <v>GLUCONATO D CALCIO 10%</v>
      </c>
      <c r="C129" s="73" t="str">
        <f ca="1">IFERROR(__xludf.DUMMYFUNCTION("""COMPUTED_VALUE"""),"AMPOLLA")</f>
        <v>AMPOLLA</v>
      </c>
      <c r="D129" s="73" t="str">
        <f ca="1">IFERROR(__xludf.DUMMYFUNCTION("""COMPUTED_VALUE"""),"CALCIO")</f>
        <v>CALCIO</v>
      </c>
      <c r="E129" s="73" t="str">
        <f ca="1">IFERROR(__xludf.DUMMYFUNCTION("""COMPUTED_VALUE"""),"SOLUCIONES MÈDICAS")</f>
        <v>SOLUCIONES MÈDICAS</v>
      </c>
      <c r="F129" s="75">
        <f ca="1">IFERROR(__xludf.DUMMYFUNCTION("""COMPUTED_VALUE"""),45834)</f>
        <v>45834</v>
      </c>
      <c r="G129" s="74">
        <f ca="1">IFERROR(__xludf.DUMMYFUNCTION("""COMPUTED_VALUE"""),8.07)</f>
        <v>8.07</v>
      </c>
      <c r="H129" s="74">
        <f ca="1">IFERROR(__xludf.DUMMYFUNCTION("""COMPUTED_VALUE"""),11.298)</f>
        <v>11.298</v>
      </c>
      <c r="I129" s="74">
        <f ca="1">IFERROR(__xludf.DUMMYFUNCTION("""COMPUTED_VALUE"""),100)</f>
        <v>100</v>
      </c>
    </row>
    <row r="130" spans="2:9" ht="27" customHeight="1">
      <c r="B130" s="73" t="str">
        <f ca="1">IFERROR(__xludf.DUMMYFUNCTION("""COMPUTED_VALUE"""),"HIDRALAZINA")</f>
        <v>HIDRALAZINA</v>
      </c>
      <c r="C130" s="73" t="str">
        <f ca="1">IFERROR(__xludf.DUMMYFUNCTION("""COMPUTED_VALUE"""),"AMPOLLA 1ML")</f>
        <v>AMPOLLA 1ML</v>
      </c>
      <c r="D130" s="73" t="str">
        <f ca="1">IFERROR(__xludf.DUMMYFUNCTION("""COMPUTED_VALUE"""),"HIDRALAZINA CLORIDRATO")</f>
        <v>HIDRALAZINA CLORIDRATO</v>
      </c>
      <c r="E130" s="73" t="str">
        <f ca="1">IFERROR(__xludf.DUMMYFUNCTION("""COMPUTED_VALUE"""),"SOLUCIONES MÈDICAS")</f>
        <v>SOLUCIONES MÈDICAS</v>
      </c>
      <c r="F130" s="75">
        <f ca="1">IFERROR(__xludf.DUMMYFUNCTION("""COMPUTED_VALUE"""),45743)</f>
        <v>45743</v>
      </c>
      <c r="G130" s="74">
        <f ca="1">IFERROR(__xludf.DUMMYFUNCTION("""COMPUTED_VALUE"""),75)</f>
        <v>75</v>
      </c>
      <c r="H130" s="74">
        <f ca="1">IFERROR(__xludf.DUMMYFUNCTION("""COMPUTED_VALUE"""),105)</f>
        <v>105</v>
      </c>
      <c r="I130" s="74">
        <f ca="1">IFERROR(__xludf.DUMMYFUNCTION("""COMPUTED_VALUE"""),110)</f>
        <v>110</v>
      </c>
    </row>
    <row r="131" spans="2:9" ht="27" customHeight="1">
      <c r="B131" s="73" t="str">
        <f ca="1">IFERROR(__xludf.DUMMYFUNCTION("""COMPUTED_VALUE"""),"HIMCOCID")</f>
        <v>HIMCOCID</v>
      </c>
      <c r="C131" s="73" t="str">
        <f ca="1">IFERROR(__xludf.DUMMYFUNCTION("""COMPUTED_VALUE"""),"FRASCO 200ML")</f>
        <v>FRASCO 200ML</v>
      </c>
      <c r="D131" s="73" t="str">
        <f ca="1">IFERROR(__xludf.DUMMYFUNCTION("""COMPUTED_VALUE"""),"VERATICA, DUGDHAPASHANA, MOUKTIKA")</f>
        <v>VERATICA, DUGDHAPASHANA, MOUKTIKA</v>
      </c>
      <c r="E131" s="73" t="str">
        <f ca="1">IFERROR(__xludf.DUMMYFUNCTION("""COMPUTED_VALUE"""),"HIMALAYA")</f>
        <v>HIMALAYA</v>
      </c>
      <c r="F131" s="75">
        <f ca="1">IFERROR(__xludf.DUMMYFUNCTION("""COMPUTED_VALUE"""),45956)</f>
        <v>45956</v>
      </c>
      <c r="G131" s="74">
        <f ca="1">IFERROR(__xludf.DUMMYFUNCTION("""COMPUTED_VALUE"""),52.4)</f>
        <v>52.4</v>
      </c>
      <c r="H131" s="74">
        <f ca="1">IFERROR(__xludf.DUMMYFUNCTION("""COMPUTED_VALUE"""),73.36)</f>
        <v>73.36</v>
      </c>
      <c r="I131" s="74">
        <f ca="1">IFERROR(__xludf.DUMMYFUNCTION("""COMPUTED_VALUE"""),75)</f>
        <v>75</v>
      </c>
    </row>
    <row r="132" spans="2:9" ht="27" customHeight="1">
      <c r="B132" s="73" t="str">
        <f ca="1">IFERROR(__xludf.DUMMYFUNCTION("""COMPUTED_VALUE"""),"ILACOX/MELOXICAN")</f>
        <v>ILACOX/MELOXICAN</v>
      </c>
      <c r="C132" s="73" t="str">
        <f ca="1">IFERROR(__xludf.DUMMYFUNCTION("""COMPUTED_VALUE"""),"SOLUCION INYECTABLE")</f>
        <v>SOLUCION INYECTABLE</v>
      </c>
      <c r="D132" s="73" t="str">
        <f ca="1">IFERROR(__xludf.DUMMYFUNCTION("""COMPUTED_VALUE"""),"el dolor, la sensibilidad, la inflamación y la rigidez ocasionados por la osteoartritis")</f>
        <v>el dolor, la sensibilidad, la inflamación y la rigidez ocasionados por la osteoartritis</v>
      </c>
      <c r="E132" s="73" t="str">
        <f ca="1">IFERROR(__xludf.DUMMYFUNCTION("""COMPUTED_VALUE"""),"UNIPHARM")</f>
        <v>UNIPHARM</v>
      </c>
      <c r="F132" s="75">
        <f ca="1">IFERROR(__xludf.DUMMYFUNCTION("""COMPUTED_VALUE"""),45927)</f>
        <v>45927</v>
      </c>
      <c r="G132" s="74">
        <f ca="1">IFERROR(__xludf.DUMMYFUNCTION("""COMPUTED_VALUE"""),28.63)</f>
        <v>28.63</v>
      </c>
      <c r="H132" s="74">
        <f ca="1">IFERROR(__xludf.DUMMYFUNCTION("""COMPUTED_VALUE"""),40.082)</f>
        <v>40.082000000000001</v>
      </c>
      <c r="I132" s="74">
        <f ca="1">IFERROR(__xludf.DUMMYFUNCTION("""COMPUTED_VALUE"""),50)</f>
        <v>50</v>
      </c>
    </row>
    <row r="133" spans="2:9" ht="27" customHeight="1">
      <c r="B133" s="73" t="str">
        <f ca="1">IFERROR(__xludf.DUMMYFUNCTION("""COMPUTED_VALUE"""),"I.R.S.")</f>
        <v>I.R.S.</v>
      </c>
      <c r="C133" s="73" t="str">
        <f ca="1">IFERROR(__xludf.DUMMYFUNCTION("""COMPUTED_VALUE"""),"GOTAS PEDIA. NASAL 20ML")</f>
        <v>GOTAS PEDIA. NASAL 20ML</v>
      </c>
      <c r="D133" s="73" t="str">
        <f ca="1">IFERROR(__xludf.DUMMYFUNCTION("""COMPUTED_VALUE"""),"ACETAMINOFEN, CLORHIDRATO DE FENILEFRINA, MALEATO DE BROMFENIRAMINA")</f>
        <v>ACETAMINOFEN, CLORHIDRATO DE FENILEFRINA, MALEATO DE BROMFENIRAMINA</v>
      </c>
      <c r="E133" s="73" t="str">
        <f ca="1">IFERROR(__xludf.DUMMYFUNCTION("""COMPUTED_VALUE"""),"INFASA")</f>
        <v>INFASA</v>
      </c>
      <c r="F133" s="75">
        <f ca="1">IFERROR(__xludf.DUMMYFUNCTION("""COMPUTED_VALUE"""),45865)</f>
        <v>45865</v>
      </c>
      <c r="G133" s="74">
        <f ca="1">IFERROR(__xludf.DUMMYFUNCTION("""COMPUTED_VALUE"""),53.62)</f>
        <v>53.62</v>
      </c>
      <c r="H133" s="74">
        <f ca="1">IFERROR(__xludf.DUMMYFUNCTION("""COMPUTED_VALUE"""),75.068)</f>
        <v>75.067999999999998</v>
      </c>
      <c r="I133" s="74">
        <f ca="1">IFERROR(__xludf.DUMMYFUNCTION("""COMPUTED_VALUE"""),80)</f>
        <v>80</v>
      </c>
    </row>
    <row r="134" spans="2:9" ht="27" customHeight="1">
      <c r="B134" s="73" t="str">
        <f ca="1">IFERROR(__xludf.DUMMYFUNCTION("""COMPUTED_VALUE"""),"IBUPROFENO SUSP.")</f>
        <v>IBUPROFENO SUSP.</v>
      </c>
      <c r="C134" s="73" t="str">
        <f ca="1">IFERROR(__xludf.DUMMYFUNCTION("""COMPUTED_VALUE"""),"FRASCO 60ML")</f>
        <v>FRASCO 60ML</v>
      </c>
      <c r="D134" s="73" t="str">
        <f ca="1">IFERROR(__xludf.DUMMYFUNCTION("""COMPUTED_VALUE"""),"IBUPROFENO 100MG.")</f>
        <v>IBUPROFENO 100MG.</v>
      </c>
      <c r="E134" s="73" t="str">
        <f ca="1">IFERROR(__xludf.DUMMYFUNCTION("""COMPUTED_VALUE"""),"UMEDICA")</f>
        <v>UMEDICA</v>
      </c>
      <c r="F134" s="75">
        <f ca="1">IFERROR(__xludf.DUMMYFUNCTION("""COMPUTED_VALUE"""),45866)</f>
        <v>45866</v>
      </c>
      <c r="G134" s="74">
        <f ca="1">IFERROR(__xludf.DUMMYFUNCTION("""COMPUTED_VALUE"""),10.5)</f>
        <v>10.5</v>
      </c>
      <c r="H134" s="74">
        <f ca="1">IFERROR(__xludf.DUMMYFUNCTION("""COMPUTED_VALUE"""),14.7)</f>
        <v>14.7</v>
      </c>
      <c r="I134" s="74">
        <f ca="1">IFERROR(__xludf.DUMMYFUNCTION("""COMPUTED_VALUE"""),15)</f>
        <v>15</v>
      </c>
    </row>
    <row r="135" spans="2:9" ht="27" customHeight="1">
      <c r="B135" s="73" t="str">
        <f ca="1">IFERROR(__xludf.DUMMYFUNCTION("""COMPUTED_VALUE"""),"IMIPENEM+ CILASTATINA")</f>
        <v>IMIPENEM+ CILASTATINA</v>
      </c>
      <c r="C135" s="73" t="str">
        <f ca="1">IFERROR(__xludf.DUMMYFUNCTION("""COMPUTED_VALUE"""),"FRASCO 0.05 POLVO")</f>
        <v>FRASCO 0.05 POLVO</v>
      </c>
      <c r="D135" s="73" t="str">
        <f ca="1">IFERROR(__xludf.DUMMYFUNCTION("""COMPUTED_VALUE"""),"infección de las válvulas y revestimiento del corazón")</f>
        <v>infección de las válvulas y revestimiento del corazón</v>
      </c>
      <c r="E135" s="73" t="str">
        <f ca="1">IFERROR(__xludf.DUMMYFUNCTION("""COMPUTED_VALUE"""),"VITALIS")</f>
        <v>VITALIS</v>
      </c>
      <c r="F135" s="75">
        <f ca="1">IFERROR(__xludf.DUMMYFUNCTION("""COMPUTED_VALUE"""),45869)</f>
        <v>45869</v>
      </c>
      <c r="G135" s="74">
        <f ca="1">IFERROR(__xludf.DUMMYFUNCTION("""COMPUTED_VALUE"""),48)</f>
        <v>48</v>
      </c>
      <c r="H135" s="74">
        <f ca="1">IFERROR(__xludf.DUMMYFUNCTION("""COMPUTED_VALUE"""),67.2)</f>
        <v>67.2</v>
      </c>
      <c r="I135" s="74">
        <f ca="1">IFERROR(__xludf.DUMMYFUNCTION("""COMPUTED_VALUE"""),75)</f>
        <v>75</v>
      </c>
    </row>
    <row r="136" spans="2:9" ht="27" customHeight="1">
      <c r="B136" s="73" t="str">
        <f ca="1">IFERROR(__xludf.DUMMYFUNCTION("""COMPUTED_VALUE"""),"INMUNOGRIP")</f>
        <v>INMUNOGRIP</v>
      </c>
      <c r="C136" s="73" t="str">
        <f ca="1">IFERROR(__xludf.DUMMYFUNCTION("""COMPUTED_VALUE"""),"FRASCO 180ML")</f>
        <v>FRASCO 180ML</v>
      </c>
      <c r="D136" s="73" t="str">
        <f ca="1">IFERROR(__xludf.DUMMYFUNCTION("""COMPUTED_VALUE"""),"JARABE NATURAL")</f>
        <v>JARABE NATURAL</v>
      </c>
      <c r="E136" s="73" t="str">
        <f ca="1">IFERROR(__xludf.DUMMYFUNCTION("""COMPUTED_VALUE"""),"VIZCAINO")</f>
        <v>VIZCAINO</v>
      </c>
      <c r="F136" s="75">
        <f ca="1">IFERROR(__xludf.DUMMYFUNCTION("""COMPUTED_VALUE"""),45896)</f>
        <v>45896</v>
      </c>
      <c r="G136" s="74">
        <f ca="1">IFERROR(__xludf.DUMMYFUNCTION("""COMPUTED_VALUE"""),92.54)</f>
        <v>92.54</v>
      </c>
      <c r="H136" s="74">
        <f ca="1">IFERROR(__xludf.DUMMYFUNCTION("""COMPUTED_VALUE"""),129.556)</f>
        <v>129.55600000000001</v>
      </c>
      <c r="I136" s="74">
        <f ca="1">IFERROR(__xludf.DUMMYFUNCTION("""COMPUTED_VALUE"""),180)</f>
        <v>180</v>
      </c>
    </row>
    <row r="137" spans="2:9" ht="27" customHeight="1">
      <c r="B137" s="73" t="str">
        <f ca="1">IFERROR(__xludf.DUMMYFUNCTION("""COMPUTED_VALUE"""),"INMUNOPHARA")</f>
        <v>INMUNOPHARA</v>
      </c>
      <c r="C137" s="73" t="str">
        <f ca="1">IFERROR(__xludf.DUMMYFUNCTION("""COMPUTED_VALUE"""),"FRASCO 80ML")</f>
        <v>FRASCO 80ML</v>
      </c>
      <c r="D137" s="73" t="str">
        <f ca="1">IFERROR(__xludf.DUMMYFUNCTION("""COMPUTED_VALUE"""),"EXTRACTO DE PELARGONIO, GLICEROLADO DE EQUINACEA")</f>
        <v>EXTRACTO DE PELARGONIO, GLICEROLADO DE EQUINACEA</v>
      </c>
      <c r="E137" s="73" t="str">
        <f ca="1">IFERROR(__xludf.DUMMYFUNCTION("""COMPUTED_VALUE"""),"PHARA")</f>
        <v>PHARA</v>
      </c>
      <c r="F137" s="75">
        <f ca="1">IFERROR(__xludf.DUMMYFUNCTION("""COMPUTED_VALUE"""),45683)</f>
        <v>45683</v>
      </c>
      <c r="G137" s="74">
        <f ca="1">IFERROR(__xludf.DUMMYFUNCTION("""COMPUTED_VALUE"""),117)</f>
        <v>117</v>
      </c>
      <c r="H137" s="74">
        <f ca="1">IFERROR(__xludf.DUMMYFUNCTION("""COMPUTED_VALUE"""),163.8)</f>
        <v>163.80000000000001</v>
      </c>
      <c r="I137" s="74">
        <f ca="1">IFERROR(__xludf.DUMMYFUNCTION("""COMPUTED_VALUE"""),165)</f>
        <v>165</v>
      </c>
    </row>
    <row r="138" spans="2:9" ht="27" customHeight="1">
      <c r="B138" s="73" t="str">
        <f ca="1">IFERROR(__xludf.DUMMYFUNCTION("""COMPUTED_VALUE"""),"INMUNOPHARA")</f>
        <v>INMUNOPHARA</v>
      </c>
      <c r="C138" s="73" t="str">
        <f ca="1">IFERROR(__xludf.DUMMYFUNCTION("""COMPUTED_VALUE"""),"FRASCO 40ML")</f>
        <v>FRASCO 40ML</v>
      </c>
      <c r="D138" s="73" t="str">
        <f ca="1">IFERROR(__xludf.DUMMYFUNCTION("""COMPUTED_VALUE"""),"EXTRACTO DE PELARGONIO, GLICEROLADO DE EQUINACEA")</f>
        <v>EXTRACTO DE PELARGONIO, GLICEROLADO DE EQUINACEA</v>
      </c>
      <c r="E138" s="73" t="str">
        <f ca="1">IFERROR(__xludf.DUMMYFUNCTION("""COMPUTED_VALUE"""),"PHARA")</f>
        <v>PHARA</v>
      </c>
      <c r="F138" s="75">
        <f ca="1">IFERROR(__xludf.DUMMYFUNCTION("""COMPUTED_VALUE"""),45683)</f>
        <v>45683</v>
      </c>
      <c r="G138" s="74">
        <f ca="1">IFERROR(__xludf.DUMMYFUNCTION("""COMPUTED_VALUE"""),68.8)</f>
        <v>68.8</v>
      </c>
      <c r="H138" s="74">
        <f ca="1">IFERROR(__xludf.DUMMYFUNCTION("""COMPUTED_VALUE"""),96.32)</f>
        <v>96.32</v>
      </c>
      <c r="I138" s="74">
        <f ca="1">IFERROR(__xludf.DUMMYFUNCTION("""COMPUTED_VALUE"""),100)</f>
        <v>100</v>
      </c>
    </row>
    <row r="139" spans="2:9" ht="27" customHeight="1">
      <c r="B139" s="73" t="str">
        <f ca="1">IFERROR(__xludf.DUMMYFUNCTION("""COMPUTED_VALUE"""),"INSULEX N")</f>
        <v>INSULEX N</v>
      </c>
      <c r="C139" s="73" t="str">
        <f ca="1">IFERROR(__xludf.DUMMYFUNCTION("""COMPUTED_VALUE"""),"FRASCO 10ML")</f>
        <v>FRASCO 10ML</v>
      </c>
      <c r="D139" s="73" t="str">
        <f ca="1">IFERROR(__xludf.DUMMYFUNCTION("""COMPUTED_VALUE"""),"INSULINA ISOFONA (INSULINA CRISTALINA)")</f>
        <v>INSULINA ISOFONA (INSULINA CRISTALINA)</v>
      </c>
      <c r="E139" s="73" t="str">
        <f ca="1">IFERROR(__xludf.DUMMYFUNCTION("""COMPUTED_VALUE"""),"PISA")</f>
        <v>PISA</v>
      </c>
      <c r="F139" s="75">
        <f ca="1">IFERROR(__xludf.DUMMYFUNCTION("""COMPUTED_VALUE"""),45684)</f>
        <v>45684</v>
      </c>
      <c r="G139" s="74">
        <f ca="1">IFERROR(__xludf.DUMMYFUNCTION("""COMPUTED_VALUE"""),3)</f>
        <v>3</v>
      </c>
      <c r="H139" s="74">
        <f ca="1">IFERROR(__xludf.DUMMYFUNCTION("""COMPUTED_VALUE"""),4.2)</f>
        <v>4.2</v>
      </c>
      <c r="I139" s="74">
        <f ca="1">IFERROR(__xludf.DUMMYFUNCTION("""COMPUTED_VALUE"""),15)</f>
        <v>15</v>
      </c>
    </row>
    <row r="140" spans="2:9" ht="27" customHeight="1">
      <c r="B140" s="73" t="str">
        <f ca="1">IFERROR(__xludf.DUMMYFUNCTION("""COMPUTED_VALUE"""),"IPRAK 750SP")</f>
        <v>IPRAK 750SP</v>
      </c>
      <c r="C140" s="73" t="str">
        <f ca="1">IFERROR(__xludf.DUMMYFUNCTION("""COMPUTED_VALUE"""),"FRASCO 10ML")</f>
        <v>FRASCO 10ML</v>
      </c>
      <c r="D140" s="73" t="str">
        <f ca="1">IFERROR(__xludf.DUMMYFUNCTION("""COMPUTED_VALUE"""),"BROMURO DE IPATROPIUM 750MCG/1ML")</f>
        <v>BROMURO DE IPATROPIUM 750MCG/1ML</v>
      </c>
      <c r="E140" s="73" t="str">
        <f ca="1">IFERROR(__xludf.DUMMYFUNCTION("""COMPUTED_VALUE"""),"DONOVAN WERKE")</f>
        <v>DONOVAN WERKE</v>
      </c>
      <c r="F140" s="75">
        <f ca="1">IFERROR(__xludf.DUMMYFUNCTION("""COMPUTED_VALUE"""),45715)</f>
        <v>45715</v>
      </c>
      <c r="G140" s="74">
        <f ca="1">IFERROR(__xludf.DUMMYFUNCTION("""COMPUTED_VALUE"""),160)</f>
        <v>160</v>
      </c>
      <c r="H140" s="74">
        <f ca="1">IFERROR(__xludf.DUMMYFUNCTION("""COMPUTED_VALUE"""),224)</f>
        <v>224</v>
      </c>
      <c r="I140" s="74">
        <f ca="1">IFERROR(__xludf.DUMMYFUNCTION("""COMPUTED_VALUE"""),225)</f>
        <v>225</v>
      </c>
    </row>
    <row r="141" spans="2:9" ht="27" customHeight="1">
      <c r="B141" s="73" t="str">
        <f ca="1">IFERROR(__xludf.DUMMYFUNCTION("""COMPUTED_VALUE"""),"ISOCRANEOL")</f>
        <v>ISOCRANEOL</v>
      </c>
      <c r="C141" s="73" t="str">
        <f ca="1">IFERROR(__xludf.DUMMYFUNCTION("""COMPUTED_VALUE"""),"CAJA DE 10 TAB.")</f>
        <v>CAJA DE 10 TAB.</v>
      </c>
      <c r="D141" s="73" t="str">
        <f ca="1">IFERROR(__xludf.DUMMYFUNCTION("""COMPUTED_VALUE"""),"CITICOLINA 500MG")</f>
        <v>CITICOLINA 500MG</v>
      </c>
      <c r="E141" s="73" t="str">
        <f ca="1">IFERROR(__xludf.DUMMYFUNCTION("""COMPUTED_VALUE"""),"VIZCAINO")</f>
        <v>VIZCAINO</v>
      </c>
      <c r="F141" s="75">
        <f ca="1">IFERROR(__xludf.DUMMYFUNCTION("""COMPUTED_VALUE"""),45927)</f>
        <v>45927</v>
      </c>
      <c r="G141" s="74">
        <f ca="1">IFERROR(__xludf.DUMMYFUNCTION("""COMPUTED_VALUE"""),155.8)</f>
        <v>155.80000000000001</v>
      </c>
      <c r="H141" s="74">
        <f ca="1">IFERROR(__xludf.DUMMYFUNCTION("""COMPUTED_VALUE"""),218.12)</f>
        <v>218.12</v>
      </c>
      <c r="I141" s="74">
        <f ca="1">IFERROR(__xludf.DUMMYFUNCTION("""COMPUTED_VALUE"""),220)</f>
        <v>220</v>
      </c>
    </row>
    <row r="142" spans="2:9" ht="27" customHeight="1">
      <c r="B142" s="73" t="str">
        <f ca="1">IFERROR(__xludf.DUMMYFUNCTION("""COMPUTED_VALUE"""),"ISOPRINOSINE 250 MG")</f>
        <v>ISOPRINOSINE 250 MG</v>
      </c>
      <c r="C142" s="73" t="str">
        <f ca="1">IFERROR(__xludf.DUMMYFUNCTION("""COMPUTED_VALUE"""),"JARABE FRASCO 5ML")</f>
        <v>JARABE FRASCO 5ML</v>
      </c>
      <c r="D142" s="73" t="str">
        <f ca="1">IFERROR(__xludf.DUMMYFUNCTION("""COMPUTED_VALUE"""),"METISOPRINOL VIA ORAL 5 ML")</f>
        <v>METISOPRINOL VIA ORAL 5 ML</v>
      </c>
      <c r="E142" s="73" t="str">
        <f ca="1">IFERROR(__xludf.DUMMYFUNCTION("""COMPUTED_VALUE"""),"NEW PORT (RESCO)")</f>
        <v>NEW PORT (RESCO)</v>
      </c>
      <c r="F142" s="75">
        <f ca="1">IFERROR(__xludf.DUMMYFUNCTION("""COMPUTED_VALUE"""),45927)</f>
        <v>45927</v>
      </c>
      <c r="G142" s="74">
        <f ca="1">IFERROR(__xludf.DUMMYFUNCTION("""COMPUTED_VALUE"""),47.17)</f>
        <v>47.17</v>
      </c>
      <c r="H142" s="74">
        <f ca="1">IFERROR(__xludf.DUMMYFUNCTION("""COMPUTED_VALUE"""),66.038)</f>
        <v>66.037999999999997</v>
      </c>
      <c r="I142" s="74">
        <f ca="1">IFERROR(__xludf.DUMMYFUNCTION("""COMPUTED_VALUE"""),70)</f>
        <v>70</v>
      </c>
    </row>
    <row r="143" spans="2:9" ht="27" customHeight="1">
      <c r="B143" s="73" t="str">
        <f ca="1">IFERROR(__xludf.DUMMYFUNCTION("""COMPUTED_VALUE"""),"KEROLAC")</f>
        <v>KEROLAC</v>
      </c>
      <c r="C143" s="73" t="str">
        <f ca="1">IFERROR(__xludf.DUMMYFUNCTION("""COMPUTED_VALUE"""),"AMPOLLA 2ML")</f>
        <v>AMPOLLA 2ML</v>
      </c>
      <c r="D143" s="73" t="str">
        <f ca="1">IFERROR(__xludf.DUMMYFUNCTION("""COMPUTED_VALUE"""),"KETOROLACO TROMETAMOL 60MG/2ML")</f>
        <v>KETOROLACO TROMETAMOL 60MG/2ML</v>
      </c>
      <c r="E143" s="73" t="str">
        <f ca="1">IFERROR(__xludf.DUMMYFUNCTION("""COMPUTED_VALUE"""),"QUALIPHARM")</f>
        <v>QUALIPHARM</v>
      </c>
      <c r="F143" s="75">
        <f ca="1">IFERROR(__xludf.DUMMYFUNCTION("""COMPUTED_VALUE"""),45987)</f>
        <v>45987</v>
      </c>
      <c r="G143" s="74">
        <f ca="1">IFERROR(__xludf.DUMMYFUNCTION("""COMPUTED_VALUE"""),20)</f>
        <v>20</v>
      </c>
      <c r="H143" s="74">
        <f ca="1">IFERROR(__xludf.DUMMYFUNCTION("""COMPUTED_VALUE"""),28)</f>
        <v>28</v>
      </c>
      <c r="I143" s="74">
        <f ca="1">IFERROR(__xludf.DUMMYFUNCTION("""COMPUTED_VALUE"""),35)</f>
        <v>35</v>
      </c>
    </row>
    <row r="144" spans="2:9" ht="27" customHeight="1">
      <c r="B144" s="73" t="str">
        <f ca="1">IFERROR(__xludf.DUMMYFUNCTION("""COMPUTED_VALUE"""),"KETAMINA")</f>
        <v>KETAMINA</v>
      </c>
      <c r="C144" s="73" t="str">
        <f ca="1">IFERROR(__xludf.DUMMYFUNCTION("""COMPUTED_VALUE"""),"SOLUCIÒN INYECTABLE 10ML")</f>
        <v>SOLUCIÒN INYECTABLE 10ML</v>
      </c>
      <c r="D144" s="73" t="str">
        <f ca="1">IFERROR(__xludf.DUMMYFUNCTION("""COMPUTED_VALUE"""),"KETAMINA 50MG/ML")</f>
        <v>KETAMINA 50MG/ML</v>
      </c>
      <c r="E144" s="73" t="str">
        <f ca="1">IFERROR(__xludf.DUMMYFUNCTION("""COMPUTED_VALUE"""),"QUALITY")</f>
        <v>QUALITY</v>
      </c>
      <c r="F144" s="75">
        <f ca="1">IFERROR(__xludf.DUMMYFUNCTION("""COMPUTED_VALUE"""),46018)</f>
        <v>46018</v>
      </c>
      <c r="G144" s="74">
        <f ca="1">IFERROR(__xludf.DUMMYFUNCTION("""COMPUTED_VALUE"""),115)</f>
        <v>115</v>
      </c>
      <c r="H144" s="74">
        <f ca="1">IFERROR(__xludf.DUMMYFUNCTION("""COMPUTED_VALUE"""),161)</f>
        <v>161</v>
      </c>
      <c r="I144" s="74">
        <f ca="1">IFERROR(__xludf.DUMMYFUNCTION("""COMPUTED_VALUE"""),165)</f>
        <v>165</v>
      </c>
    </row>
    <row r="145" spans="2:9" ht="27" customHeight="1">
      <c r="B145" s="73" t="str">
        <f ca="1">IFERROR(__xludf.DUMMYFUNCTION("""COMPUTED_VALUE"""),"KID VIT")</f>
        <v>KID VIT</v>
      </c>
      <c r="C145" s="73" t="str">
        <f ca="1">IFERROR(__xludf.DUMMYFUNCTION("""COMPUTED_VALUE"""),"SPRAY 10ML")</f>
        <v>SPRAY 10ML</v>
      </c>
      <c r="D145" s="73" t="str">
        <f ca="1">IFERROR(__xludf.DUMMYFUNCTION("""COMPUTED_VALUE"""),"SUPLEMENTO ALIMENTICIO")</f>
        <v>SUPLEMENTO ALIMENTICIO</v>
      </c>
      <c r="E145" s="73" t="str">
        <f ca="1">IFERROR(__xludf.DUMMYFUNCTION("""COMPUTED_VALUE"""),"FARMEX")</f>
        <v>FARMEX</v>
      </c>
      <c r="F145" s="75">
        <f ca="1">IFERROR(__xludf.DUMMYFUNCTION("""COMPUTED_VALUE"""),45864)</f>
        <v>45864</v>
      </c>
      <c r="G145" s="74">
        <f ca="1">IFERROR(__xludf.DUMMYFUNCTION("""COMPUTED_VALUE"""),60)</f>
        <v>60</v>
      </c>
      <c r="H145" s="74">
        <f ca="1">IFERROR(__xludf.DUMMYFUNCTION("""COMPUTED_VALUE"""),84)</f>
        <v>84</v>
      </c>
      <c r="I145" s="74">
        <f ca="1">IFERROR(__xludf.DUMMYFUNCTION("""COMPUTED_VALUE"""),85)</f>
        <v>85</v>
      </c>
    </row>
    <row r="146" spans="2:9" ht="27" customHeight="1">
      <c r="B146" s="73" t="str">
        <f ca="1">IFERROR(__xludf.DUMMYFUNCTION("""COMPUTED_VALUE"""),"LACIMEN")</f>
        <v>LACIMEN</v>
      </c>
      <c r="C146" s="73" t="str">
        <f ca="1">IFERROR(__xludf.DUMMYFUNCTION("""COMPUTED_VALUE"""),"AMPOLLA 20ML")</f>
        <v>AMPOLLA 20ML</v>
      </c>
      <c r="D146" s="73" t="str">
        <f ca="1">IFERROR(__xludf.DUMMYFUNCTION("""COMPUTED_VALUE"""),"LABETALOL")</f>
        <v>LABETALOL</v>
      </c>
      <c r="E146" s="73" t="str">
        <f ca="1">IFERROR(__xludf.DUMMYFUNCTION("""COMPUTED_VALUE"""),"MENARINI")</f>
        <v>MENARINI</v>
      </c>
      <c r="F146" s="75">
        <f ca="1">IFERROR(__xludf.DUMMYFUNCTION("""COMPUTED_VALUE"""),45714)</f>
        <v>45714</v>
      </c>
      <c r="G146" s="74">
        <f ca="1">IFERROR(__xludf.DUMMYFUNCTION("""COMPUTED_VALUE"""),190.8)</f>
        <v>190.8</v>
      </c>
      <c r="H146" s="74">
        <f ca="1">IFERROR(__xludf.DUMMYFUNCTION("""COMPUTED_VALUE"""),267.12)</f>
        <v>267.12</v>
      </c>
      <c r="I146" s="74">
        <f ca="1">IFERROR(__xludf.DUMMYFUNCTION("""COMPUTED_VALUE"""),270)</f>
        <v>270</v>
      </c>
    </row>
    <row r="147" spans="2:9" ht="27" customHeight="1">
      <c r="B147" s="73" t="str">
        <f ca="1">IFERROR(__xludf.DUMMYFUNCTION("""COMPUTED_VALUE"""),"LAXIGLICOL")</f>
        <v>LAXIGLICOL</v>
      </c>
      <c r="C147" s="73" t="str">
        <f ca="1">IFERROR(__xludf.DUMMYFUNCTION("""COMPUTED_VALUE"""),"FRASCO 119G")</f>
        <v>FRASCO 119G</v>
      </c>
      <c r="D147" s="73" t="str">
        <f ca="1">IFERROR(__xludf.DUMMYFUNCTION("""COMPUTED_VALUE"""),"POLIETILENGLICOL")</f>
        <v>POLIETILENGLICOL</v>
      </c>
      <c r="E147" s="73" t="str">
        <f ca="1">IFERROR(__xludf.DUMMYFUNCTION("""COMPUTED_VALUE"""),"QUALIPHARM")</f>
        <v>QUALIPHARM</v>
      </c>
      <c r="F147" s="75">
        <f ca="1">IFERROR(__xludf.DUMMYFUNCTION("""COMPUTED_VALUE"""),45836)</f>
        <v>45836</v>
      </c>
      <c r="G147" s="74">
        <f ca="1">IFERROR(__xludf.DUMMYFUNCTION("""COMPUTED_VALUE"""),65)</f>
        <v>65</v>
      </c>
      <c r="H147" s="74">
        <f ca="1">IFERROR(__xludf.DUMMYFUNCTION("""COMPUTED_VALUE"""),91)</f>
        <v>91</v>
      </c>
      <c r="I147" s="74">
        <f ca="1">IFERROR(__xludf.DUMMYFUNCTION("""COMPUTED_VALUE"""),90)</f>
        <v>90</v>
      </c>
    </row>
    <row r="148" spans="2:9" ht="27" customHeight="1">
      <c r="B148" s="73" t="str">
        <f ca="1">IFERROR(__xludf.DUMMYFUNCTION("""COMPUTED_VALUE"""),"LEVEN-VIT FORTE")</f>
        <v>LEVEN-VIT FORTE</v>
      </c>
      <c r="C148" s="73" t="str">
        <f ca="1">IFERROR(__xludf.DUMMYFUNCTION("""COMPUTED_VALUE"""),"CAJA 10 AMP. BEBIBLES")</f>
        <v>CAJA 10 AMP. BEBIBLES</v>
      </c>
      <c r="D148" s="73" t="str">
        <f ca="1">IFERROR(__xludf.DUMMYFUNCTION("""COMPUTED_VALUE"""),"ASPARTATO DE ARGININA")</f>
        <v>ASPARTATO DE ARGININA</v>
      </c>
      <c r="E148" s="73" t="str">
        <f ca="1">IFERROR(__xludf.DUMMYFUNCTION("""COMPUTED_VALUE"""),"LEVEN/RESCO")</f>
        <v>LEVEN/RESCO</v>
      </c>
      <c r="F148" s="73" t="str">
        <f ca="1">IFERROR(__xludf.DUMMYFUNCTION("""COMPUTED_VALUE"""),"feb-29")</f>
        <v>feb-29</v>
      </c>
      <c r="G148" s="74">
        <f ca="1">IFERROR(__xludf.DUMMYFUNCTION("""COMPUTED_VALUE"""),71.57)</f>
        <v>71.569999999999993</v>
      </c>
      <c r="H148" s="74">
        <f ca="1">IFERROR(__xludf.DUMMYFUNCTION("""COMPUTED_VALUE"""),100.198)</f>
        <v>100.19799999999999</v>
      </c>
      <c r="I148" s="74">
        <f ca="1">IFERROR(__xludf.DUMMYFUNCTION("""COMPUTED_VALUE"""),115)</f>
        <v>115</v>
      </c>
    </row>
    <row r="149" spans="2:9" ht="27" customHeight="1">
      <c r="B149" s="73" t="str">
        <f ca="1">IFERROR(__xludf.DUMMYFUNCTION("""COMPUTED_VALUE"""),"LEVOFLAXIN 500MG")</f>
        <v>LEVOFLAXIN 500MG</v>
      </c>
      <c r="C149" s="73" t="str">
        <f ca="1">IFERROR(__xludf.DUMMYFUNCTION("""COMPUTED_VALUE"""),"CAJA 7 TAB.")</f>
        <v>CAJA 7 TAB.</v>
      </c>
      <c r="D149" s="73" t="str">
        <f ca="1">IFERROR(__xludf.DUMMYFUNCTION("""COMPUTED_VALUE"""),"LEVOFLOXACINA 500MG")</f>
        <v>LEVOFLOXACINA 500MG</v>
      </c>
      <c r="E149" s="73" t="str">
        <f ca="1">IFERROR(__xludf.DUMMYFUNCTION("""COMPUTED_VALUE"""),"WINZZER")</f>
        <v>WINZZER</v>
      </c>
      <c r="F149" s="75">
        <f ca="1">IFERROR(__xludf.DUMMYFUNCTION("""COMPUTED_VALUE"""),45742)</f>
        <v>45742</v>
      </c>
      <c r="G149" s="74">
        <f ca="1">IFERROR(__xludf.DUMMYFUNCTION("""COMPUTED_VALUE"""),100)</f>
        <v>100</v>
      </c>
      <c r="H149" s="74">
        <f ca="1">IFERROR(__xludf.DUMMYFUNCTION("""COMPUTED_VALUE"""),140)</f>
        <v>140</v>
      </c>
      <c r="I149" s="74">
        <f ca="1">IFERROR(__xludf.DUMMYFUNCTION("""COMPUTED_VALUE"""),180)</f>
        <v>180</v>
      </c>
    </row>
    <row r="150" spans="2:9" ht="27" customHeight="1">
      <c r="B150" s="73" t="str">
        <f ca="1">IFERROR(__xludf.DUMMYFUNCTION("""COMPUTED_VALUE"""),"LEVOFLAXIN 750MG")</f>
        <v>LEVOFLAXIN 750MG</v>
      </c>
      <c r="C150" s="73" t="str">
        <f ca="1">IFERROR(__xludf.DUMMYFUNCTION("""COMPUTED_VALUE"""),"CAJA 5 TAB.")</f>
        <v>CAJA 5 TAB.</v>
      </c>
      <c r="D150" s="73" t="str">
        <f ca="1">IFERROR(__xludf.DUMMYFUNCTION("""COMPUTED_VALUE"""),"LEVOFLOXACINA 750MG")</f>
        <v>LEVOFLOXACINA 750MG</v>
      </c>
      <c r="E150" s="73" t="str">
        <f ca="1">IFERROR(__xludf.DUMMYFUNCTION("""COMPUTED_VALUE"""),"WINZZER")</f>
        <v>WINZZER</v>
      </c>
      <c r="F150" s="75">
        <f ca="1">IFERROR(__xludf.DUMMYFUNCTION("""COMPUTED_VALUE"""),45956)</f>
        <v>45956</v>
      </c>
      <c r="G150" s="74">
        <f ca="1">IFERROR(__xludf.DUMMYFUNCTION("""COMPUTED_VALUE"""),126)</f>
        <v>126</v>
      </c>
      <c r="H150" s="74">
        <f ca="1">IFERROR(__xludf.DUMMYFUNCTION("""COMPUTED_VALUE"""),176.4)</f>
        <v>176.4</v>
      </c>
      <c r="I150" s="74">
        <f ca="1">IFERROR(__xludf.DUMMYFUNCTION("""COMPUTED_VALUE"""),200)</f>
        <v>200</v>
      </c>
    </row>
    <row r="151" spans="2:9" ht="27" customHeight="1">
      <c r="B151" s="73" t="str">
        <f ca="1">IFERROR(__xludf.DUMMYFUNCTION("""COMPUTED_VALUE"""),"LIDOCAINA SIMPLE")</f>
        <v>LIDOCAINA SIMPLE</v>
      </c>
      <c r="C151" s="73" t="str">
        <f ca="1">IFERROR(__xludf.DUMMYFUNCTION("""COMPUTED_VALUE"""),"FRASCO 50ML")</f>
        <v>FRASCO 50ML</v>
      </c>
      <c r="D151" s="73" t="str">
        <f ca="1">IFERROR(__xludf.DUMMYFUNCTION("""COMPUTED_VALUE"""),"LIDOCAINA CLORHIDRATO")</f>
        <v>LIDOCAINA CLORHIDRATO</v>
      </c>
      <c r="E151" s="73" t="str">
        <f ca="1">IFERROR(__xludf.DUMMYFUNCTION("""COMPUTED_VALUE"""),"VITALIS")</f>
        <v>VITALIS</v>
      </c>
      <c r="F151" s="75">
        <f ca="1">IFERROR(__xludf.DUMMYFUNCTION("""COMPUTED_VALUE"""),45896)</f>
        <v>45896</v>
      </c>
      <c r="G151" s="74">
        <f ca="1">IFERROR(__xludf.DUMMYFUNCTION("""COMPUTED_VALUE"""),32)</f>
        <v>32</v>
      </c>
      <c r="H151" s="74">
        <f ca="1">IFERROR(__xludf.DUMMYFUNCTION("""COMPUTED_VALUE"""),44.8)</f>
        <v>44.8</v>
      </c>
      <c r="I151" s="74">
        <f ca="1">IFERROR(__xludf.DUMMYFUNCTION("""COMPUTED_VALUE"""),50)</f>
        <v>50</v>
      </c>
    </row>
    <row r="152" spans="2:9" ht="27" customHeight="1">
      <c r="B152" s="73" t="str">
        <f ca="1">IFERROR(__xludf.DUMMYFUNCTION("""COMPUTED_VALUE"""),"LIMTOX")</f>
        <v>LIMTOX</v>
      </c>
      <c r="C152" s="73" t="str">
        <f ca="1">IFERROR(__xludf.DUMMYFUNCTION("""COMPUTED_VALUE"""),"CAJA 60 SOBRES")</f>
        <v>CAJA 60 SOBRES</v>
      </c>
      <c r="D152" s="73" t="str">
        <f ca="1">IFERROR(__xludf.DUMMYFUNCTION("""COMPUTED_VALUE"""),"LIMTOX")</f>
        <v>LIMTOX</v>
      </c>
      <c r="E152" s="73" t="str">
        <f ca="1">IFERROR(__xludf.DUMMYFUNCTION("""COMPUTED_VALUE"""),"PHARMALAT")</f>
        <v>PHARMALAT</v>
      </c>
      <c r="F152" s="75">
        <f ca="1">IFERROR(__xludf.DUMMYFUNCTION("""COMPUTED_VALUE"""),45956)</f>
        <v>45956</v>
      </c>
      <c r="G152" s="74">
        <f ca="1">IFERROR(__xludf.DUMMYFUNCTION("""COMPUTED_VALUE"""),690)</f>
        <v>690</v>
      </c>
      <c r="H152" s="74">
        <f ca="1">IFERROR(__xludf.DUMMYFUNCTION("""COMPUTED_VALUE"""),966)</f>
        <v>966</v>
      </c>
      <c r="I152" s="74">
        <f ca="1">IFERROR(__xludf.DUMMYFUNCTION("""COMPUTED_VALUE"""),970)</f>
        <v>970</v>
      </c>
    </row>
    <row r="153" spans="2:9" ht="27" customHeight="1">
      <c r="B153" s="73" t="str">
        <f ca="1">IFERROR(__xludf.DUMMYFUNCTION("""COMPUTED_VALUE"""),"LIV.52 DS")</f>
        <v>LIV.52 DS</v>
      </c>
      <c r="C153" s="73" t="str">
        <f ca="1">IFERROR(__xludf.DUMMYFUNCTION("""COMPUTED_VALUE"""),"FRACO DE 60 TAB.")</f>
        <v>FRACO DE 60 TAB.</v>
      </c>
      <c r="D153" s="73" t="str">
        <f ca="1">IFERROR(__xludf.DUMMYFUNCTION("""COMPUTED_VALUE"""),"LIV.52DS")</f>
        <v>LIV.52DS</v>
      </c>
      <c r="E153" s="73" t="str">
        <f ca="1">IFERROR(__xludf.DUMMYFUNCTION("""COMPUTED_VALUE"""),"HIMALAYA")</f>
        <v>HIMALAYA</v>
      </c>
      <c r="F153" s="75">
        <f ca="1">IFERROR(__xludf.DUMMYFUNCTION("""COMPUTED_VALUE"""),45926)</f>
        <v>45926</v>
      </c>
      <c r="G153" s="74">
        <f ca="1">IFERROR(__xludf.DUMMYFUNCTION("""COMPUTED_VALUE"""),124.6)</f>
        <v>124.6</v>
      </c>
      <c r="H153" s="74">
        <f ca="1">IFERROR(__xludf.DUMMYFUNCTION("""COMPUTED_VALUE"""),174.44)</f>
        <v>174.44</v>
      </c>
      <c r="I153" s="74">
        <f ca="1">IFERROR(__xludf.DUMMYFUNCTION("""COMPUTED_VALUE"""),175)</f>
        <v>175</v>
      </c>
    </row>
    <row r="154" spans="2:9" ht="27" customHeight="1">
      <c r="B154" s="73" t="str">
        <f ca="1">IFERROR(__xludf.DUMMYFUNCTION("""COMPUTED_VALUE"""),"LOPERAMIDA MK")</f>
        <v>LOPERAMIDA MK</v>
      </c>
      <c r="C154" s="73" t="str">
        <f ca="1">IFERROR(__xludf.DUMMYFUNCTION("""COMPUTED_VALUE"""),"CAJA DE 30 TABL.")</f>
        <v>CAJA DE 30 TABL.</v>
      </c>
      <c r="D154" s="73" t="str">
        <f ca="1">IFERROR(__xludf.DUMMYFUNCTION("""COMPUTED_VALUE"""),"LOPERAMIDE HUDROCHLORIDE")</f>
        <v>LOPERAMIDE HUDROCHLORIDE</v>
      </c>
      <c r="E154" s="73" t="str">
        <f ca="1">IFERROR(__xludf.DUMMYFUNCTION("""COMPUTED_VALUE"""),"SELECTPHARMA")</f>
        <v>SELECTPHARMA</v>
      </c>
      <c r="F154" s="75">
        <f ca="1">IFERROR(__xludf.DUMMYFUNCTION("""COMPUTED_VALUE"""),45804)</f>
        <v>45804</v>
      </c>
      <c r="G154" s="74">
        <f ca="1">IFERROR(__xludf.DUMMYFUNCTION("""COMPUTED_VALUE"""),12.97)</f>
        <v>12.97</v>
      </c>
      <c r="H154" s="74">
        <f ca="1">IFERROR(__xludf.DUMMYFUNCTION("""COMPUTED_VALUE"""),18.158)</f>
        <v>18.158000000000001</v>
      </c>
      <c r="I154" s="74">
        <f ca="1">IFERROR(__xludf.DUMMYFUNCTION("""COMPUTED_VALUE"""),20)</f>
        <v>20</v>
      </c>
    </row>
    <row r="155" spans="2:9" ht="27" customHeight="1">
      <c r="B155" s="73" t="str">
        <f ca="1">IFERROR(__xludf.DUMMYFUNCTION("""COMPUTED_VALUE"""),"LOTRIAL")</f>
        <v>LOTRIAL</v>
      </c>
      <c r="C155" s="73" t="str">
        <f ca="1">IFERROR(__xludf.DUMMYFUNCTION("""COMPUTED_VALUE"""),"AMPOLLA 2ML")</f>
        <v>AMPOLLA 2ML</v>
      </c>
      <c r="D155" s="73" t="str">
        <f ca="1">IFERROR(__xludf.DUMMYFUNCTION("""COMPUTED_VALUE"""),"ENALAPRILATO")</f>
        <v>ENALAPRILATO</v>
      </c>
      <c r="E155" s="73" t="str">
        <f ca="1">IFERROR(__xludf.DUMMYFUNCTION("""COMPUTED_VALUE"""),"MEGALABS")</f>
        <v>MEGALABS</v>
      </c>
      <c r="F155" s="75">
        <f ca="1">IFERROR(__xludf.DUMMYFUNCTION("""COMPUTED_VALUE"""),45834)</f>
        <v>45834</v>
      </c>
      <c r="G155" s="74">
        <f ca="1">IFERROR(__xludf.DUMMYFUNCTION("""COMPUTED_VALUE"""),175)</f>
        <v>175</v>
      </c>
      <c r="H155" s="74">
        <f ca="1">IFERROR(__xludf.DUMMYFUNCTION("""COMPUTED_VALUE"""),245)</f>
        <v>245</v>
      </c>
      <c r="I155" s="74">
        <f ca="1">IFERROR(__xludf.DUMMYFUNCTION("""COMPUTED_VALUE"""),250)</f>
        <v>250</v>
      </c>
    </row>
    <row r="156" spans="2:9" ht="27" customHeight="1">
      <c r="B156" s="73" t="str">
        <f ca="1">IFERROR(__xludf.DUMMYFUNCTION("""COMPUTED_VALUE"""),"LUBRIWELL")</f>
        <v>LUBRIWELL</v>
      </c>
      <c r="C156" s="73" t="str">
        <f ca="1">IFERROR(__xludf.DUMMYFUNCTION("""COMPUTED_VALUE"""),"GOTAS")</f>
        <v>GOTAS</v>
      </c>
      <c r="D156" s="73" t="str">
        <f ca="1">IFERROR(__xludf.DUMMYFUNCTION("""COMPUTED_VALUE"""),"CARBOXIMETILCELULOSA SODICA0.5%")</f>
        <v>CARBOXIMETILCELULOSA SODICA0.5%</v>
      </c>
      <c r="E156" s="73" t="str">
        <f ca="1">IFERROR(__xludf.DUMMYFUNCTION("""COMPUTED_VALUE"""),"WELLCO")</f>
        <v>WELLCO</v>
      </c>
      <c r="F156" s="75">
        <f ca="1">IFERROR(__xludf.DUMMYFUNCTION("""COMPUTED_VALUE"""),45987)</f>
        <v>45987</v>
      </c>
      <c r="G156" s="74">
        <f ca="1">IFERROR(__xludf.DUMMYFUNCTION("""COMPUTED_VALUE"""),51.6)</f>
        <v>51.6</v>
      </c>
      <c r="H156" s="74">
        <f ca="1">IFERROR(__xludf.DUMMYFUNCTION("""COMPUTED_VALUE"""),72.24)</f>
        <v>72.239999999999995</v>
      </c>
      <c r="I156" s="74">
        <f ca="1">IFERROR(__xludf.DUMMYFUNCTION("""COMPUTED_VALUE"""),90)</f>
        <v>90</v>
      </c>
    </row>
    <row r="157" spans="2:9" ht="27" customHeight="1">
      <c r="B157" s="73" t="str">
        <f ca="1">IFERROR(__xludf.DUMMYFUNCTION("""COMPUTED_VALUE"""),"LUTEVISTA")</f>
        <v>LUTEVISTA</v>
      </c>
      <c r="C157" s="73" t="str">
        <f ca="1">IFERROR(__xludf.DUMMYFUNCTION("""COMPUTED_VALUE"""),"CAJA 30 GELCAPS")</f>
        <v>CAJA 30 GELCAPS</v>
      </c>
      <c r="D157" s="73" t="str">
        <f ca="1">IFERROR(__xludf.DUMMYFUNCTION("""COMPUTED_VALUE"""),"SUPLEMENTO VITAMÍNICO")</f>
        <v>SUPLEMENTO VITAMÍNICO</v>
      </c>
      <c r="E157" s="73" t="str">
        <f ca="1">IFERROR(__xludf.DUMMYFUNCTION("""COMPUTED_VALUE"""),"BROPHARMA")</f>
        <v>BROPHARMA</v>
      </c>
      <c r="F157" s="75">
        <f ca="1">IFERROR(__xludf.DUMMYFUNCTION("""COMPUTED_VALUE"""),45715)</f>
        <v>45715</v>
      </c>
      <c r="G157" s="74">
        <f ca="1">IFERROR(__xludf.DUMMYFUNCTION("""COMPUTED_VALUE"""),90)</f>
        <v>90</v>
      </c>
      <c r="H157" s="74">
        <f ca="1">IFERROR(__xludf.DUMMYFUNCTION("""COMPUTED_VALUE"""),126)</f>
        <v>126</v>
      </c>
      <c r="I157" s="74">
        <f ca="1">IFERROR(__xludf.DUMMYFUNCTION("""COMPUTED_VALUE"""),140)</f>
        <v>140</v>
      </c>
    </row>
    <row r="158" spans="2:9" ht="27" customHeight="1">
      <c r="B158" s="73" t="str">
        <f ca="1">IFERROR(__xludf.DUMMYFUNCTION("""COMPUTED_VALUE"""),"MACROVITAM")</f>
        <v>MACROVITAM</v>
      </c>
      <c r="C158" s="73" t="str">
        <f ca="1">IFERROR(__xludf.DUMMYFUNCTION("""COMPUTED_VALUE"""),"CAJA 30 TAB.")</f>
        <v>CAJA 30 TAB.</v>
      </c>
      <c r="D158" s="73" t="str">
        <f ca="1">IFERROR(__xludf.DUMMYFUNCTION("""COMPUTED_VALUE"""),"MULTIVITAMINICO")</f>
        <v>MULTIVITAMINICO</v>
      </c>
      <c r="E158" s="73" t="str">
        <f ca="1">IFERROR(__xludf.DUMMYFUNCTION("""COMPUTED_VALUE"""),"PHARMALAT")</f>
        <v>PHARMALAT</v>
      </c>
      <c r="F158" s="75">
        <f ca="1">IFERROR(__xludf.DUMMYFUNCTION("""COMPUTED_VALUE"""),45684)</f>
        <v>45684</v>
      </c>
      <c r="G158" s="74">
        <f ca="1">IFERROR(__xludf.DUMMYFUNCTION("""COMPUTED_VALUE"""),73.15)</f>
        <v>73.150000000000006</v>
      </c>
      <c r="H158" s="74">
        <f ca="1">IFERROR(__xludf.DUMMYFUNCTION("""COMPUTED_VALUE"""),102.41)</f>
        <v>102.41</v>
      </c>
      <c r="I158" s="74">
        <f ca="1">IFERROR(__xludf.DUMMYFUNCTION("""COMPUTED_VALUE"""),105)</f>
        <v>105</v>
      </c>
    </row>
    <row r="159" spans="2:9" ht="27" customHeight="1">
      <c r="B159" s="73" t="str">
        <f ca="1">IFERROR(__xludf.DUMMYFUNCTION("""COMPUTED_VALUE"""),"MAGNAGEL")</f>
        <v>MAGNAGEL</v>
      </c>
      <c r="C159" s="73" t="str">
        <f ca="1">IFERROR(__xludf.DUMMYFUNCTION("""COMPUTED_VALUE"""),"FRASCO 360ML")</f>
        <v>FRASCO 360ML</v>
      </c>
      <c r="D159" s="73" t="str">
        <f ca="1">IFERROR(__xludf.DUMMYFUNCTION("""COMPUTED_VALUE"""),"HIDRÓXIDO DE ALUMINIO, HIDRÓXIDO DE MAGNESIO, SIMETICONA")</f>
        <v>HIDRÓXIDO DE ALUMINIO, HIDRÓXIDO DE MAGNESIO, SIMETICONA</v>
      </c>
      <c r="E159" s="73" t="str">
        <f ca="1">IFERROR(__xludf.DUMMYFUNCTION("""COMPUTED_VALUE"""),"ARA STENDHAL")</f>
        <v>ARA STENDHAL</v>
      </c>
      <c r="F159" s="75">
        <f ca="1">IFERROR(__xludf.DUMMYFUNCTION("""COMPUTED_VALUE"""),45774)</f>
        <v>45774</v>
      </c>
      <c r="G159" s="74">
        <f ca="1">IFERROR(__xludf.DUMMYFUNCTION("""COMPUTED_VALUE"""),26)</f>
        <v>26</v>
      </c>
      <c r="H159" s="74">
        <f ca="1">IFERROR(__xludf.DUMMYFUNCTION("""COMPUTED_VALUE"""),36.4)</f>
        <v>36.4</v>
      </c>
      <c r="I159" s="74">
        <f ca="1">IFERROR(__xludf.DUMMYFUNCTION("""COMPUTED_VALUE"""),40)</f>
        <v>40</v>
      </c>
    </row>
    <row r="160" spans="2:9" ht="27" customHeight="1">
      <c r="B160" s="73" t="str">
        <f ca="1">IFERROR(__xludf.DUMMYFUNCTION("""COMPUTED_VALUE"""),"MANITOL")</f>
        <v>MANITOL</v>
      </c>
      <c r="C160" s="73" t="str">
        <f ca="1">IFERROR(__xludf.DUMMYFUNCTION("""COMPUTED_VALUE"""),"FRASCO 10ML")</f>
        <v>FRASCO 10ML</v>
      </c>
      <c r="D160" s="73" t="str">
        <f ca="1">IFERROR(__xludf.DUMMYFUNCTION("""COMPUTED_VALUE"""),"MANITOL AL 25%")</f>
        <v>MANITOL AL 25%</v>
      </c>
      <c r="E160" s="73" t="str">
        <f ca="1">IFERROR(__xludf.DUMMYFUNCTION("""COMPUTED_VALUE"""),"RUIPHARMA")</f>
        <v>RUIPHARMA</v>
      </c>
      <c r="F160" s="75">
        <f ca="1">IFERROR(__xludf.DUMMYFUNCTION("""COMPUTED_VALUE"""),45714)</f>
        <v>45714</v>
      </c>
      <c r="G160" s="74">
        <f ca="1">IFERROR(__xludf.DUMMYFUNCTION("""COMPUTED_VALUE"""),48)</f>
        <v>48</v>
      </c>
      <c r="H160" s="74">
        <f ca="1">IFERROR(__xludf.DUMMYFUNCTION("""COMPUTED_VALUE"""),67.2)</f>
        <v>67.2</v>
      </c>
      <c r="I160" s="74">
        <f ca="1">IFERROR(__xludf.DUMMYFUNCTION("""COMPUTED_VALUE"""),70)</f>
        <v>70</v>
      </c>
    </row>
    <row r="161" spans="2:9" ht="27" customHeight="1">
      <c r="B161" s="73" t="str">
        <f ca="1">IFERROR(__xludf.DUMMYFUNCTION("""COMPUTED_VALUE"""),"MEDISUM")</f>
        <v>MEDISUM</v>
      </c>
      <c r="C161" s="73" t="str">
        <f ca="1">IFERROR(__xludf.DUMMYFUNCTION("""COMPUTED_VALUE"""),"SPRAY")</f>
        <v>SPRAY</v>
      </c>
      <c r="D161" s="73" t="str">
        <f ca="1">IFERROR(__xludf.DUMMYFUNCTION("""COMPUTED_VALUE"""),"PROTECTOR SOLAR")</f>
        <v>PROTECTOR SOLAR</v>
      </c>
      <c r="E161" s="73" t="str">
        <f ca="1">IFERROR(__xludf.DUMMYFUNCTION("""COMPUTED_VALUE"""),"ACM LAB. DERMATOLOGIQUE")</f>
        <v>ACM LAB. DERMATOLOGIQUE</v>
      </c>
      <c r="F161" s="75">
        <f ca="1">IFERROR(__xludf.DUMMYFUNCTION("""COMPUTED_VALUE"""),45894)</f>
        <v>45894</v>
      </c>
      <c r="G161" s="74">
        <f ca="1">IFERROR(__xludf.DUMMYFUNCTION("""COMPUTED_VALUE"""),127.81)</f>
        <v>127.81</v>
      </c>
      <c r="H161" s="74">
        <f ca="1">IFERROR(__xludf.DUMMYFUNCTION("""COMPUTED_VALUE"""),178.934)</f>
        <v>178.934</v>
      </c>
      <c r="I161" s="74">
        <f ca="1">IFERROR(__xludf.DUMMYFUNCTION("""COMPUTED_VALUE"""),180)</f>
        <v>180</v>
      </c>
    </row>
    <row r="162" spans="2:9" ht="27" customHeight="1">
      <c r="B162" s="73" t="str">
        <f ca="1">IFERROR(__xludf.DUMMYFUNCTION("""COMPUTED_VALUE"""),"MENADERM OTOLÓGICO")</f>
        <v>MENADERM OTOLÓGICO</v>
      </c>
      <c r="C162" s="73" t="str">
        <f ca="1">IFERROR(__xludf.DUMMYFUNCTION("""COMPUTED_VALUE"""),"GOTERO 10ML")</f>
        <v>GOTERO 10ML</v>
      </c>
      <c r="D162" s="73" t="str">
        <f ca="1">IFERROR(__xludf.DUMMYFUNCTION("""COMPUTED_VALUE"""),"BECLOMETASONA 0.25MG+CLIOQUINOL 0.01G/ML")</f>
        <v>BECLOMETASONA 0.25MG+CLIOQUINOL 0.01G/ML</v>
      </c>
      <c r="E162" s="73" t="str">
        <f ca="1">IFERROR(__xludf.DUMMYFUNCTION("""COMPUTED_VALUE"""),"MENARINI")</f>
        <v>MENARINI</v>
      </c>
      <c r="F162" s="75">
        <f ca="1">IFERROR(__xludf.DUMMYFUNCTION("""COMPUTED_VALUE"""),45926)</f>
        <v>45926</v>
      </c>
      <c r="G162" s="74">
        <f ca="1">IFERROR(__xludf.DUMMYFUNCTION("""COMPUTED_VALUE"""),87.28)</f>
        <v>87.28</v>
      </c>
      <c r="H162" s="74">
        <f ca="1">IFERROR(__xludf.DUMMYFUNCTION("""COMPUTED_VALUE"""),122.192)</f>
        <v>122.19199999999999</v>
      </c>
      <c r="I162" s="74">
        <f ca="1">IFERROR(__xludf.DUMMYFUNCTION("""COMPUTED_VALUE"""),125)</f>
        <v>125</v>
      </c>
    </row>
    <row r="163" spans="2:9" ht="27" customHeight="1">
      <c r="B163" s="73" t="str">
        <f ca="1">IFERROR(__xludf.DUMMYFUNCTION("""COMPUTED_VALUE"""),"MERLIX DEXKETOFRENO")</f>
        <v>MERLIX DEXKETOFRENO</v>
      </c>
      <c r="C163" s="73" t="str">
        <f ca="1">IFERROR(__xludf.DUMMYFUNCTION("""COMPUTED_VALUE"""),"SOBRES SOLUCION ORAL")</f>
        <v>SOBRES SOLUCION ORAL</v>
      </c>
      <c r="D163" s="73" t="str">
        <f ca="1">IFERROR(__xludf.DUMMYFUNCTION("""COMPUTED_VALUE"""),"DEXKETOFRENO 25MG")</f>
        <v>DEXKETOFRENO 25MG</v>
      </c>
      <c r="E163" s="73" t="str">
        <f ca="1">IFERROR(__xludf.DUMMYFUNCTION("""COMPUTED_VALUE"""),"LUMINOVA (COIDE)")</f>
        <v>LUMINOVA (COIDE)</v>
      </c>
      <c r="F163" s="75">
        <f ca="1">IFERROR(__xludf.DUMMYFUNCTION("""COMPUTED_VALUE"""),45803)</f>
        <v>45803</v>
      </c>
      <c r="G163" s="74">
        <f ca="1">IFERROR(__xludf.DUMMYFUNCTION("""COMPUTED_VALUE"""),6.9)</f>
        <v>6.9</v>
      </c>
      <c r="H163" s="74">
        <f ca="1">IFERROR(__xludf.DUMMYFUNCTION("""COMPUTED_VALUE"""),9.66)</f>
        <v>9.66</v>
      </c>
      <c r="I163" s="74">
        <f ca="1">IFERROR(__xludf.DUMMYFUNCTION("""COMPUTED_VALUE"""),10)</f>
        <v>10</v>
      </c>
    </row>
    <row r="164" spans="2:9" ht="27" customHeight="1">
      <c r="B164" s="73" t="str">
        <f ca="1">IFERROR(__xludf.DUMMYFUNCTION("""COMPUTED_VALUE"""),"MERLIX DEXKETOFRENO")</f>
        <v>MERLIX DEXKETOFRENO</v>
      </c>
      <c r="C164" s="73" t="str">
        <f ca="1">IFERROR(__xludf.DUMMYFUNCTION("""COMPUTED_VALUE"""),"AMPOLLAS")</f>
        <v>AMPOLLAS</v>
      </c>
      <c r="D164" s="73" t="str">
        <f ca="1">IFERROR(__xludf.DUMMYFUNCTION("""COMPUTED_VALUE"""),"DEXKETOFRENO 25MG")</f>
        <v>DEXKETOFRENO 25MG</v>
      </c>
      <c r="E164" s="73" t="str">
        <f ca="1">IFERROR(__xludf.DUMMYFUNCTION("""COMPUTED_VALUE"""),"LUMINOVA (COIDE)")</f>
        <v>LUMINOVA (COIDE)</v>
      </c>
      <c r="F164" s="75">
        <f ca="1">IFERROR(__xludf.DUMMYFUNCTION("""COMPUTED_VALUE"""),45803)</f>
        <v>45803</v>
      </c>
      <c r="G164" s="74">
        <f ca="1">IFERROR(__xludf.DUMMYFUNCTION("""COMPUTED_VALUE"""),10)</f>
        <v>10</v>
      </c>
      <c r="H164" s="74">
        <f ca="1">IFERROR(__xludf.DUMMYFUNCTION("""COMPUTED_VALUE"""),14)</f>
        <v>14</v>
      </c>
      <c r="I164" s="74">
        <f ca="1">IFERROR(__xludf.DUMMYFUNCTION("""COMPUTED_VALUE"""),35)</f>
        <v>35</v>
      </c>
    </row>
    <row r="165" spans="2:9" ht="27" customHeight="1">
      <c r="B165" s="73" t="str">
        <f ca="1">IFERROR(__xludf.DUMMYFUNCTION("""COMPUTED_VALUE"""),"MEROPENEM 500MG")</f>
        <v>MEROPENEM 500MG</v>
      </c>
      <c r="C165" s="73" t="str">
        <f ca="1">IFERROR(__xludf.DUMMYFUNCTION("""COMPUTED_VALUE"""),"POLVO PARA SOLUCIÓN INYEC.")</f>
        <v>POLVO PARA SOLUCIÓN INYEC.</v>
      </c>
      <c r="D165" s="73" t="str">
        <f ca="1">IFERROR(__xludf.DUMMYFUNCTION("""COMPUTED_VALUE"""),"MEROPENEM 500MG")</f>
        <v>MEROPENEM 500MG</v>
      </c>
      <c r="E165" s="73" t="str">
        <f ca="1">IFERROR(__xludf.DUMMYFUNCTION("""COMPUTED_VALUE"""),"VITALIS")</f>
        <v>VITALIS</v>
      </c>
      <c r="F165" s="75">
        <f ca="1">IFERROR(__xludf.DUMMYFUNCTION("""COMPUTED_VALUE"""),45715)</f>
        <v>45715</v>
      </c>
      <c r="G165" s="74">
        <f ca="1">IFERROR(__xludf.DUMMYFUNCTION("""COMPUTED_VALUE"""),28.5)</f>
        <v>28.5</v>
      </c>
      <c r="H165" s="74">
        <f ca="1">IFERROR(__xludf.DUMMYFUNCTION("""COMPUTED_VALUE"""),39.9)</f>
        <v>39.9</v>
      </c>
      <c r="I165" s="74">
        <f ca="1">IFERROR(__xludf.DUMMYFUNCTION("""COMPUTED_VALUE"""),100)</f>
        <v>100</v>
      </c>
    </row>
    <row r="166" spans="2:9" ht="27" customHeight="1">
      <c r="B166" s="73" t="str">
        <f ca="1">IFERROR(__xludf.DUMMYFUNCTION("""COMPUTED_VALUE"""),"METFORMINA 850MG")</f>
        <v>METFORMINA 850MG</v>
      </c>
      <c r="C166" s="73" t="str">
        <f ca="1">IFERROR(__xludf.DUMMYFUNCTION("""COMPUTED_VALUE"""),"BLISTER 10 TAB.")</f>
        <v>BLISTER 10 TAB.</v>
      </c>
      <c r="D166" s="73" t="str">
        <f ca="1">IFERROR(__xludf.DUMMYFUNCTION("""COMPUTED_VALUE"""),"METFORMINA 850MG")</f>
        <v>METFORMINA 850MG</v>
      </c>
      <c r="E166" s="73" t="str">
        <f ca="1">IFERROR(__xludf.DUMMYFUNCTION("""COMPUTED_VALUE"""),"UMEDICA")</f>
        <v>UMEDICA</v>
      </c>
      <c r="F166" s="75">
        <f ca="1">IFERROR(__xludf.DUMMYFUNCTION("""COMPUTED_VALUE"""),45955)</f>
        <v>45955</v>
      </c>
      <c r="G166" s="74">
        <f ca="1">IFERROR(__xludf.DUMMYFUNCTION("""COMPUTED_VALUE"""),10)</f>
        <v>10</v>
      </c>
      <c r="H166" s="74">
        <f ca="1">IFERROR(__xludf.DUMMYFUNCTION("""COMPUTED_VALUE"""),14)</f>
        <v>14</v>
      </c>
      <c r="I166" s="74">
        <f ca="1">IFERROR(__xludf.DUMMYFUNCTION("""COMPUTED_VALUE"""),15)</f>
        <v>15</v>
      </c>
    </row>
    <row r="167" spans="2:9" ht="27" customHeight="1">
      <c r="B167" s="73" t="str">
        <f ca="1">IFERROR(__xludf.DUMMYFUNCTION("""COMPUTED_VALUE"""),"METILPREDNISOLONA")</f>
        <v>METILPREDNISOLONA</v>
      </c>
      <c r="C167" s="73" t="str">
        <f ca="1">IFERROR(__xludf.DUMMYFUNCTION("""COMPUTED_VALUE"""),"FRASCO IV")</f>
        <v>FRASCO IV</v>
      </c>
      <c r="D167" s="73" t="str">
        <f ca="1">IFERROR(__xludf.DUMMYFUNCTION("""COMPUTED_VALUE"""),"METILPERDNISOLOLA 1G.")</f>
        <v>METILPERDNISOLOLA 1G.</v>
      </c>
      <c r="E167" s="73" t="str">
        <f ca="1">IFERROR(__xludf.DUMMYFUNCTION("""COMPUTED_VALUE"""),"DISSA/SELECTPHARMA")</f>
        <v>DISSA/SELECTPHARMA</v>
      </c>
      <c r="F167" s="75">
        <f ca="1">IFERROR(__xludf.DUMMYFUNCTION("""COMPUTED_VALUE"""),45684)</f>
        <v>45684</v>
      </c>
      <c r="G167" s="74">
        <f ca="1">IFERROR(__xludf.DUMMYFUNCTION("""COMPUTED_VALUE"""),51)</f>
        <v>51</v>
      </c>
      <c r="H167" s="74">
        <f ca="1">IFERROR(__xludf.DUMMYFUNCTION("""COMPUTED_VALUE"""),71.4)</f>
        <v>71.400000000000006</v>
      </c>
      <c r="I167" s="74">
        <f ca="1">IFERROR(__xludf.DUMMYFUNCTION("""COMPUTED_VALUE"""),130)</f>
        <v>130</v>
      </c>
    </row>
    <row r="168" spans="2:9" ht="27" customHeight="1">
      <c r="B168" s="73" t="str">
        <f ca="1">IFERROR(__xludf.DUMMYFUNCTION("""COMPUTED_VALUE"""),"METOCARBAN")</f>
        <v>METOCARBAN</v>
      </c>
      <c r="C168" s="73" t="str">
        <f ca="1">IFERROR(__xludf.DUMMYFUNCTION("""COMPUTED_VALUE"""),"AMPOLLA 5ML")</f>
        <v>AMPOLLA 5ML</v>
      </c>
      <c r="D168" s="73" t="str">
        <f ca="1">IFERROR(__xludf.DUMMYFUNCTION("""COMPUTED_VALUE"""),"METOCARBAMOL 100MG")</f>
        <v>METOCARBAMOL 100MG</v>
      </c>
      <c r="E168" s="73" t="str">
        <f ca="1">IFERROR(__xludf.DUMMYFUNCTION("""COMPUTED_VALUE"""),"INFASA")</f>
        <v>INFASA</v>
      </c>
      <c r="F168" s="75">
        <f ca="1">IFERROR(__xludf.DUMMYFUNCTION("""COMPUTED_VALUE"""),45775)</f>
        <v>45775</v>
      </c>
      <c r="G168" s="74">
        <f ca="1">IFERROR(__xludf.DUMMYFUNCTION("""COMPUTED_VALUE"""),18.35)</f>
        <v>18.350000000000001</v>
      </c>
      <c r="H168" s="74">
        <f ca="1">IFERROR(__xludf.DUMMYFUNCTION("""COMPUTED_VALUE"""),25.69)</f>
        <v>25.69</v>
      </c>
      <c r="I168" s="74">
        <f ca="1">IFERROR(__xludf.DUMMYFUNCTION("""COMPUTED_VALUE"""),30)</f>
        <v>30</v>
      </c>
    </row>
    <row r="169" spans="2:9" ht="27" customHeight="1">
      <c r="B169" s="73" t="str">
        <f ca="1">IFERROR(__xludf.DUMMYFUNCTION("""COMPUTED_VALUE"""),"METOCARBAN AC")</f>
        <v>METOCARBAN AC</v>
      </c>
      <c r="C169" s="73" t="str">
        <f ca="1">IFERROR(__xludf.DUMMYFUNCTION("""COMPUTED_VALUE"""),"CAJA 30 TAB.")</f>
        <v>CAJA 30 TAB.</v>
      </c>
      <c r="D169" s="73" t="str">
        <f ca="1">IFERROR(__xludf.DUMMYFUNCTION("""COMPUTED_VALUE"""),"METOCARBAMOL 400MG + ACETAMINOFÉN 250MG")</f>
        <v>METOCARBAMOL 400MG + ACETAMINOFÉN 250MG</v>
      </c>
      <c r="E169" s="73" t="str">
        <f ca="1">IFERROR(__xludf.DUMMYFUNCTION("""COMPUTED_VALUE"""),"INFASA")</f>
        <v>INFASA</v>
      </c>
      <c r="F169" s="75">
        <f ca="1">IFERROR(__xludf.DUMMYFUNCTION("""COMPUTED_VALUE"""),45805)</f>
        <v>45805</v>
      </c>
      <c r="G169" s="74">
        <f ca="1">IFERROR(__xludf.DUMMYFUNCTION("""COMPUTED_VALUE"""),54.7)</f>
        <v>54.7</v>
      </c>
      <c r="H169" s="74">
        <f ca="1">IFERROR(__xludf.DUMMYFUNCTION("""COMPUTED_VALUE"""),76.58)</f>
        <v>76.58</v>
      </c>
      <c r="I169" s="74">
        <f ca="1">IFERROR(__xludf.DUMMYFUNCTION("""COMPUTED_VALUE"""),80)</f>
        <v>80</v>
      </c>
    </row>
    <row r="170" spans="2:9" ht="27" customHeight="1">
      <c r="B170" s="73" t="str">
        <f ca="1">IFERROR(__xludf.DUMMYFUNCTION("""COMPUTED_VALUE"""),"METOCLOPRAMIDA")</f>
        <v>METOCLOPRAMIDA</v>
      </c>
      <c r="C170" s="73" t="str">
        <f ca="1">IFERROR(__xludf.DUMMYFUNCTION("""COMPUTED_VALUE"""),"AMPOLLA")</f>
        <v>AMPOLLA</v>
      </c>
      <c r="D170" s="73" t="str">
        <f ca="1">IFERROR(__xludf.DUMMYFUNCTION("""COMPUTED_VALUE"""),"METOCLOPRAMIDA")</f>
        <v>METOCLOPRAMIDA</v>
      </c>
      <c r="E170" s="73" t="str">
        <f ca="1">IFERROR(__xludf.DUMMYFUNCTION("""COMPUTED_VALUE"""),"SELECTPHARMA")</f>
        <v>SELECTPHARMA</v>
      </c>
      <c r="F170" s="75">
        <f ca="1">IFERROR(__xludf.DUMMYFUNCTION("""COMPUTED_VALUE"""),46017)</f>
        <v>46017</v>
      </c>
      <c r="G170" s="74">
        <f ca="1">IFERROR(__xludf.DUMMYFUNCTION("""COMPUTED_VALUE"""),3.34)</f>
        <v>3.34</v>
      </c>
      <c r="H170" s="74">
        <f ca="1">IFERROR(__xludf.DUMMYFUNCTION("""COMPUTED_VALUE"""),4.676)</f>
        <v>4.6760000000000002</v>
      </c>
      <c r="I170" s="74">
        <f ca="1">IFERROR(__xludf.DUMMYFUNCTION("""COMPUTED_VALUE"""),30)</f>
        <v>30</v>
      </c>
    </row>
    <row r="171" spans="2:9" ht="27" customHeight="1">
      <c r="B171" s="73" t="str">
        <f ca="1">IFERROR(__xludf.DUMMYFUNCTION("""COMPUTED_VALUE"""),"MIDAZOLAM")</f>
        <v>MIDAZOLAM</v>
      </c>
      <c r="C171" s="73" t="str">
        <f ca="1">IFERROR(__xludf.DUMMYFUNCTION("""COMPUTED_VALUE"""),"AMPOLLA")</f>
        <v>AMPOLLA</v>
      </c>
      <c r="D171" s="73" t="str">
        <f ca="1">IFERROR(__xludf.DUMMYFUNCTION("""COMPUTED_VALUE"""),"MIDAZOLAM")</f>
        <v>MIDAZOLAM</v>
      </c>
      <c r="E171" s="73" t="str">
        <f ca="1">IFERROR(__xludf.DUMMYFUNCTION("""COMPUTED_VALUE"""),"ARPHARMA")</f>
        <v>ARPHARMA</v>
      </c>
      <c r="F171" s="75">
        <f ca="1">IFERROR(__xludf.DUMMYFUNCTION("""COMPUTED_VALUE"""),45835)</f>
        <v>45835</v>
      </c>
      <c r="G171" s="74">
        <f ca="1">IFERROR(__xludf.DUMMYFUNCTION("""COMPUTED_VALUE"""),58)</f>
        <v>58</v>
      </c>
      <c r="H171" s="74">
        <f ca="1">IFERROR(__xludf.DUMMYFUNCTION("""COMPUTED_VALUE"""),81.2)</f>
        <v>81.2</v>
      </c>
      <c r="I171" s="74">
        <f ca="1">IFERROR(__xludf.DUMMYFUNCTION("""COMPUTED_VALUE"""),85)</f>
        <v>85</v>
      </c>
    </row>
    <row r="172" spans="2:9" ht="27" customHeight="1">
      <c r="B172" s="73" t="str">
        <f ca="1">IFERROR(__xludf.DUMMYFUNCTION("""COMPUTED_VALUE"""),"MINART AM")</f>
        <v>MINART AM</v>
      </c>
      <c r="C172" s="73" t="str">
        <f ca="1">IFERROR(__xludf.DUMMYFUNCTION("""COMPUTED_VALUE"""),"CAJA 14 TABLETAS")</f>
        <v>CAJA 14 TABLETAS</v>
      </c>
      <c r="D172" s="73" t="str">
        <f ca="1">IFERROR(__xludf.DUMMYFUNCTION("""COMPUTED_VALUE"""),"CANDESARTÁN CILEXETIL 16MG/AMLODIPINA2.5MG")</f>
        <v>CANDESARTÁN CILEXETIL 16MG/AMLODIPINA2.5MG</v>
      </c>
      <c r="E172" s="73" t="str">
        <f ca="1">IFERROR(__xludf.DUMMYFUNCTION("""COMPUTED_VALUE"""),"MERCK Bofasa")</f>
        <v>MERCK Bofasa</v>
      </c>
      <c r="F172" s="75">
        <f ca="1">IFERROR(__xludf.DUMMYFUNCTION("""COMPUTED_VALUE"""),45864)</f>
        <v>45864</v>
      </c>
      <c r="G172" s="74">
        <f ca="1">IFERROR(__xludf.DUMMYFUNCTION("""COMPUTED_VALUE"""),184.2)</f>
        <v>184.2</v>
      </c>
      <c r="H172" s="74">
        <f ca="1">IFERROR(__xludf.DUMMYFUNCTION("""COMPUTED_VALUE"""),257.88)</f>
        <v>257.88</v>
      </c>
      <c r="I172" s="74">
        <f ca="1">IFERROR(__xludf.DUMMYFUNCTION("""COMPUTED_VALUE"""),260)</f>
        <v>260</v>
      </c>
    </row>
    <row r="173" spans="2:9" ht="27" customHeight="1">
      <c r="B173" s="73" t="str">
        <f ca="1">IFERROR(__xludf.DUMMYFUNCTION("""COMPUTED_VALUE"""),"MORFINA")</f>
        <v>MORFINA</v>
      </c>
      <c r="C173" s="73" t="str">
        <f ca="1">IFERROR(__xludf.DUMMYFUNCTION("""COMPUTED_VALUE"""),"AMPOLLA")</f>
        <v>AMPOLLA</v>
      </c>
      <c r="D173" s="73" t="str">
        <f ca="1">IFERROR(__xludf.DUMMYFUNCTION("""COMPUTED_VALUE"""),"MOFINA SULFATO 10MG/ML")</f>
        <v>MOFINA SULFATO 10MG/ML</v>
      </c>
      <c r="E173" s="73" t="str">
        <f ca="1">IFERROR(__xludf.DUMMYFUNCTION("""COMPUTED_VALUE"""),"ARPHARMA")</f>
        <v>ARPHARMA</v>
      </c>
      <c r="F173" s="75">
        <f ca="1">IFERROR(__xludf.DUMMYFUNCTION("""COMPUTED_VALUE"""),45986)</f>
        <v>45986</v>
      </c>
      <c r="G173" s="74">
        <f ca="1">IFERROR(__xludf.DUMMYFUNCTION("""COMPUTED_VALUE"""),52.5)</f>
        <v>52.5</v>
      </c>
      <c r="H173" s="74">
        <f ca="1">IFERROR(__xludf.DUMMYFUNCTION("""COMPUTED_VALUE"""),73.5)</f>
        <v>73.5</v>
      </c>
      <c r="I173" s="74">
        <f ca="1">IFERROR(__xludf.DUMMYFUNCTION("""COMPUTED_VALUE"""),75)</f>
        <v>75</v>
      </c>
    </row>
    <row r="174" spans="2:9" ht="27" customHeight="1">
      <c r="B174" s="73" t="str">
        <f ca="1">IFERROR(__xludf.DUMMYFUNCTION("""COMPUTED_VALUE"""),"NAGREG")</f>
        <v>NAGREG</v>
      </c>
      <c r="C174" s="73" t="str">
        <f ca="1">IFERROR(__xludf.DUMMYFUNCTION("""COMPUTED_VALUE"""),"CAJA 10 TABLETAS")</f>
        <v>CAJA 10 TABLETAS</v>
      </c>
      <c r="D174" s="73" t="str">
        <f ca="1">IFERROR(__xludf.DUMMYFUNCTION("""COMPUTED_VALUE"""),"RUPATADINA 10MG")</f>
        <v>RUPATADINA 10MG</v>
      </c>
      <c r="E174" s="73" t="str">
        <f ca="1">IFERROR(__xludf.DUMMYFUNCTION("""COMPUTED_VALUE"""),"ALTIAN PHARMA")</f>
        <v>ALTIAN PHARMA</v>
      </c>
      <c r="F174" s="75">
        <f ca="1">IFERROR(__xludf.DUMMYFUNCTION("""COMPUTED_VALUE"""),45835)</f>
        <v>45835</v>
      </c>
      <c r="G174" s="74">
        <f ca="1">IFERROR(__xludf.DUMMYFUNCTION("""COMPUTED_VALUE"""),122.3)</f>
        <v>122.3</v>
      </c>
      <c r="H174" s="74">
        <f ca="1">IFERROR(__xludf.DUMMYFUNCTION("""COMPUTED_VALUE"""),171.22)</f>
        <v>171.22</v>
      </c>
      <c r="I174" s="74">
        <f ca="1">IFERROR(__xludf.DUMMYFUNCTION("""COMPUTED_VALUE"""),175)</f>
        <v>175</v>
      </c>
    </row>
    <row r="175" spans="2:9" ht="27" customHeight="1">
      <c r="B175" s="73" t="str">
        <f ca="1">IFERROR(__xludf.DUMMYFUNCTION("""COMPUTED_VALUE"""),"NATRASOL 50MG")</f>
        <v>NATRASOL 50MG</v>
      </c>
      <c r="C175" s="73" t="str">
        <f ca="1">IFERROR(__xludf.DUMMYFUNCTION("""COMPUTED_VALUE"""),"CAJA 30 TABLETAS")</f>
        <v>CAJA 30 TABLETAS</v>
      </c>
      <c r="D175" s="73" t="str">
        <f ca="1">IFERROR(__xludf.DUMMYFUNCTION("""COMPUTED_VALUE"""),"LOSARTÀN POTASICO 50MG")</f>
        <v>LOSARTÀN POTASICO 50MG</v>
      </c>
      <c r="E175" s="73" t="str">
        <f ca="1">IFERROR(__xludf.DUMMYFUNCTION("""COMPUTED_VALUE"""),"FARMA SWISS")</f>
        <v>FARMA SWISS</v>
      </c>
      <c r="F175" s="75">
        <f ca="1">IFERROR(__xludf.DUMMYFUNCTION("""COMPUTED_VALUE"""),46018)</f>
        <v>46018</v>
      </c>
      <c r="G175" s="74">
        <f ca="1">IFERROR(__xludf.DUMMYFUNCTION("""COMPUTED_VALUE"""),80)</f>
        <v>80</v>
      </c>
      <c r="H175" s="74">
        <f ca="1">IFERROR(__xludf.DUMMYFUNCTION("""COMPUTED_VALUE"""),112)</f>
        <v>112</v>
      </c>
      <c r="I175" s="74">
        <f ca="1">IFERROR(__xludf.DUMMYFUNCTION("""COMPUTED_VALUE"""),115)</f>
        <v>115</v>
      </c>
    </row>
    <row r="176" spans="2:9" ht="27" customHeight="1">
      <c r="B176" s="73" t="str">
        <f ca="1">IFERROR(__xludf.DUMMYFUNCTION("""COMPUTED_VALUE"""),"NAUSEOL")</f>
        <v>NAUSEOL</v>
      </c>
      <c r="C176" s="73" t="str">
        <f ca="1">IFERROR(__xludf.DUMMYFUNCTION("""COMPUTED_VALUE"""),"AMPOLLA")</f>
        <v>AMPOLLA</v>
      </c>
      <c r="D176" s="73" t="str">
        <f ca="1">IFERROR(__xludf.DUMMYFUNCTION("""COMPUTED_VALUE"""),"NAUSEOL")</f>
        <v>NAUSEOL</v>
      </c>
      <c r="E176" s="73" t="str">
        <f ca="1">IFERROR(__xludf.DUMMYFUNCTION("""COMPUTED_VALUE"""),"BONIN H&amp;L")</f>
        <v>BONIN H&amp;L</v>
      </c>
      <c r="F176" s="75">
        <f ca="1">IFERROR(__xludf.DUMMYFUNCTION("""COMPUTED_VALUE"""),45686)</f>
        <v>45686</v>
      </c>
      <c r="G176" s="74">
        <f ca="1">IFERROR(__xludf.DUMMYFUNCTION("""COMPUTED_VALUE"""),6.9)</f>
        <v>6.9</v>
      </c>
      <c r="H176" s="74">
        <f ca="1">IFERROR(__xludf.DUMMYFUNCTION("""COMPUTED_VALUE"""),9.66)</f>
        <v>9.66</v>
      </c>
      <c r="I176" s="74">
        <f ca="1">IFERROR(__xludf.DUMMYFUNCTION("""COMPUTED_VALUE"""),30)</f>
        <v>30</v>
      </c>
    </row>
    <row r="177" spans="2:9" ht="27" customHeight="1">
      <c r="B177" s="73" t="str">
        <f ca="1">IFERROR(__xludf.DUMMYFUNCTION("""COMPUTED_VALUE"""),"NAUXIL")</f>
        <v>NAUXIL</v>
      </c>
      <c r="C177" s="73" t="str">
        <f ca="1">IFERROR(__xludf.DUMMYFUNCTION("""COMPUTED_VALUE"""),"FRASCO 30ML")</f>
        <v>FRASCO 30ML</v>
      </c>
      <c r="D177" s="73" t="str">
        <f ca="1">IFERROR(__xludf.DUMMYFUNCTION("""COMPUTED_VALUE"""),"DOXILAMINA 10MG+PIRIDOXINA 10MG")</f>
        <v>DOXILAMINA 10MG+PIRIDOXINA 10MG</v>
      </c>
      <c r="E177" s="73" t="str">
        <f ca="1">IFERROR(__xludf.DUMMYFUNCTION("""COMPUTED_VALUE"""),"QUALIPHARM")</f>
        <v>QUALIPHARM</v>
      </c>
      <c r="F177" s="75">
        <f ca="1">IFERROR(__xludf.DUMMYFUNCTION("""COMPUTED_VALUE"""),46017)</f>
        <v>46017</v>
      </c>
      <c r="G177" s="74">
        <f ca="1">IFERROR(__xludf.DUMMYFUNCTION("""COMPUTED_VALUE"""),20)</f>
        <v>20</v>
      </c>
      <c r="H177" s="74">
        <f ca="1">IFERROR(__xludf.DUMMYFUNCTION("""COMPUTED_VALUE"""),28)</f>
        <v>28</v>
      </c>
      <c r="I177" s="74">
        <f ca="1">IFERROR(__xludf.DUMMYFUNCTION("""COMPUTED_VALUE"""),30)</f>
        <v>30</v>
      </c>
    </row>
    <row r="178" spans="2:9" ht="27" customHeight="1">
      <c r="B178" s="73" t="str">
        <f ca="1">IFERROR(__xludf.DUMMYFUNCTION("""COMPUTED_VALUE"""),"NEOTREX")</f>
        <v>NEOTREX</v>
      </c>
      <c r="C178" s="73" t="str">
        <f ca="1">IFERROR(__xludf.DUMMYFUNCTION("""COMPUTED_VALUE"""),"CAJA 20 TABLETAS")</f>
        <v>CAJA 20 TABLETAS</v>
      </c>
      <c r="D178" s="73" t="str">
        <f ca="1">IFERROR(__xludf.DUMMYFUNCTION("""COMPUTED_VALUE"""),"LEVOSULPIRIDE 25MG")</f>
        <v>LEVOSULPIRIDE 25MG</v>
      </c>
      <c r="E178" s="73" t="str">
        <f ca="1">IFERROR(__xludf.DUMMYFUNCTION("""COMPUTED_VALUE"""),"FARMEX")</f>
        <v>FARMEX</v>
      </c>
      <c r="F178" s="75">
        <f ca="1">IFERROR(__xludf.DUMMYFUNCTION("""COMPUTED_VALUE"""),45715)</f>
        <v>45715</v>
      </c>
      <c r="G178" s="74">
        <f ca="1">IFERROR(__xludf.DUMMYFUNCTION("""COMPUTED_VALUE"""),65)</f>
        <v>65</v>
      </c>
      <c r="H178" s="74">
        <f ca="1">IFERROR(__xludf.DUMMYFUNCTION("""COMPUTED_VALUE"""),91)</f>
        <v>91</v>
      </c>
      <c r="I178" s="74">
        <f ca="1">IFERROR(__xludf.DUMMYFUNCTION("""COMPUTED_VALUE"""),100)</f>
        <v>100</v>
      </c>
    </row>
    <row r="179" spans="2:9" ht="27" customHeight="1">
      <c r="B179" s="73" t="str">
        <f ca="1">IFERROR(__xludf.DUMMYFUNCTION("""COMPUTED_VALUE"""),"NEURO EXKEN")</f>
        <v>NEURO EXKEN</v>
      </c>
      <c r="C179" s="73" t="str">
        <f ca="1">IFERROR(__xludf.DUMMYFUNCTION("""COMPUTED_VALUE"""),"CAJA 20 TABLETAS")</f>
        <v>CAJA 20 TABLETAS</v>
      </c>
      <c r="D179" s="73" t="str">
        <f ca="1">IFERROR(__xludf.DUMMYFUNCTION("""COMPUTED_VALUE"""),"DEXKETOPROFENO/VITAMINAS NEUROTROPAS B1, B6 y B12")</f>
        <v>DEXKETOPROFENO/VITAMINAS NEUROTROPAS B1, B6 y B12</v>
      </c>
      <c r="E179" s="73" t="str">
        <f ca="1">IFERROR(__xludf.DUMMYFUNCTION("""COMPUTED_VALUE"""),"PHARA")</f>
        <v>PHARA</v>
      </c>
      <c r="F179" s="75">
        <f ca="1">IFERROR(__xludf.DUMMYFUNCTION("""COMPUTED_VALUE"""),45683)</f>
        <v>45683</v>
      </c>
      <c r="G179" s="74">
        <f ca="1">IFERROR(__xludf.DUMMYFUNCTION("""COMPUTED_VALUE"""),84.03)</f>
        <v>84.03</v>
      </c>
      <c r="H179" s="74">
        <f ca="1">IFERROR(__xludf.DUMMYFUNCTION("""COMPUTED_VALUE"""),117.642)</f>
        <v>117.642</v>
      </c>
      <c r="I179" s="74">
        <f ca="1">IFERROR(__xludf.DUMMYFUNCTION("""COMPUTED_VALUE"""),125)</f>
        <v>125</v>
      </c>
    </row>
    <row r="180" spans="2:9" ht="27" customHeight="1">
      <c r="B180" s="73" t="str">
        <f ca="1">IFERROR(__xludf.DUMMYFUNCTION("""COMPUTED_VALUE"""),"NIC")</f>
        <v>NIC</v>
      </c>
      <c r="C180" s="73" t="str">
        <f ca="1">IFERROR(__xludf.DUMMYFUNCTION("""COMPUTED_VALUE"""),"CAJA 10 TABLETAS")</f>
        <v>CAJA 10 TABLETAS</v>
      </c>
      <c r="D180" s="73" t="str">
        <f ca="1">IFERROR(__xludf.DUMMYFUNCTION("""COMPUTED_VALUE"""),"CLARITROMICINA 500MG")</f>
        <v>CLARITROMICINA 500MG</v>
      </c>
      <c r="E180" s="73" t="str">
        <f ca="1">IFERROR(__xludf.DUMMYFUNCTION("""COMPUTED_VALUE"""),"FARMEX")</f>
        <v>FARMEX</v>
      </c>
      <c r="F180" s="75">
        <f ca="1">IFERROR(__xludf.DUMMYFUNCTION("""COMPUTED_VALUE"""),46018)</f>
        <v>46018</v>
      </c>
      <c r="G180" s="74">
        <f ca="1">IFERROR(__xludf.DUMMYFUNCTION("""COMPUTED_VALUE"""),110)</f>
        <v>110</v>
      </c>
      <c r="H180" s="74">
        <f ca="1">IFERROR(__xludf.DUMMYFUNCTION("""COMPUTED_VALUE"""),154)</f>
        <v>154</v>
      </c>
      <c r="I180" s="74">
        <f ca="1">IFERROR(__xludf.DUMMYFUNCTION("""COMPUTED_VALUE"""),155)</f>
        <v>155</v>
      </c>
    </row>
    <row r="181" spans="2:9" ht="27" customHeight="1">
      <c r="B181" s="73" t="str">
        <f ca="1">IFERROR(__xludf.DUMMYFUNCTION("""COMPUTED_VALUE"""),"NIC")</f>
        <v>NIC</v>
      </c>
      <c r="C181" s="73" t="str">
        <f ca="1">IFERROR(__xludf.DUMMYFUNCTION("""COMPUTED_VALUE"""),"FRASCO 60ML")</f>
        <v>FRASCO 60ML</v>
      </c>
      <c r="D181" s="73" t="str">
        <f ca="1">IFERROR(__xludf.DUMMYFUNCTION("""COMPUTED_VALUE"""),"CLARITROMICINA 250MG")</f>
        <v>CLARITROMICINA 250MG</v>
      </c>
      <c r="E181" s="73" t="str">
        <f ca="1">IFERROR(__xludf.DUMMYFUNCTION("""COMPUTED_VALUE"""),"FARMEX")</f>
        <v>FARMEX</v>
      </c>
      <c r="F181" s="75">
        <f ca="1">IFERROR(__xludf.DUMMYFUNCTION("""COMPUTED_VALUE"""),45774)</f>
        <v>45774</v>
      </c>
      <c r="G181" s="74">
        <f ca="1">IFERROR(__xludf.DUMMYFUNCTION("""COMPUTED_VALUE"""),110)</f>
        <v>110</v>
      </c>
      <c r="H181" s="74">
        <f ca="1">IFERROR(__xludf.DUMMYFUNCTION("""COMPUTED_VALUE"""),154)</f>
        <v>154</v>
      </c>
      <c r="I181" s="74">
        <f ca="1">IFERROR(__xludf.DUMMYFUNCTION("""COMPUTED_VALUE"""),155)</f>
        <v>155</v>
      </c>
    </row>
    <row r="182" spans="2:9" ht="27" customHeight="1">
      <c r="B182" s="73" t="str">
        <f ca="1">IFERROR(__xludf.DUMMYFUNCTION("""COMPUTED_VALUE"""),"NOLAXONA")</f>
        <v>NOLAXONA</v>
      </c>
      <c r="C182" s="73" t="str">
        <f ca="1">IFERROR(__xludf.DUMMYFUNCTION("""COMPUTED_VALUE"""),"AMPOLLA")</f>
        <v>AMPOLLA</v>
      </c>
      <c r="D182" s="73" t="str">
        <f ca="1">IFERROR(__xludf.DUMMYFUNCTION("""COMPUTED_VALUE"""),"CLORHIDRATO DE NOLAXONA")</f>
        <v>CLORHIDRATO DE NOLAXONA</v>
      </c>
      <c r="E182" s="73"/>
      <c r="F182" s="75">
        <f ca="1">IFERROR(__xludf.DUMMYFUNCTION("""COMPUTED_VALUE"""),45684)</f>
        <v>45684</v>
      </c>
      <c r="G182" s="74">
        <f ca="1">IFERROR(__xludf.DUMMYFUNCTION("""COMPUTED_VALUE"""),68)</f>
        <v>68</v>
      </c>
      <c r="H182" s="74">
        <f ca="1">IFERROR(__xludf.DUMMYFUNCTION("""COMPUTED_VALUE"""),95.2)</f>
        <v>95.2</v>
      </c>
      <c r="I182" s="74">
        <f ca="1">IFERROR(__xludf.DUMMYFUNCTION("""COMPUTED_VALUE"""),95)</f>
        <v>95</v>
      </c>
    </row>
    <row r="183" spans="2:9" ht="27" customHeight="1">
      <c r="B183" s="73" t="str">
        <f ca="1">IFERROR(__xludf.DUMMYFUNCTION("""COMPUTED_VALUE"""),"NORBRAIN")</f>
        <v>NORBRAIN</v>
      </c>
      <c r="C183" s="73" t="str">
        <f ca="1">IFERROR(__xludf.DUMMYFUNCTION("""COMPUTED_VALUE"""),"CAJA 30 SOBRES")</f>
        <v>CAJA 30 SOBRES</v>
      </c>
      <c r="D183" s="73" t="str">
        <f ca="1">IFERROR(__xludf.DUMMYFUNCTION("""COMPUTED_VALUE"""),"ACIDO OLEICO, AACIDO ROSMARÍNICO, CALÉNDULA, ACIDO GAMMA-AMNOBUTÍTICO")</f>
        <v>ACIDO OLEICO, AACIDO ROSMARÍNICO, CALÉNDULA, ACIDO GAMMA-AMNOBUTÍTICO</v>
      </c>
      <c r="E183" s="73" t="str">
        <f ca="1">IFERROR(__xludf.DUMMYFUNCTION("""COMPUTED_VALUE"""),"PHARMALAT")</f>
        <v>PHARMALAT</v>
      </c>
      <c r="F183" s="75">
        <f ca="1">IFERROR(__xludf.DUMMYFUNCTION("""COMPUTED_VALUE"""),45987)</f>
        <v>45987</v>
      </c>
      <c r="G183" s="74">
        <f ca="1">IFERROR(__xludf.DUMMYFUNCTION("""COMPUTED_VALUE"""),1348)</f>
        <v>1348</v>
      </c>
      <c r="H183" s="74">
        <f ca="1">IFERROR(__xludf.DUMMYFUNCTION("""COMPUTED_VALUE"""),1887.2)</f>
        <v>1887.2</v>
      </c>
      <c r="I183" s="74">
        <f ca="1">IFERROR(__xludf.DUMMYFUNCTION("""COMPUTED_VALUE"""),1900)</f>
        <v>1900</v>
      </c>
    </row>
    <row r="184" spans="2:9" ht="27" customHeight="1">
      <c r="B184" s="73" t="str">
        <f ca="1">IFERROR(__xludf.DUMMYFUNCTION("""COMPUTED_VALUE"""),"NOREPENEFRINA")</f>
        <v>NOREPENEFRINA</v>
      </c>
      <c r="C184" s="73" t="str">
        <f ca="1">IFERROR(__xludf.DUMMYFUNCTION("""COMPUTED_VALUE"""),"AMPOLLA 4 ML")</f>
        <v>AMPOLLA 4 ML</v>
      </c>
      <c r="D184" s="73" t="str">
        <f ca="1">IFERROR(__xludf.DUMMYFUNCTION("""COMPUTED_VALUE"""),"se usa para aumentar la presión arterial baja")</f>
        <v>se usa para aumentar la presión arterial baja</v>
      </c>
      <c r="E184" s="73" t="str">
        <f ca="1">IFERROR(__xludf.DUMMYFUNCTION("""COMPUTED_VALUE"""),"QUALITY")</f>
        <v>QUALITY</v>
      </c>
      <c r="F184" s="75">
        <f ca="1">IFERROR(__xludf.DUMMYFUNCTION("""COMPUTED_VALUE"""),45714)</f>
        <v>45714</v>
      </c>
      <c r="G184" s="74">
        <f ca="1">IFERROR(__xludf.DUMMYFUNCTION("""COMPUTED_VALUE"""),51.75)</f>
        <v>51.75</v>
      </c>
      <c r="H184" s="74">
        <f ca="1">IFERROR(__xludf.DUMMYFUNCTION("""COMPUTED_VALUE"""),72.45)</f>
        <v>72.45</v>
      </c>
      <c r="I184" s="74">
        <f ca="1">IFERROR(__xludf.DUMMYFUNCTION("""COMPUTED_VALUE"""),75)</f>
        <v>75</v>
      </c>
    </row>
    <row r="185" spans="2:9" ht="27" customHeight="1">
      <c r="B185" s="73" t="str">
        <f ca="1">IFERROR(__xludf.DUMMYFUNCTION("""COMPUTED_VALUE"""),"NOVA CISTEINA")</f>
        <v>NOVA CISTEINA</v>
      </c>
      <c r="C185" s="73" t="str">
        <f ca="1">IFERROR(__xludf.DUMMYFUNCTION("""COMPUTED_VALUE"""),"COMPRIMIDO EFERVECENTE")</f>
        <v>COMPRIMIDO EFERVECENTE</v>
      </c>
      <c r="D185" s="73" t="str">
        <f ca="1">IFERROR(__xludf.DUMMYFUNCTION("""COMPUTED_VALUE"""),"N-ACETILCISTEÍNA")</f>
        <v>N-ACETILCISTEÍNA</v>
      </c>
      <c r="E185" s="73" t="str">
        <f ca="1">IFERROR(__xludf.DUMMYFUNCTION("""COMPUTED_VALUE"""),"NOVALAB")</f>
        <v>NOVALAB</v>
      </c>
      <c r="F185" s="75">
        <f ca="1">IFERROR(__xludf.DUMMYFUNCTION("""COMPUTED_VALUE"""),45835)</f>
        <v>45835</v>
      </c>
      <c r="G185" s="74">
        <f ca="1">IFERROR(__xludf.DUMMYFUNCTION("""COMPUTED_VALUE"""),110.25)</f>
        <v>110.25</v>
      </c>
      <c r="H185" s="74">
        <f ca="1">IFERROR(__xludf.DUMMYFUNCTION("""COMPUTED_VALUE"""),154.35)</f>
        <v>154.35</v>
      </c>
      <c r="I185" s="74">
        <f ca="1">IFERROR(__xludf.DUMMYFUNCTION("""COMPUTED_VALUE"""),160)</f>
        <v>160</v>
      </c>
    </row>
    <row r="186" spans="2:9" ht="27" customHeight="1">
      <c r="B186" s="73" t="str">
        <f ca="1">IFERROR(__xludf.DUMMYFUNCTION("""COMPUTED_VALUE"""),"NÚCLEO C.M.P. FORTE")</f>
        <v>NÚCLEO C.M.P. FORTE</v>
      </c>
      <c r="C186" s="73" t="str">
        <f ca="1">IFERROR(__xludf.DUMMYFUNCTION("""COMPUTED_VALUE"""),"CAJA 30 CAPSULAS")</f>
        <v>CAJA 30 CAPSULAS</v>
      </c>
      <c r="D186" s="73" t="str">
        <f ca="1">IFERROR(__xludf.DUMMYFUNCTION("""COMPUTED_VALUE"""),"CAJA 30 CAPSULAS")</f>
        <v>CAJA 30 CAPSULAS</v>
      </c>
      <c r="E186" s="73" t="str">
        <f ca="1">IFERROR(__xludf.DUMMYFUNCTION("""COMPUTED_VALUE"""),"BOFASA")</f>
        <v>BOFASA</v>
      </c>
      <c r="F186" s="75">
        <f ca="1">IFERROR(__xludf.DUMMYFUNCTION("""COMPUTED_VALUE"""),45773)</f>
        <v>45773</v>
      </c>
      <c r="G186" s="74">
        <f ca="1">IFERROR(__xludf.DUMMYFUNCTION("""COMPUTED_VALUE"""),130.45)</f>
        <v>130.44999999999999</v>
      </c>
      <c r="H186" s="74">
        <f ca="1">IFERROR(__xludf.DUMMYFUNCTION("""COMPUTED_VALUE"""),182.63)</f>
        <v>182.63</v>
      </c>
      <c r="I186" s="74">
        <f ca="1">IFERROR(__xludf.DUMMYFUNCTION("""COMPUTED_VALUE"""),198)</f>
        <v>198</v>
      </c>
    </row>
    <row r="187" spans="2:9" ht="27" customHeight="1">
      <c r="B187" s="73" t="str">
        <f ca="1">IFERROR(__xludf.DUMMYFUNCTION("""COMPUTED_VALUE"""),"NÚCLEO C.M.P. FORTE")</f>
        <v>NÚCLEO C.M.P. FORTE</v>
      </c>
      <c r="C187" s="73" t="str">
        <f ca="1">IFERROR(__xludf.DUMMYFUNCTION("""COMPUTED_VALUE"""),"CAJA 3 AMPOLLAS")</f>
        <v>CAJA 3 AMPOLLAS</v>
      </c>
      <c r="D187" s="73" t="str">
        <f ca="1">IFERROR(__xludf.DUMMYFUNCTION("""COMPUTED_VALUE"""),"CAJA 3 AMPOLLAS")</f>
        <v>CAJA 3 AMPOLLAS</v>
      </c>
      <c r="E187" s="73" t="str">
        <f ca="1">IFERROR(__xludf.DUMMYFUNCTION("""COMPUTED_VALUE"""),"BOFASA")</f>
        <v>BOFASA</v>
      </c>
      <c r="F187" s="75">
        <f ca="1">IFERROR(__xludf.DUMMYFUNCTION("""COMPUTED_VALUE"""),45834)</f>
        <v>45834</v>
      </c>
      <c r="G187" s="74">
        <f ca="1">IFERROR(__xludf.DUMMYFUNCTION("""COMPUTED_VALUE"""),123.45)</f>
        <v>123.45</v>
      </c>
      <c r="H187" s="74">
        <f ca="1">IFERROR(__xludf.DUMMYFUNCTION("""COMPUTED_VALUE"""),172.83)</f>
        <v>172.83</v>
      </c>
      <c r="I187" s="74">
        <f ca="1">IFERROR(__xludf.DUMMYFUNCTION("""COMPUTED_VALUE"""),175)</f>
        <v>175</v>
      </c>
    </row>
    <row r="188" spans="2:9" ht="27" customHeight="1">
      <c r="B188" s="73" t="str">
        <f ca="1">IFERROR(__xludf.DUMMYFUNCTION("""COMPUTED_VALUE"""),"ODCAN")</f>
        <v>ODCAN</v>
      </c>
      <c r="C188" s="73" t="str">
        <f ca="1">IFERROR(__xludf.DUMMYFUNCTION("""COMPUTED_VALUE"""),"CAJA 2 TAB.")</f>
        <v>CAJA 2 TAB.</v>
      </c>
      <c r="D188" s="73" t="str">
        <f ca="1">IFERROR(__xludf.DUMMYFUNCTION("""COMPUTED_VALUE"""),"FLUCONAZOL")</f>
        <v>FLUCONAZOL</v>
      </c>
      <c r="E188" s="73" t="str">
        <f ca="1">IFERROR(__xludf.DUMMYFUNCTION("""COMPUTED_VALUE"""),"PRISM")</f>
        <v>PRISM</v>
      </c>
      <c r="F188" s="75">
        <f ca="1">IFERROR(__xludf.DUMMYFUNCTION("""COMPUTED_VALUE"""),45956)</f>
        <v>45956</v>
      </c>
      <c r="G188" s="74">
        <f ca="1">IFERROR(__xludf.DUMMYFUNCTION("""COMPUTED_VALUE"""),10)</f>
        <v>10</v>
      </c>
      <c r="H188" s="74">
        <f ca="1">IFERROR(__xludf.DUMMYFUNCTION("""COMPUTED_VALUE"""),14)</f>
        <v>14</v>
      </c>
      <c r="I188" s="74">
        <f ca="1">IFERROR(__xludf.DUMMYFUNCTION("""COMPUTED_VALUE"""),15)</f>
        <v>15</v>
      </c>
    </row>
    <row r="189" spans="2:9" ht="27" customHeight="1">
      <c r="B189" s="73" t="str">
        <f ca="1">IFERROR(__xludf.DUMMYFUNCTION("""COMPUTED_VALUE"""),"OMEPPRAZOL 20MG")</f>
        <v>OMEPPRAZOL 20MG</v>
      </c>
      <c r="C189" s="73" t="str">
        <f ca="1">IFERROR(__xludf.DUMMYFUNCTION("""COMPUTED_VALUE"""),"BLISTER DE 10 TAB.")</f>
        <v>BLISTER DE 10 TAB.</v>
      </c>
      <c r="D189" s="73" t="str">
        <f ca="1">IFERROR(__xludf.DUMMYFUNCTION("""COMPUTED_VALUE"""),"OMEPFRAZOL 20MG")</f>
        <v>OMEPFRAZOL 20MG</v>
      </c>
      <c r="E189" s="73" t="str">
        <f ca="1">IFERROR(__xludf.DUMMYFUNCTION("""COMPUTED_VALUE"""),"CAPLIN POINT")</f>
        <v>CAPLIN POINT</v>
      </c>
      <c r="F189" s="75">
        <f ca="1">IFERROR(__xludf.DUMMYFUNCTION("""COMPUTED_VALUE"""),45835)</f>
        <v>45835</v>
      </c>
      <c r="G189" s="74">
        <f ca="1">IFERROR(__xludf.DUMMYFUNCTION("""COMPUTED_VALUE"""),10.3)</f>
        <v>10.3</v>
      </c>
      <c r="H189" s="74">
        <f ca="1">IFERROR(__xludf.DUMMYFUNCTION("""COMPUTED_VALUE"""),14.42)</f>
        <v>14.42</v>
      </c>
      <c r="I189" s="74">
        <f ca="1">IFERROR(__xludf.DUMMYFUNCTION("""COMPUTED_VALUE"""),20)</f>
        <v>20</v>
      </c>
    </row>
    <row r="190" spans="2:9" ht="27" customHeight="1">
      <c r="B190" s="73" t="str">
        <f ca="1">IFERROR(__xludf.DUMMYFUNCTION("""COMPUTED_VALUE"""),"OMEPRAZOL 40MG")</f>
        <v>OMEPRAZOL 40MG</v>
      </c>
      <c r="C190" s="73" t="str">
        <f ca="1">IFERROR(__xludf.DUMMYFUNCTION("""COMPUTED_VALUE"""),"FRASCO IV")</f>
        <v>FRASCO IV</v>
      </c>
      <c r="D190" s="73" t="str">
        <f ca="1">IFERROR(__xludf.DUMMYFUNCTION("""COMPUTED_VALUE"""),"OMEPRAZOL 40MG")</f>
        <v>OMEPRAZOL 40MG</v>
      </c>
      <c r="E190" s="73" t="str">
        <f ca="1">IFERROR(__xludf.DUMMYFUNCTION("""COMPUTED_VALUE"""),"VITALIS")</f>
        <v>VITALIS</v>
      </c>
      <c r="F190" s="75">
        <f ca="1">IFERROR(__xludf.DUMMYFUNCTION("""COMPUTED_VALUE"""),45927)</f>
        <v>45927</v>
      </c>
      <c r="G190" s="74">
        <f ca="1">IFERROR(__xludf.DUMMYFUNCTION("""COMPUTED_VALUE"""),8.7)</f>
        <v>8.6999999999999993</v>
      </c>
      <c r="H190" s="74">
        <f ca="1">IFERROR(__xludf.DUMMYFUNCTION("""COMPUTED_VALUE"""),12.18)</f>
        <v>12.18</v>
      </c>
      <c r="I190" s="74">
        <f ca="1">IFERROR(__xludf.DUMMYFUNCTION("""COMPUTED_VALUE"""),40)</f>
        <v>40</v>
      </c>
    </row>
    <row r="191" spans="2:9" ht="27" customHeight="1">
      <c r="B191" s="73" t="str">
        <f ca="1">IFERROR(__xludf.DUMMYFUNCTION("""COMPUTED_VALUE"""),"ONDASETRÓN 8MG.")</f>
        <v>ONDASETRÓN 8MG.</v>
      </c>
      <c r="C191" s="73" t="str">
        <f ca="1">IFERROR(__xludf.DUMMYFUNCTION("""COMPUTED_VALUE"""),"AMPOLLA")</f>
        <v>AMPOLLA</v>
      </c>
      <c r="D191" s="73" t="str">
        <f ca="1">IFERROR(__xludf.DUMMYFUNCTION("""COMPUTED_VALUE"""),"ONDASETRÓN")</f>
        <v>ONDASETRÓN</v>
      </c>
      <c r="E191" s="73" t="str">
        <f ca="1">IFERROR(__xludf.DUMMYFUNCTION("""COMPUTED_VALUE"""),"P&amp;C PHARMA")</f>
        <v>P&amp;C PHARMA</v>
      </c>
      <c r="F191" s="75">
        <f ca="1">IFERROR(__xludf.DUMMYFUNCTION("""COMPUTED_VALUE"""),45865)</f>
        <v>45865</v>
      </c>
      <c r="G191" s="74">
        <f ca="1">IFERROR(__xludf.DUMMYFUNCTION("""COMPUTED_VALUE"""),35)</f>
        <v>35</v>
      </c>
      <c r="H191" s="74">
        <f ca="1">IFERROR(__xludf.DUMMYFUNCTION("""COMPUTED_VALUE"""),49)</f>
        <v>49</v>
      </c>
      <c r="I191" s="74">
        <f ca="1">IFERROR(__xludf.DUMMYFUNCTION("""COMPUTED_VALUE"""),85)</f>
        <v>85</v>
      </c>
    </row>
    <row r="192" spans="2:9" ht="27" customHeight="1">
      <c r="B192" s="73" t="str">
        <f ca="1">IFERROR(__xludf.DUMMYFUNCTION("""COMPUTED_VALUE"""),"ORAXIMA")</f>
        <v>ORAXIMA</v>
      </c>
      <c r="C192" s="73" t="str">
        <f ca="1">IFERROR(__xludf.DUMMYFUNCTION("""COMPUTED_VALUE"""),"SPRAY 30ML")</f>
        <v>SPRAY 30ML</v>
      </c>
      <c r="D192" s="73" t="str">
        <f ca="1">IFERROR(__xludf.DUMMYFUNCTION("""COMPUTED_VALUE"""),"PROPOLEO, MANZANILLA, ACEITES ESENCIALES")</f>
        <v>PROPOLEO, MANZANILLA, ACEITES ESENCIALES</v>
      </c>
      <c r="E192" s="73" t="str">
        <f ca="1">IFERROR(__xludf.DUMMYFUNCTION("""COMPUTED_VALUE"""),"VIZCAINO")</f>
        <v>VIZCAINO</v>
      </c>
      <c r="F192" s="75">
        <f ca="1">IFERROR(__xludf.DUMMYFUNCTION("""COMPUTED_VALUE"""),45864)</f>
        <v>45864</v>
      </c>
      <c r="G192" s="74">
        <f ca="1">IFERROR(__xludf.DUMMYFUNCTION("""COMPUTED_VALUE"""),96.04)</f>
        <v>96.04</v>
      </c>
      <c r="H192" s="74">
        <f ca="1">IFERROR(__xludf.DUMMYFUNCTION("""COMPUTED_VALUE"""),134.456)</f>
        <v>134.45599999999999</v>
      </c>
      <c r="I192" s="74">
        <f ca="1">IFERROR(__xludf.DUMMYFUNCTION("""COMPUTED_VALUE"""),130)</f>
        <v>130</v>
      </c>
    </row>
    <row r="193" spans="2:9" ht="27" customHeight="1">
      <c r="B193" s="73" t="str">
        <f ca="1">IFERROR(__xludf.DUMMYFUNCTION("""COMPUTED_VALUE"""),"OSMAX")</f>
        <v>OSMAX</v>
      </c>
      <c r="C193" s="73" t="str">
        <f ca="1">IFERROR(__xludf.DUMMYFUNCTION("""COMPUTED_VALUE"""),"CAJA 4 TAB.")</f>
        <v>CAJA 4 TAB.</v>
      </c>
      <c r="D193" s="73" t="str">
        <f ca="1">IFERROR(__xludf.DUMMYFUNCTION("""COMPUTED_VALUE"""),"ALENDRONATO SÓDICO 70MG")</f>
        <v>ALENDRONATO SÓDICO 70MG</v>
      </c>
      <c r="E193" s="73" t="str">
        <f ca="1">IFERROR(__xludf.DUMMYFUNCTION("""COMPUTED_VALUE"""),"NIUMED GROUP")</f>
        <v>NIUMED GROUP</v>
      </c>
      <c r="F193" s="75">
        <f ca="1">IFERROR(__xludf.DUMMYFUNCTION("""COMPUTED_VALUE"""),45864)</f>
        <v>45864</v>
      </c>
      <c r="G193" s="74">
        <f ca="1">IFERROR(__xludf.DUMMYFUNCTION("""COMPUTED_VALUE"""),57.5)</f>
        <v>57.5</v>
      </c>
      <c r="H193" s="74">
        <f ca="1">IFERROR(__xludf.DUMMYFUNCTION("""COMPUTED_VALUE"""),80.5)</f>
        <v>80.5</v>
      </c>
      <c r="I193" s="74">
        <f ca="1">IFERROR(__xludf.DUMMYFUNCTION("""COMPUTED_VALUE"""),80)</f>
        <v>80</v>
      </c>
    </row>
    <row r="194" spans="2:9" ht="27" customHeight="1">
      <c r="B194" s="73" t="str">
        <f ca="1">IFERROR(__xludf.DUMMYFUNCTION("""COMPUTED_VALUE"""),"OTROZOL 500")</f>
        <v>OTROZOL 500</v>
      </c>
      <c r="C194" s="73" t="str">
        <f ca="1">IFERROR(__xludf.DUMMYFUNCTION("""COMPUTED_VALUE"""),"FRASCO 100ML.")</f>
        <v>FRASCO 100ML.</v>
      </c>
      <c r="D194" s="73" t="str">
        <f ca="1">IFERROR(__xludf.DUMMYFUNCTION("""COMPUTED_VALUE"""),"METRONIDAZOL 500MG")</f>
        <v>METRONIDAZOL 500MG</v>
      </c>
      <c r="E194" s="73" t="str">
        <f ca="1">IFERROR(__xludf.DUMMYFUNCTION("""COMPUTED_VALUE"""),"PISA")</f>
        <v>PISA</v>
      </c>
      <c r="F194" s="75">
        <f ca="1">IFERROR(__xludf.DUMMYFUNCTION("""COMPUTED_VALUE"""),45926)</f>
        <v>45926</v>
      </c>
      <c r="G194" s="74">
        <f ca="1">IFERROR(__xludf.DUMMYFUNCTION("""COMPUTED_VALUE"""),20)</f>
        <v>20</v>
      </c>
      <c r="H194" s="74">
        <f ca="1">IFERROR(__xludf.DUMMYFUNCTION("""COMPUTED_VALUE"""),28)</f>
        <v>28</v>
      </c>
      <c r="I194" s="74">
        <f ca="1">IFERROR(__xludf.DUMMYFUNCTION("""COMPUTED_VALUE"""),30)</f>
        <v>30</v>
      </c>
    </row>
    <row r="195" spans="2:9" ht="27" customHeight="1">
      <c r="B195" s="73" t="str">
        <f ca="1">IFERROR(__xludf.DUMMYFUNCTION("""COMPUTED_VALUE"""),"PAÑAL DESECHABLE NIÑO")</f>
        <v>PAÑAL DESECHABLE NIÑO</v>
      </c>
      <c r="C195" s="73" t="str">
        <f ca="1">IFERROR(__xludf.DUMMYFUNCTION("""COMPUTED_VALUE"""),"UNIDAD")</f>
        <v>UNIDAD</v>
      </c>
      <c r="D195" s="73" t="str">
        <f ca="1">IFERROR(__xludf.DUMMYFUNCTION("""COMPUTED_VALUE"""),"PAÑALES")</f>
        <v>PAÑALES</v>
      </c>
      <c r="E195" s="73" t="str">
        <f ca="1">IFERROR(__xludf.DUMMYFUNCTION("""COMPUTED_VALUE"""),"SUPER MAS")</f>
        <v>SUPER MAS</v>
      </c>
      <c r="F195" s="75">
        <f ca="1">IFERROR(__xludf.DUMMYFUNCTION("""COMPUTED_VALUE"""),45714)</f>
        <v>45714</v>
      </c>
      <c r="G195" s="74">
        <f ca="1">IFERROR(__xludf.DUMMYFUNCTION("""COMPUTED_VALUE"""),3)</f>
        <v>3</v>
      </c>
      <c r="H195" s="74">
        <f ca="1">IFERROR(__xludf.DUMMYFUNCTION("""COMPUTED_VALUE"""),4.2)</f>
        <v>4.2</v>
      </c>
      <c r="I195" s="74">
        <f ca="1">IFERROR(__xludf.DUMMYFUNCTION("""COMPUTED_VALUE"""),5)</f>
        <v>5</v>
      </c>
    </row>
    <row r="196" spans="2:9" ht="27" customHeight="1">
      <c r="B196" s="73" t="str">
        <f ca="1">IFERROR(__xludf.DUMMYFUNCTION("""COMPUTED_VALUE"""),"Pañale Desechable Adulto")</f>
        <v>Pañale Desechable Adulto</v>
      </c>
      <c r="C196" s="73" t="str">
        <f ca="1">IFERROR(__xludf.DUMMYFUNCTION("""COMPUTED_VALUE"""),"paquete 6")</f>
        <v>paquete 6</v>
      </c>
      <c r="D196" s="73" t="str">
        <f ca="1">IFERROR(__xludf.DUMMYFUNCTION("""COMPUTED_VALUE"""),"INNOVA MED")</f>
        <v>INNOVA MED</v>
      </c>
      <c r="E196" s="73" t="str">
        <f ca="1">IFERROR(__xludf.DUMMYFUNCTION("""COMPUTED_VALUE"""),"SUPER MAS")</f>
        <v>SUPER MAS</v>
      </c>
      <c r="F196" s="75">
        <f ca="1">IFERROR(__xludf.DUMMYFUNCTION("""COMPUTED_VALUE"""),45956)</f>
        <v>45956</v>
      </c>
      <c r="G196" s="74">
        <f ca="1">IFERROR(__xludf.DUMMYFUNCTION("""COMPUTED_VALUE"""),6.5)</f>
        <v>6.5</v>
      </c>
      <c r="H196" s="74">
        <f ca="1">IFERROR(__xludf.DUMMYFUNCTION("""COMPUTED_VALUE"""),9.1)</f>
        <v>9.1</v>
      </c>
      <c r="I196" s="74">
        <f ca="1">IFERROR(__xludf.DUMMYFUNCTION("""COMPUTED_VALUE"""),10)</f>
        <v>10</v>
      </c>
    </row>
    <row r="197" spans="2:9" ht="27" customHeight="1">
      <c r="B197" s="73" t="str">
        <f ca="1">IFERROR(__xludf.DUMMYFUNCTION("""COMPUTED_VALUE"""),"PARACO-DENK 500/30 MG")</f>
        <v>PARACO-DENK 500/30 MG</v>
      </c>
      <c r="C197" s="73" t="str">
        <f ca="1">IFERROR(__xludf.DUMMYFUNCTION("""COMPUTED_VALUE"""),"CAJA 20 COMPRIMIDOS")</f>
        <v>CAJA 20 COMPRIMIDOS</v>
      </c>
      <c r="D197" s="73" t="str">
        <f ca="1">IFERROR(__xludf.DUMMYFUNCTION("""COMPUTED_VALUE"""),"PARACETAMOL 500MG/FOSFATO DE CODEÍNA HEMIHIDRATADO 30MG")</f>
        <v>PARACETAMOL 500MG/FOSFATO DE CODEÍNA HEMIHIDRATADO 30MG</v>
      </c>
      <c r="E197" s="73" t="str">
        <f ca="1">IFERROR(__xludf.DUMMYFUNCTION("""COMPUTED_VALUE"""),"QUALIPHARM")</f>
        <v>QUALIPHARM</v>
      </c>
      <c r="F197" s="75">
        <f ca="1">IFERROR(__xludf.DUMMYFUNCTION("""COMPUTED_VALUE"""),45926)</f>
        <v>45926</v>
      </c>
      <c r="G197" s="74">
        <f ca="1">IFERROR(__xludf.DUMMYFUNCTION("""COMPUTED_VALUE"""),79.09)</f>
        <v>79.09</v>
      </c>
      <c r="H197" s="74">
        <f ca="1">IFERROR(__xludf.DUMMYFUNCTION("""COMPUTED_VALUE"""),110.726)</f>
        <v>110.726</v>
      </c>
      <c r="I197" s="74">
        <f ca="1">IFERROR(__xludf.DUMMYFUNCTION("""COMPUTED_VALUE"""),110)</f>
        <v>110</v>
      </c>
    </row>
    <row r="198" spans="2:9" ht="27" customHeight="1">
      <c r="B198" s="73" t="str">
        <f ca="1">IFERROR(__xludf.DUMMYFUNCTION("""COMPUTED_VALUE"""),"PARACONICA")</f>
        <v>PARACONICA</v>
      </c>
      <c r="C198" s="73" t="str">
        <f ca="1">IFERROR(__xludf.DUMMYFUNCTION("""COMPUTED_VALUE"""),"FRASCO IV")</f>
        <v>FRASCO IV</v>
      </c>
      <c r="D198" s="73" t="str">
        <f ca="1">IFERROR(__xludf.DUMMYFUNCTION("""COMPUTED_VALUE"""),"PARACONICA")</f>
        <v>PARACONICA</v>
      </c>
      <c r="E198" s="73" t="str">
        <f ca="1">IFERROR(__xludf.DUMMYFUNCTION("""COMPUTED_VALUE"""),"LANQUETAN")</f>
        <v>LANQUETAN</v>
      </c>
      <c r="F198" s="75">
        <f ca="1">IFERROR(__xludf.DUMMYFUNCTION("""COMPUTED_VALUE"""),45683)</f>
        <v>45683</v>
      </c>
      <c r="G198" s="74">
        <f ca="1">IFERROR(__xludf.DUMMYFUNCTION("""COMPUTED_VALUE"""),60)</f>
        <v>60</v>
      </c>
      <c r="H198" s="74">
        <f ca="1">IFERROR(__xludf.DUMMYFUNCTION("""COMPUTED_VALUE"""),84)</f>
        <v>84</v>
      </c>
      <c r="I198" s="74">
        <f ca="1">IFERROR(__xludf.DUMMYFUNCTION("""COMPUTED_VALUE"""),90)</f>
        <v>90</v>
      </c>
    </row>
    <row r="199" spans="2:9" ht="27" customHeight="1">
      <c r="B199" s="73" t="str">
        <f ca="1">IFERROR(__xludf.DUMMYFUNCTION("""COMPUTED_VALUE"""),"PENICLOR")</f>
        <v>PENICLOR</v>
      </c>
      <c r="C199" s="73" t="str">
        <f ca="1">IFERROR(__xludf.DUMMYFUNCTION("""COMPUTED_VALUE"""),"CAPSULA BLISTER")</f>
        <v>CAPSULA BLISTER</v>
      </c>
      <c r="D199" s="73" t="str">
        <f ca="1">IFERROR(__xludf.DUMMYFUNCTION("""COMPUTED_VALUE"""),"DICLOXACILINA 500MG")</f>
        <v>DICLOXACILINA 500MG</v>
      </c>
      <c r="E199" s="73" t="str">
        <f ca="1">IFERROR(__xludf.DUMMYFUNCTION("""COMPUTED_VALUE"""),"PHARMADEL")</f>
        <v>PHARMADEL</v>
      </c>
      <c r="F199" s="75">
        <f ca="1">IFERROR(__xludf.DUMMYFUNCTION("""COMPUTED_VALUE"""),45834)</f>
        <v>45834</v>
      </c>
      <c r="G199" s="74">
        <f ca="1">IFERROR(__xludf.DUMMYFUNCTION("""COMPUTED_VALUE"""),45)</f>
        <v>45</v>
      </c>
      <c r="H199" s="74">
        <f ca="1">IFERROR(__xludf.DUMMYFUNCTION("""COMPUTED_VALUE"""),63)</f>
        <v>63</v>
      </c>
      <c r="I199" s="74">
        <f ca="1">IFERROR(__xludf.DUMMYFUNCTION("""COMPUTED_VALUE"""),65)</f>
        <v>65</v>
      </c>
    </row>
    <row r="200" spans="2:9" ht="27" customHeight="1">
      <c r="B200" s="73" t="str">
        <f ca="1">IFERROR(__xludf.DUMMYFUNCTION("""COMPUTED_VALUE"""),"PENICLOR")</f>
        <v>PENICLOR</v>
      </c>
      <c r="C200" s="73" t="str">
        <f ca="1">IFERROR(__xludf.DUMMYFUNCTION("""COMPUTED_VALUE"""),"FRASCO 90ML")</f>
        <v>FRASCO 90ML</v>
      </c>
      <c r="D200" s="73" t="str">
        <f ca="1">IFERROR(__xludf.DUMMYFUNCTION("""COMPUTED_VALUE"""),"DICLOXACILINA 250MG/5ML")</f>
        <v>DICLOXACILINA 250MG/5ML</v>
      </c>
      <c r="E200" s="73" t="str">
        <f ca="1">IFERROR(__xludf.DUMMYFUNCTION("""COMPUTED_VALUE"""),"PHARMADEL")</f>
        <v>PHARMADEL</v>
      </c>
      <c r="F200" s="75">
        <f ca="1">IFERROR(__xludf.DUMMYFUNCTION("""COMPUTED_VALUE"""),45926)</f>
        <v>45926</v>
      </c>
      <c r="G200" s="74">
        <f ca="1">IFERROR(__xludf.DUMMYFUNCTION("""COMPUTED_VALUE"""),100)</f>
        <v>100</v>
      </c>
      <c r="H200" s="74">
        <f ca="1">IFERROR(__xludf.DUMMYFUNCTION("""COMPUTED_VALUE"""),140)</f>
        <v>140</v>
      </c>
      <c r="I200" s="74">
        <f ca="1">IFERROR(__xludf.DUMMYFUNCTION("""COMPUTED_VALUE"""),145)</f>
        <v>145</v>
      </c>
    </row>
    <row r="201" spans="2:9" ht="27" customHeight="1">
      <c r="B201" s="73" t="str">
        <f ca="1">IFERROR(__xludf.DUMMYFUNCTION("""COMPUTED_VALUE"""),"PHANEX")</f>
        <v>PHANEX</v>
      </c>
      <c r="C201" s="73" t="str">
        <f ca="1">IFERROR(__xludf.DUMMYFUNCTION("""COMPUTED_VALUE"""),"CAJA 30 SOBRES")</f>
        <v>CAJA 30 SOBRES</v>
      </c>
      <c r="D201" s="73" t="str">
        <f ca="1">IFERROR(__xludf.DUMMYFUNCTION("""COMPUTED_VALUE"""),"ESOMEPRAZOL 10MG")</f>
        <v>ESOMEPRAZOL 10MG</v>
      </c>
      <c r="E201" s="73" t="str">
        <f ca="1">IFERROR(__xludf.DUMMYFUNCTION("""COMPUTED_VALUE"""),"PHARA")</f>
        <v>PHARA</v>
      </c>
      <c r="F201" s="75">
        <f ca="1">IFERROR(__xludf.DUMMYFUNCTION("""COMPUTED_VALUE"""),45956)</f>
        <v>45956</v>
      </c>
      <c r="G201" s="74">
        <f ca="1">IFERROR(__xludf.DUMMYFUNCTION("""COMPUTED_VALUE"""),121.18)</f>
        <v>121.18</v>
      </c>
      <c r="H201" s="74">
        <f ca="1">IFERROR(__xludf.DUMMYFUNCTION("""COMPUTED_VALUE"""),169.652)</f>
        <v>169.65199999999999</v>
      </c>
      <c r="I201" s="74">
        <f ca="1">IFERROR(__xludf.DUMMYFUNCTION("""COMPUTED_VALUE"""),170)</f>
        <v>170</v>
      </c>
    </row>
    <row r="202" spans="2:9" ht="27" customHeight="1">
      <c r="B202" s="73" t="str">
        <f ca="1">IFERROR(__xludf.DUMMYFUNCTION("""COMPUTED_VALUE"""),"PHARA AMEB")</f>
        <v>PHARA AMEB</v>
      </c>
      <c r="C202" s="73" t="str">
        <f ca="1">IFERROR(__xludf.DUMMYFUNCTION("""COMPUTED_VALUE"""),"BLISTER 10 TAB.")</f>
        <v>BLISTER 10 TAB.</v>
      </c>
      <c r="D202" s="73" t="str">
        <f ca="1">IFERROR(__xludf.DUMMYFUNCTION("""COMPUTED_VALUE"""),"METRONIDAZOL 500MG")</f>
        <v>METRONIDAZOL 500MG</v>
      </c>
      <c r="E202" s="73" t="str">
        <f ca="1">IFERROR(__xludf.DUMMYFUNCTION("""COMPUTED_VALUE"""),"PHARA")</f>
        <v>PHARA</v>
      </c>
      <c r="F202" s="75">
        <f ca="1">IFERROR(__xludf.DUMMYFUNCTION("""COMPUTED_VALUE"""),45715)</f>
        <v>45715</v>
      </c>
      <c r="G202" s="74">
        <f ca="1">IFERROR(__xludf.DUMMYFUNCTION("""COMPUTED_VALUE"""),28)</f>
        <v>28</v>
      </c>
      <c r="H202" s="74">
        <f ca="1">IFERROR(__xludf.DUMMYFUNCTION("""COMPUTED_VALUE"""),39.2)</f>
        <v>39.200000000000003</v>
      </c>
      <c r="I202" s="74">
        <f ca="1">IFERROR(__xludf.DUMMYFUNCTION("""COMPUTED_VALUE"""),45)</f>
        <v>45</v>
      </c>
    </row>
    <row r="203" spans="2:9" ht="27" customHeight="1">
      <c r="B203" s="73" t="str">
        <f ca="1">IFERROR(__xludf.DUMMYFUNCTION("""COMPUTED_VALUE"""),"PHARA ENTEROBIOTICS")</f>
        <v>PHARA ENTEROBIOTICS</v>
      </c>
      <c r="C203" s="73" t="str">
        <f ca="1">IFERROR(__xludf.DUMMYFUNCTION("""COMPUTED_VALUE"""),"CAJA 10 AMP. BEBIBLES")</f>
        <v>CAJA 10 AMP. BEBIBLES</v>
      </c>
      <c r="D203" s="73" t="str">
        <f ca="1">IFERROR(__xludf.DUMMYFUNCTION("""COMPUTED_VALUE"""),"ESPORAS DE BACILIUS CLAUSII")</f>
        <v>ESPORAS DE BACILIUS CLAUSII</v>
      </c>
      <c r="E203" s="73" t="str">
        <f ca="1">IFERROR(__xludf.DUMMYFUNCTION("""COMPUTED_VALUE"""),"PHARA")</f>
        <v>PHARA</v>
      </c>
      <c r="F203" s="75">
        <f ca="1">IFERROR(__xludf.DUMMYFUNCTION("""COMPUTED_VALUE"""),45864)</f>
        <v>45864</v>
      </c>
      <c r="G203" s="74">
        <f ca="1">IFERROR(__xludf.DUMMYFUNCTION("""COMPUTED_VALUE"""),110)</f>
        <v>110</v>
      </c>
      <c r="H203" s="74">
        <f ca="1">IFERROR(__xludf.DUMMYFUNCTION("""COMPUTED_VALUE"""),154)</f>
        <v>154</v>
      </c>
      <c r="I203" s="74">
        <f ca="1">IFERROR(__xludf.DUMMYFUNCTION("""COMPUTED_VALUE"""),155)</f>
        <v>155</v>
      </c>
    </row>
    <row r="204" spans="2:9" ht="27" customHeight="1">
      <c r="B204" s="73" t="str">
        <f ca="1">IFERROR(__xludf.DUMMYFUNCTION("""COMPUTED_VALUE"""),"PHARA VIT GERIÁTRICO")</f>
        <v>PHARA VIT GERIÁTRICO</v>
      </c>
      <c r="C204" s="73" t="str">
        <f ca="1">IFERROR(__xludf.DUMMYFUNCTION("""COMPUTED_VALUE"""),"30 AMPOLLAS BEBIBLES")</f>
        <v>30 AMPOLLAS BEBIBLES</v>
      </c>
      <c r="D204" s="73" t="str">
        <f ca="1">IFERROR(__xludf.DUMMYFUNCTION("""COMPUTED_VALUE"""),"MULTIVITAMINICO")</f>
        <v>MULTIVITAMINICO</v>
      </c>
      <c r="E204" s="73" t="str">
        <f ca="1">IFERROR(__xludf.DUMMYFUNCTION("""COMPUTED_VALUE"""),"PHARA FARMECO")</f>
        <v>PHARA FARMECO</v>
      </c>
      <c r="F204" s="75">
        <f ca="1">IFERROR(__xludf.DUMMYFUNCTION("""COMPUTED_VALUE"""),45773)</f>
        <v>45773</v>
      </c>
      <c r="G204" s="74">
        <f ca="1">IFERROR(__xludf.DUMMYFUNCTION("""COMPUTED_VALUE"""),180)</f>
        <v>180</v>
      </c>
      <c r="H204" s="74">
        <f ca="1">IFERROR(__xludf.DUMMYFUNCTION("""COMPUTED_VALUE"""),252)</f>
        <v>252</v>
      </c>
      <c r="I204" s="74">
        <f ca="1">IFERROR(__xludf.DUMMYFUNCTION("""COMPUTED_VALUE"""),255)</f>
        <v>255</v>
      </c>
    </row>
    <row r="205" spans="2:9" ht="27" customHeight="1">
      <c r="B205" s="73" t="str">
        <f ca="1">IFERROR(__xludf.DUMMYFUNCTION("""COMPUTED_VALUE"""),"PIODAY M")</f>
        <v>PIODAY M</v>
      </c>
      <c r="C205" s="73" t="str">
        <f ca="1">IFERROR(__xludf.DUMMYFUNCTION("""COMPUTED_VALUE"""),"CAJA 30 TABLETAS")</f>
        <v>CAJA 30 TABLETAS</v>
      </c>
      <c r="D205" s="73" t="str">
        <f ca="1">IFERROR(__xludf.DUMMYFUNCTION("""COMPUTED_VALUE"""),"PIOGLITAZONA 15mg + METFORMINA clorhidrato 500 mg tabletas")</f>
        <v>PIOGLITAZONA 15mg + METFORMINA clorhidrato 500 mg tabletas</v>
      </c>
      <c r="E205" s="73" t="str">
        <f ca="1">IFERROR(__xludf.DUMMYFUNCTION("""COMPUTED_VALUE"""),"PRISM")</f>
        <v>PRISM</v>
      </c>
      <c r="F205" s="75">
        <f ca="1">IFERROR(__xludf.DUMMYFUNCTION("""COMPUTED_VALUE"""),45956)</f>
        <v>45956</v>
      </c>
      <c r="G205" s="74">
        <f ca="1">IFERROR(__xludf.DUMMYFUNCTION("""COMPUTED_VALUE"""),189.54)</f>
        <v>189.54</v>
      </c>
      <c r="H205" s="74">
        <f ca="1">IFERROR(__xludf.DUMMYFUNCTION("""COMPUTED_VALUE"""),265.356)</f>
        <v>265.35599999999999</v>
      </c>
      <c r="I205" s="74">
        <f ca="1">IFERROR(__xludf.DUMMYFUNCTION("""COMPUTED_VALUE"""),270)</f>
        <v>270</v>
      </c>
    </row>
    <row r="206" spans="2:9" ht="27" customHeight="1">
      <c r="B206" s="73" t="str">
        <f ca="1">IFERROR(__xludf.DUMMYFUNCTION("""COMPUTED_VALUE"""),"PIPERACILINA Y TAZOBACTAM")</f>
        <v>PIPERACILINA Y TAZOBACTAM</v>
      </c>
      <c r="C206" s="73" t="str">
        <f ca="1">IFERROR(__xludf.DUMMYFUNCTION("""COMPUTED_VALUE"""),"FRASCO IV")</f>
        <v>FRASCO IV</v>
      </c>
      <c r="D206" s="73" t="str">
        <f ca="1">IFERROR(__xludf.DUMMYFUNCTION("""COMPUTED_VALUE"""),"PIPERACILINA Y TAZOBACTAM")</f>
        <v>PIPERACILINA Y TAZOBACTAM</v>
      </c>
      <c r="E206" s="73" t="str">
        <f ca="1">IFERROR(__xludf.DUMMYFUNCTION("""COMPUTED_VALUE"""),"POLIFARMA")</f>
        <v>POLIFARMA</v>
      </c>
      <c r="F206" s="75">
        <f ca="1">IFERROR(__xludf.DUMMYFUNCTION("""COMPUTED_VALUE"""),45683)</f>
        <v>45683</v>
      </c>
      <c r="G206" s="74">
        <f ca="1">IFERROR(__xludf.DUMMYFUNCTION("""COMPUTED_VALUE"""),46.55)</f>
        <v>46.55</v>
      </c>
      <c r="H206" s="74">
        <f ca="1">IFERROR(__xludf.DUMMYFUNCTION("""COMPUTED_VALUE"""),65.17)</f>
        <v>65.17</v>
      </c>
      <c r="I206" s="74">
        <f ca="1">IFERROR(__xludf.DUMMYFUNCTION("""COMPUTED_VALUE"""),70)</f>
        <v>70</v>
      </c>
    </row>
    <row r="207" spans="2:9" ht="27" customHeight="1">
      <c r="B207" s="73" t="str">
        <f ca="1">IFERROR(__xludf.DUMMYFUNCTION("""COMPUTED_VALUE"""),"PRANEX")</f>
        <v>PRANEX</v>
      </c>
      <c r="C207" s="73" t="str">
        <f ca="1">IFERROR(__xludf.DUMMYFUNCTION("""COMPUTED_VALUE"""),"CAJA 15 CAPSULAS")</f>
        <v>CAJA 15 CAPSULAS</v>
      </c>
      <c r="D207" s="73" t="str">
        <f ca="1">IFERROR(__xludf.DUMMYFUNCTION("""COMPUTED_VALUE"""),"ESOMEPRAZOL 40MG")</f>
        <v>ESOMEPRAZOL 40MG</v>
      </c>
      <c r="E207" s="73" t="str">
        <f ca="1">IFERROR(__xludf.DUMMYFUNCTION("""COMPUTED_VALUE"""),"PHARA")</f>
        <v>PHARA</v>
      </c>
      <c r="F207" s="75">
        <f ca="1">IFERROR(__xludf.DUMMYFUNCTION("""COMPUTED_VALUE"""),45956)</f>
        <v>45956</v>
      </c>
      <c r="G207" s="74">
        <f ca="1">IFERROR(__xludf.DUMMYFUNCTION("""COMPUTED_VALUE"""),100)</f>
        <v>100</v>
      </c>
      <c r="H207" s="74">
        <f ca="1">IFERROR(__xludf.DUMMYFUNCTION("""COMPUTED_VALUE"""),140)</f>
        <v>140</v>
      </c>
      <c r="I207" s="74">
        <f ca="1">IFERROR(__xludf.DUMMYFUNCTION("""COMPUTED_VALUE"""),200)</f>
        <v>200</v>
      </c>
    </row>
    <row r="208" spans="2:9" ht="27" customHeight="1">
      <c r="B208" s="73" t="str">
        <f ca="1">IFERROR(__xludf.DUMMYFUNCTION("""COMPUTED_VALUE"""),"PREDNICET 20MG")</f>
        <v>PREDNICET 20MG</v>
      </c>
      <c r="C208" s="73" t="str">
        <f ca="1">IFERROR(__xludf.DUMMYFUNCTION("""COMPUTED_VALUE"""),"CAJA 10 TABLETAS")</f>
        <v>CAJA 10 TABLETAS</v>
      </c>
      <c r="D208" s="73" t="str">
        <f ca="1">IFERROR(__xludf.DUMMYFUNCTION("""COMPUTED_VALUE"""),"PREDNISOLONA 20MG")</f>
        <v>PREDNISOLONA 20MG</v>
      </c>
      <c r="E208" s="73" t="str">
        <f ca="1">IFERROR(__xludf.DUMMYFUNCTION("""COMPUTED_VALUE"""),"MEDPHARMA")</f>
        <v>MEDPHARMA</v>
      </c>
      <c r="F208" s="75">
        <f ca="1">IFERROR(__xludf.DUMMYFUNCTION("""COMPUTED_VALUE"""),45957)</f>
        <v>45957</v>
      </c>
      <c r="G208" s="74">
        <f ca="1">IFERROR(__xludf.DUMMYFUNCTION("""COMPUTED_VALUE"""),69.28)</f>
        <v>69.28</v>
      </c>
      <c r="H208" s="74">
        <f ca="1">IFERROR(__xludf.DUMMYFUNCTION("""COMPUTED_VALUE"""),96.992)</f>
        <v>96.992000000000004</v>
      </c>
      <c r="I208" s="74">
        <f ca="1">IFERROR(__xludf.DUMMYFUNCTION("""COMPUTED_VALUE"""),100)</f>
        <v>100</v>
      </c>
    </row>
    <row r="209" spans="2:9" ht="27" customHeight="1">
      <c r="B209" s="73" t="str">
        <f ca="1">IFERROR(__xludf.DUMMYFUNCTION("""COMPUTED_VALUE"""),"PRELACTA")</f>
        <v>PRELACTA</v>
      </c>
      <c r="C209" s="73" t="str">
        <f ca="1">IFERROR(__xludf.DUMMYFUNCTION("""COMPUTED_VALUE"""),"CAJA 28 TABLETAS")</f>
        <v>CAJA 28 TABLETAS</v>
      </c>
      <c r="D209" s="73" t="str">
        <f ca="1">IFERROR(__xludf.DUMMYFUNCTION("""COMPUTED_VALUE"""),"SUPLEMENTO DE VITAMINAS Y MINERALES")</f>
        <v>SUPLEMENTO DE VITAMINAS Y MINERALES</v>
      </c>
      <c r="E209" s="73" t="str">
        <f ca="1">IFERROR(__xludf.DUMMYFUNCTION("""COMPUTED_VALUE"""),"QUALIPHARM")</f>
        <v>QUALIPHARM</v>
      </c>
      <c r="F209" s="75">
        <f ca="1">IFERROR(__xludf.DUMMYFUNCTION("""COMPUTED_VALUE"""),46017)</f>
        <v>46017</v>
      </c>
      <c r="G209" s="74">
        <f ca="1">IFERROR(__xludf.DUMMYFUNCTION("""COMPUTED_VALUE"""),65)</f>
        <v>65</v>
      </c>
      <c r="H209" s="74">
        <f ca="1">IFERROR(__xludf.DUMMYFUNCTION("""COMPUTED_VALUE"""),91)</f>
        <v>91</v>
      </c>
      <c r="I209" s="74">
        <f ca="1">IFERROR(__xludf.DUMMYFUNCTION("""COMPUTED_VALUE"""),100)</f>
        <v>100</v>
      </c>
    </row>
    <row r="210" spans="2:9" ht="27" customHeight="1">
      <c r="B210" s="73" t="str">
        <f ca="1">IFERROR(__xludf.DUMMYFUNCTION("""COMPUTED_VALUE"""),"PRONOCTIUM 3MG.")</f>
        <v>PRONOCTIUM 3MG.</v>
      </c>
      <c r="C210" s="73" t="str">
        <f ca="1">IFERROR(__xludf.DUMMYFUNCTION("""COMPUTED_VALUE"""),"COMPRIMIDOS")</f>
        <v>COMPRIMIDOS</v>
      </c>
      <c r="D210" s="73" t="str">
        <f ca="1">IFERROR(__xludf.DUMMYFUNCTION("""COMPUTED_VALUE"""),"ESZOPICLONA")</f>
        <v>ESZOPICLONA</v>
      </c>
      <c r="E210" s="73" t="str">
        <f ca="1">IFERROR(__xludf.DUMMYFUNCTION("""COMPUTED_VALUE"""),"VIZCAINO")</f>
        <v>VIZCAINO</v>
      </c>
      <c r="F210" s="75">
        <f ca="1">IFERROR(__xludf.DUMMYFUNCTION("""COMPUTED_VALUE"""),45895)</f>
        <v>45895</v>
      </c>
      <c r="G210" s="74">
        <f ca="1">IFERROR(__xludf.DUMMYFUNCTION("""COMPUTED_VALUE"""),171)</f>
        <v>171</v>
      </c>
      <c r="H210" s="74">
        <f ca="1">IFERROR(__xludf.DUMMYFUNCTION("""COMPUTED_VALUE"""),239.4)</f>
        <v>239.4</v>
      </c>
      <c r="I210" s="74">
        <f ca="1">IFERROR(__xludf.DUMMYFUNCTION("""COMPUTED_VALUE"""),240)</f>
        <v>240</v>
      </c>
    </row>
    <row r="211" spans="2:9" ht="27" customHeight="1">
      <c r="B211" s="73" t="str">
        <f ca="1">IFERROR(__xludf.DUMMYFUNCTION("""COMPUTED_VALUE"""),"PROGETIN")</f>
        <v>PROGETIN</v>
      </c>
      <c r="C211" s="73" t="str">
        <f ca="1">IFERROR(__xludf.DUMMYFUNCTION("""COMPUTED_VALUE"""),"CAJA DE 1 AMPOLLA")</f>
        <v>CAJA DE 1 AMPOLLA</v>
      </c>
      <c r="D211" s="73" t="str">
        <f ca="1">IFERROR(__xludf.DUMMYFUNCTION("""COMPUTED_VALUE"""),"ovulación")</f>
        <v>ovulación</v>
      </c>
      <c r="E211" s="73" t="str">
        <f ca="1">IFERROR(__xludf.DUMMYFUNCTION("""COMPUTED_VALUE"""),"COIDE S.A.")</f>
        <v>COIDE S.A.</v>
      </c>
      <c r="F211" s="73" t="str">
        <f ca="1">IFERROR(__xludf.DUMMYFUNCTION("""COMPUTED_VALUE"""),"feb-30")</f>
        <v>feb-30</v>
      </c>
      <c r="G211" s="74">
        <f ca="1">IFERROR(__xludf.DUMMYFUNCTION("""COMPUTED_VALUE"""),30)</f>
        <v>30</v>
      </c>
      <c r="H211" s="74">
        <f ca="1">IFERROR(__xludf.DUMMYFUNCTION("""COMPUTED_VALUE"""),42)</f>
        <v>42</v>
      </c>
      <c r="I211" s="74">
        <f ca="1">IFERROR(__xludf.DUMMYFUNCTION("""COMPUTED_VALUE"""),50)</f>
        <v>50</v>
      </c>
    </row>
    <row r="212" spans="2:9" ht="27" customHeight="1">
      <c r="B212" s="73" t="str">
        <f ca="1">IFERROR(__xludf.DUMMYFUNCTION("""COMPUTED_VALUE"""),"PSICODOL 1MG")</f>
        <v>PSICODOL 1MG</v>
      </c>
      <c r="C212" s="73" t="str">
        <f ca="1">IFERROR(__xludf.DUMMYFUNCTION("""COMPUTED_VALUE"""),"FRASCO 60ML")</f>
        <v>FRASCO 60ML</v>
      </c>
      <c r="D212" s="73" t="str">
        <f ca="1">IFERROR(__xludf.DUMMYFUNCTION("""COMPUTED_VALUE"""),"RISPERIDONA 1MG")</f>
        <v>RISPERIDONA 1MG</v>
      </c>
      <c r="E212" s="73" t="str">
        <f ca="1">IFERROR(__xludf.DUMMYFUNCTION("""COMPUTED_VALUE"""),"MEDPHARMA")</f>
        <v>MEDPHARMA</v>
      </c>
      <c r="F212" s="75">
        <f ca="1">IFERROR(__xludf.DUMMYFUNCTION("""COMPUTED_VALUE"""),45864)</f>
        <v>45864</v>
      </c>
      <c r="G212" s="74">
        <f ca="1">IFERROR(__xludf.DUMMYFUNCTION("""COMPUTED_VALUE"""),144.9)</f>
        <v>144.9</v>
      </c>
      <c r="H212" s="74">
        <f ca="1">IFERROR(__xludf.DUMMYFUNCTION("""COMPUTED_VALUE"""),202.86)</f>
        <v>202.86</v>
      </c>
      <c r="I212" s="74">
        <f ca="1">IFERROR(__xludf.DUMMYFUNCTION("""COMPUTED_VALUE"""),205)</f>
        <v>205</v>
      </c>
    </row>
    <row r="213" spans="2:9" ht="27" customHeight="1">
      <c r="B213" s="73" t="str">
        <f ca="1">IFERROR(__xludf.DUMMYFUNCTION("""COMPUTED_VALUE"""),"PULMOKAST")</f>
        <v>PULMOKAST</v>
      </c>
      <c r="C213" s="73" t="str">
        <f ca="1">IFERROR(__xludf.DUMMYFUNCTION("""COMPUTED_VALUE"""),"CAJA 30 TABLETAS")</f>
        <v>CAJA 30 TABLETAS</v>
      </c>
      <c r="D213" s="73" t="str">
        <f ca="1">IFERROR(__xludf.DUMMYFUNCTION("""COMPUTED_VALUE"""),"MONTELUKAST 10MG")</f>
        <v>MONTELUKAST 10MG</v>
      </c>
      <c r="E213" s="73" t="str">
        <f ca="1">IFERROR(__xludf.DUMMYFUNCTION("""COMPUTED_VALUE"""),"INFASA")</f>
        <v>INFASA</v>
      </c>
      <c r="F213" s="75">
        <f ca="1">IFERROR(__xludf.DUMMYFUNCTION("""COMPUTED_VALUE"""),45956)</f>
        <v>45956</v>
      </c>
      <c r="G213" s="74">
        <f ca="1">IFERROR(__xludf.DUMMYFUNCTION("""COMPUTED_VALUE"""),94.5)</f>
        <v>94.5</v>
      </c>
      <c r="H213" s="74">
        <f ca="1">IFERROR(__xludf.DUMMYFUNCTION("""COMPUTED_VALUE"""),132.3)</f>
        <v>132.30000000000001</v>
      </c>
      <c r="I213" s="74">
        <f ca="1">IFERROR(__xludf.DUMMYFUNCTION("""COMPUTED_VALUE"""),150)</f>
        <v>150</v>
      </c>
    </row>
    <row r="214" spans="2:9" ht="27" customHeight="1">
      <c r="B214" s="73" t="str">
        <f ca="1">IFERROR(__xludf.DUMMYFUNCTION("""COMPUTED_VALUE"""),"RANITIDINA")</f>
        <v>RANITIDINA</v>
      </c>
      <c r="C214" s="73" t="str">
        <f ca="1">IFERROR(__xludf.DUMMYFUNCTION("""COMPUTED_VALUE"""),"AMPOLLA")</f>
        <v>AMPOLLA</v>
      </c>
      <c r="D214" s="73" t="str">
        <f ca="1">IFERROR(__xludf.DUMMYFUNCTION("""COMPUTED_VALUE"""),"RANITIDINA")</f>
        <v>RANITIDINA</v>
      </c>
      <c r="E214" s="73" t="str">
        <f ca="1">IFERROR(__xludf.DUMMYFUNCTION("""COMPUTED_VALUE"""),"VITALIS")</f>
        <v>VITALIS</v>
      </c>
      <c r="F214" s="75">
        <f ca="1">IFERROR(__xludf.DUMMYFUNCTION("""COMPUTED_VALUE"""),45926)</f>
        <v>45926</v>
      </c>
      <c r="G214" s="74">
        <f ca="1">IFERROR(__xludf.DUMMYFUNCTION("""COMPUTED_VALUE"""),2.25)</f>
        <v>2.25</v>
      </c>
      <c r="H214" s="74">
        <f ca="1">IFERROR(__xludf.DUMMYFUNCTION("""COMPUTED_VALUE"""),3.15)</f>
        <v>3.15</v>
      </c>
      <c r="I214" s="74">
        <f ca="1">IFERROR(__xludf.DUMMYFUNCTION("""COMPUTED_VALUE"""),30)</f>
        <v>30</v>
      </c>
    </row>
    <row r="215" spans="2:9" ht="27" customHeight="1">
      <c r="B215" s="73" t="str">
        <f ca="1">IFERROR(__xludf.DUMMYFUNCTION("""COMPUTED_VALUE"""),"RECTO MENADERM")</f>
        <v>RECTO MENADERM</v>
      </c>
      <c r="C215" s="73" t="str">
        <f ca="1">IFERROR(__xludf.DUMMYFUNCTION("""COMPUTED_VALUE"""),"POMADA RECTAL TUBO 30G.")</f>
        <v>POMADA RECTAL TUBO 30G.</v>
      </c>
      <c r="D215" s="73" t="str">
        <f ca="1">IFERROR(__xludf.DUMMYFUNCTION("""COMPUTED_VALUE"""),"BECLOMETASONA DIPROPIONATO")</f>
        <v>BECLOMETASONA DIPROPIONATO</v>
      </c>
      <c r="E215" s="73" t="str">
        <f ca="1">IFERROR(__xludf.DUMMYFUNCTION("""COMPUTED_VALUE"""),"MENARINI")</f>
        <v>MENARINI</v>
      </c>
      <c r="F215" s="75">
        <f ca="1">IFERROR(__xludf.DUMMYFUNCTION("""COMPUTED_VALUE"""),45715)</f>
        <v>45715</v>
      </c>
      <c r="G215" s="74">
        <f ca="1">IFERROR(__xludf.DUMMYFUNCTION("""COMPUTED_VALUE"""),111.22)</f>
        <v>111.22</v>
      </c>
      <c r="H215" s="74">
        <f ca="1">IFERROR(__xludf.DUMMYFUNCTION("""COMPUTED_VALUE"""),155.708)</f>
        <v>155.708</v>
      </c>
      <c r="I215" s="74">
        <f ca="1">IFERROR(__xludf.DUMMYFUNCTION("""COMPUTED_VALUE"""),155)</f>
        <v>155</v>
      </c>
    </row>
    <row r="216" spans="2:9" ht="27" customHeight="1">
      <c r="B216" s="73" t="str">
        <f ca="1">IFERROR(__xludf.DUMMYFUNCTION("""COMPUTED_VALUE"""),"RELAJAMED 2ML")</f>
        <v>RELAJAMED 2ML</v>
      </c>
      <c r="C216" s="73" t="str">
        <f ca="1">IFERROR(__xludf.DUMMYFUNCTION("""COMPUTED_VALUE"""),"AMPOLLA 2 ML")</f>
        <v>AMPOLLA 2 ML</v>
      </c>
      <c r="D216" s="73" t="str">
        <f ca="1">IFERROR(__xludf.DUMMYFUNCTION("""COMPUTED_VALUE"""),"TIOCOLCHICOSIDO 4MG.")</f>
        <v>TIOCOLCHICOSIDO 4MG.</v>
      </c>
      <c r="E216" s="73" t="str">
        <f ca="1">IFERROR(__xludf.DUMMYFUNCTION("""COMPUTED_VALUE"""),"MOBA")</f>
        <v>MOBA</v>
      </c>
      <c r="F216" s="75">
        <f ca="1">IFERROR(__xludf.DUMMYFUNCTION("""COMPUTED_VALUE"""),45897)</f>
        <v>45897</v>
      </c>
      <c r="G216" s="74">
        <f ca="1">IFERROR(__xludf.DUMMYFUNCTION("""COMPUTED_VALUE"""),18)</f>
        <v>18</v>
      </c>
      <c r="H216" s="74">
        <f ca="1">IFERROR(__xludf.DUMMYFUNCTION("""COMPUTED_VALUE"""),25.2)</f>
        <v>25.2</v>
      </c>
      <c r="I216" s="74">
        <f ca="1">IFERROR(__xludf.DUMMYFUNCTION("""COMPUTED_VALUE"""),25)</f>
        <v>25</v>
      </c>
    </row>
    <row r="217" spans="2:9" ht="27" customHeight="1">
      <c r="B217" s="73" t="str">
        <f ca="1">IFERROR(__xludf.DUMMYFUNCTION("""COMPUTED_VALUE"""),"RENUVEN")</f>
        <v>RENUVEN</v>
      </c>
      <c r="C217" s="73" t="str">
        <f ca="1">IFERROR(__xludf.DUMMYFUNCTION("""COMPUTED_VALUE"""),"CAJA 30 CÁPUSLAS")</f>
        <v>CAJA 30 CÁPUSLAS</v>
      </c>
      <c r="D217" s="73" t="str">
        <f ca="1">IFERROR(__xludf.DUMMYFUNCTION("""COMPUTED_VALUE"""),"DLOPIDOGREL 75MG + ÁCIDO ACETILSALICÍLICA 75MG")</f>
        <v>DLOPIDOGREL 75MG + ÁCIDO ACETILSALICÍLICA 75MG</v>
      </c>
      <c r="E217" s="73" t="str">
        <f ca="1">IFERROR(__xludf.DUMMYFUNCTION("""COMPUTED_VALUE"""),"PHARA FARMECO")</f>
        <v>PHARA FARMECO</v>
      </c>
      <c r="F217" s="75">
        <f ca="1">IFERROR(__xludf.DUMMYFUNCTION("""COMPUTED_VALUE"""),45683)</f>
        <v>45683</v>
      </c>
      <c r="G217" s="74">
        <f ca="1">IFERROR(__xludf.DUMMYFUNCTION("""COMPUTED_VALUE"""),180)</f>
        <v>180</v>
      </c>
      <c r="H217" s="74">
        <f ca="1">IFERROR(__xludf.DUMMYFUNCTION("""COMPUTED_VALUE"""),252)</f>
        <v>252</v>
      </c>
      <c r="I217" s="74">
        <f ca="1">IFERROR(__xludf.DUMMYFUNCTION("""COMPUTED_VALUE"""),255)</f>
        <v>255</v>
      </c>
    </row>
    <row r="218" spans="2:9" ht="27" customHeight="1">
      <c r="B218" s="73" t="str">
        <f ca="1">IFERROR(__xludf.DUMMYFUNCTION("""COMPUTED_VALUE"""),"RILATEN")</f>
        <v>RILATEN</v>
      </c>
      <c r="C218" s="73" t="str">
        <f ca="1">IFERROR(__xludf.DUMMYFUNCTION("""COMPUTED_VALUE"""),"AMPOLLA")</f>
        <v>AMPOLLA</v>
      </c>
      <c r="D218" s="73" t="str">
        <f ca="1">IFERROR(__xludf.DUMMYFUNCTION("""COMPUTED_VALUE"""),"ROCIVERINA 20MG")</f>
        <v>ROCIVERINA 20MG</v>
      </c>
      <c r="E218" s="73" t="str">
        <f ca="1">IFERROR(__xludf.DUMMYFUNCTION("""COMPUTED_VALUE"""),"MENARINI FARMEN SA")</f>
        <v>MENARINI FARMEN SA</v>
      </c>
      <c r="F218" s="75">
        <f ca="1">IFERROR(__xludf.DUMMYFUNCTION("""COMPUTED_VALUE"""),45895)</f>
        <v>45895</v>
      </c>
      <c r="G218" s="74">
        <f ca="1">IFERROR(__xludf.DUMMYFUNCTION("""COMPUTED_VALUE"""),14.02)</f>
        <v>14.02</v>
      </c>
      <c r="H218" s="74">
        <f ca="1">IFERROR(__xludf.DUMMYFUNCTION("""COMPUTED_VALUE"""),19.628)</f>
        <v>19.628</v>
      </c>
      <c r="I218" s="74">
        <f ca="1">IFERROR(__xludf.DUMMYFUNCTION("""COMPUTED_VALUE"""),30)</f>
        <v>30</v>
      </c>
    </row>
    <row r="219" spans="2:9" ht="27" customHeight="1">
      <c r="B219" s="73" t="str">
        <f ca="1">IFERROR(__xludf.DUMMYFUNCTION("""COMPUTED_VALUE"""),"RIMOSS")</f>
        <v>RIMOSS</v>
      </c>
      <c r="C219" s="73" t="str">
        <f ca="1">IFERROR(__xludf.DUMMYFUNCTION("""COMPUTED_VALUE"""),"SPRAY NASAL 12ML")</f>
        <v>SPRAY NASAL 12ML</v>
      </c>
      <c r="D219" s="73" t="str">
        <f ca="1">IFERROR(__xludf.DUMMYFUNCTION("""COMPUTED_VALUE"""),"MOMETASONA FUROATO")</f>
        <v>MOMETASONA FUROATO</v>
      </c>
      <c r="E219" s="73" t="str">
        <f ca="1">IFERROR(__xludf.DUMMYFUNCTION("""COMPUTED_VALUE"""),"WELLCO")</f>
        <v>WELLCO</v>
      </c>
      <c r="F219" s="75">
        <f ca="1">IFERROR(__xludf.DUMMYFUNCTION("""COMPUTED_VALUE"""),45835)</f>
        <v>45835</v>
      </c>
      <c r="G219" s="74">
        <f ca="1">IFERROR(__xludf.DUMMYFUNCTION("""COMPUTED_VALUE"""),175)</f>
        <v>175</v>
      </c>
      <c r="H219" s="74">
        <f ca="1">IFERROR(__xludf.DUMMYFUNCTION("""COMPUTED_VALUE"""),245)</f>
        <v>245</v>
      </c>
      <c r="I219" s="74">
        <f ca="1">IFERROR(__xludf.DUMMYFUNCTION("""COMPUTED_VALUE"""),245)</f>
        <v>245</v>
      </c>
    </row>
    <row r="220" spans="2:9" ht="27" customHeight="1">
      <c r="B220" s="73" t="str">
        <f ca="1">IFERROR(__xludf.DUMMYFUNCTION("""COMPUTED_VALUE"""),"RUPAZZER")</f>
        <v>RUPAZZER</v>
      </c>
      <c r="C220" s="73" t="str">
        <f ca="1">IFERROR(__xludf.DUMMYFUNCTION("""COMPUTED_VALUE"""),"CAJA 10 TABLETAS")</f>
        <v>CAJA 10 TABLETAS</v>
      </c>
      <c r="D220" s="73" t="str">
        <f ca="1">IFERROR(__xludf.DUMMYFUNCTION("""COMPUTED_VALUE"""),"RUPATADINA 10MG")</f>
        <v>RUPATADINA 10MG</v>
      </c>
      <c r="E220" s="73" t="str">
        <f ca="1">IFERROR(__xludf.DUMMYFUNCTION("""COMPUTED_VALUE"""),"WINZZER")</f>
        <v>WINZZER</v>
      </c>
      <c r="F220" s="75">
        <f ca="1">IFERROR(__xludf.DUMMYFUNCTION("""COMPUTED_VALUE"""),45986)</f>
        <v>45986</v>
      </c>
      <c r="G220" s="74">
        <f ca="1">IFERROR(__xludf.DUMMYFUNCTION("""COMPUTED_VALUE"""),88)</f>
        <v>88</v>
      </c>
      <c r="H220" s="74">
        <f ca="1">IFERROR(__xludf.DUMMYFUNCTION("""COMPUTED_VALUE"""),123.2)</f>
        <v>123.2</v>
      </c>
      <c r="I220" s="74">
        <f ca="1">IFERROR(__xludf.DUMMYFUNCTION("""COMPUTED_VALUE"""),125)</f>
        <v>125</v>
      </c>
    </row>
    <row r="221" spans="2:9" ht="27" customHeight="1">
      <c r="B221" s="73" t="str">
        <f ca="1">IFERROR(__xludf.DUMMYFUNCTION("""COMPUTED_VALUE"""),"RUPAZZER")</f>
        <v>RUPAZZER</v>
      </c>
      <c r="C221" s="73" t="str">
        <f ca="1">IFERROR(__xludf.DUMMYFUNCTION("""COMPUTED_VALUE"""),"FRASCO 120ML.")</f>
        <v>FRASCO 120ML.</v>
      </c>
      <c r="D221" s="73" t="str">
        <f ca="1">IFERROR(__xludf.DUMMYFUNCTION("""COMPUTED_VALUE"""),"RUPATADINA 1MG/ML")</f>
        <v>RUPATADINA 1MG/ML</v>
      </c>
      <c r="E221" s="73" t="str">
        <f ca="1">IFERROR(__xludf.DUMMYFUNCTION("""COMPUTED_VALUE"""),"WINZZER")</f>
        <v>WINZZER</v>
      </c>
      <c r="F221" s="75">
        <f ca="1">IFERROR(__xludf.DUMMYFUNCTION("""COMPUTED_VALUE"""),45986)</f>
        <v>45986</v>
      </c>
      <c r="G221" s="74">
        <f ca="1">IFERROR(__xludf.DUMMYFUNCTION("""COMPUTED_VALUE"""),85.14)</f>
        <v>85.14</v>
      </c>
      <c r="H221" s="74">
        <f ca="1">IFERROR(__xludf.DUMMYFUNCTION("""COMPUTED_VALUE"""),119.196)</f>
        <v>119.196</v>
      </c>
      <c r="I221" s="74">
        <f ca="1">IFERROR(__xludf.DUMMYFUNCTION("""COMPUTED_VALUE"""),125)</f>
        <v>125</v>
      </c>
    </row>
    <row r="222" spans="2:9" ht="27" customHeight="1">
      <c r="B222" s="73" t="str">
        <f ca="1">IFERROR(__xludf.DUMMYFUNCTION("""COMPUTED_VALUE"""),"S.C.I.")</f>
        <v>S.C.I.</v>
      </c>
      <c r="C222" s="73" t="str">
        <f ca="1">IFERROR(__xludf.DUMMYFUNCTION("""COMPUTED_VALUE"""),"CAJA 30 COMPRIMIDOS")</f>
        <v>CAJA 30 COMPRIMIDOS</v>
      </c>
      <c r="D222" s="73" t="str">
        <f ca="1">IFERROR(__xludf.DUMMYFUNCTION("""COMPUTED_VALUE"""),"BROMURO DE OTILONIO 40MG")</f>
        <v>BROMURO DE OTILONIO 40MG</v>
      </c>
      <c r="E222" s="73" t="str">
        <f ca="1">IFERROR(__xludf.DUMMYFUNCTION("""COMPUTED_VALUE"""),"INFASA")</f>
        <v>INFASA</v>
      </c>
      <c r="F222" s="75">
        <f ca="1">IFERROR(__xludf.DUMMYFUNCTION("""COMPUTED_VALUE"""),45716)</f>
        <v>45716</v>
      </c>
      <c r="G222" s="74">
        <f ca="1">IFERROR(__xludf.DUMMYFUNCTION("""COMPUTED_VALUE"""),86.12)</f>
        <v>86.12</v>
      </c>
      <c r="H222" s="74">
        <f ca="1">IFERROR(__xludf.DUMMYFUNCTION("""COMPUTED_VALUE"""),120.568)</f>
        <v>120.568</v>
      </c>
      <c r="I222" s="74">
        <f ca="1">IFERROR(__xludf.DUMMYFUNCTION("""COMPUTED_VALUE"""),120)</f>
        <v>120</v>
      </c>
    </row>
    <row r="223" spans="2:9" ht="27" customHeight="1">
      <c r="B223" s="73" t="str">
        <f ca="1">IFERROR(__xludf.DUMMYFUNCTION("""COMPUTED_VALUE"""),"SARCOPHAR")</f>
        <v>SARCOPHAR</v>
      </c>
      <c r="C223" s="73" t="str">
        <f ca="1">IFERROR(__xludf.DUMMYFUNCTION("""COMPUTED_VALUE"""),"CREMA TOPICA 60ML")</f>
        <v>CREMA TOPICA 60ML</v>
      </c>
      <c r="D223" s="73" t="str">
        <f ca="1">IFERROR(__xludf.DUMMYFUNCTION("""COMPUTED_VALUE"""),"PERMETRINA AL 5%")</f>
        <v>PERMETRINA AL 5%</v>
      </c>
      <c r="E223" s="73" t="str">
        <f ca="1">IFERROR(__xludf.DUMMYFUNCTION("""COMPUTED_VALUE"""),"PHARBEST, S.A.")</f>
        <v>PHARBEST, S.A.</v>
      </c>
      <c r="F223" s="75">
        <f ca="1">IFERROR(__xludf.DUMMYFUNCTION("""COMPUTED_VALUE"""),45683)</f>
        <v>45683</v>
      </c>
      <c r="G223" s="74">
        <f ca="1">IFERROR(__xludf.DUMMYFUNCTION("""COMPUTED_VALUE"""),50.6)</f>
        <v>50.6</v>
      </c>
      <c r="H223" s="74">
        <f ca="1">IFERROR(__xludf.DUMMYFUNCTION("""COMPUTED_VALUE"""),70.84)</f>
        <v>70.84</v>
      </c>
      <c r="I223" s="74">
        <f ca="1">IFERROR(__xludf.DUMMYFUNCTION("""COMPUTED_VALUE"""),70)</f>
        <v>70</v>
      </c>
    </row>
    <row r="224" spans="2:9" ht="27" customHeight="1">
      <c r="B224" s="73" t="str">
        <f ca="1">IFERROR(__xludf.DUMMYFUNCTION("""COMPUTED_VALUE"""),"SECBIL")</f>
        <v>SECBIL</v>
      </c>
      <c r="C224" s="73" t="str">
        <f ca="1">IFERROR(__xludf.DUMMYFUNCTION("""COMPUTED_VALUE"""),"CAJA 4 TAB.")</f>
        <v>CAJA 4 TAB.</v>
      </c>
      <c r="D224" s="73" t="str">
        <f ca="1">IFERROR(__xludf.DUMMYFUNCTION("""COMPUTED_VALUE"""),"SECNIDAZOL 500MG")</f>
        <v>SECNIDAZOL 500MG</v>
      </c>
      <c r="E224" s="73" t="str">
        <f ca="1">IFERROR(__xludf.DUMMYFUNCTION("""COMPUTED_VALUE"""),"BILE FARMACÉUTICA")</f>
        <v>BILE FARMACÉUTICA</v>
      </c>
      <c r="F224" s="75">
        <f ca="1">IFERROR(__xludf.DUMMYFUNCTION("""COMPUTED_VALUE"""),45773)</f>
        <v>45773</v>
      </c>
      <c r="G224" s="74">
        <f ca="1">IFERROR(__xludf.DUMMYFUNCTION("""COMPUTED_VALUE"""),40)</f>
        <v>40</v>
      </c>
      <c r="H224" s="74">
        <f ca="1">IFERROR(__xludf.DUMMYFUNCTION("""COMPUTED_VALUE"""),56)</f>
        <v>56</v>
      </c>
      <c r="I224" s="74">
        <f ca="1">IFERROR(__xludf.DUMMYFUNCTION("""COMPUTED_VALUE"""),60)</f>
        <v>60</v>
      </c>
    </row>
    <row r="225" spans="2:9" ht="27" customHeight="1">
      <c r="B225" s="73" t="str">
        <f ca="1">IFERROR(__xludf.DUMMYFUNCTION("""COMPUTED_VALUE"""),"SEDALGINA COMPUESTA")</f>
        <v>SEDALGINA COMPUESTA</v>
      </c>
      <c r="C225" s="73" t="str">
        <f ca="1">IFERROR(__xludf.DUMMYFUNCTION("""COMPUTED_VALUE"""),"AMPOLLA 2ML")</f>
        <v>AMPOLLA 2ML</v>
      </c>
      <c r="D225" s="73" t="str">
        <f ca="1">IFERROR(__xludf.DUMMYFUNCTION("""COMPUTED_VALUE"""),"SEDALGINA COMPUESTA")</f>
        <v>SEDALGINA COMPUESTA</v>
      </c>
      <c r="E225" s="73" t="str">
        <f ca="1">IFERROR(__xludf.DUMMYFUNCTION("""COMPUTED_VALUE"""),"BONIN/DISSA")</f>
        <v>BONIN/DISSA</v>
      </c>
      <c r="F225" s="75">
        <f ca="1">IFERROR(__xludf.DUMMYFUNCTION("""COMPUTED_VALUE"""),45988)</f>
        <v>45988</v>
      </c>
      <c r="G225" s="74">
        <f ca="1">IFERROR(__xludf.DUMMYFUNCTION("""COMPUTED_VALUE"""),17.9)</f>
        <v>17.899999999999999</v>
      </c>
      <c r="H225" s="74">
        <f ca="1">IFERROR(__xludf.DUMMYFUNCTION("""COMPUTED_VALUE"""),25.06)</f>
        <v>25.06</v>
      </c>
      <c r="I225" s="74">
        <f ca="1">IFERROR(__xludf.DUMMYFUNCTION("""COMPUTED_VALUE"""),30)</f>
        <v>30</v>
      </c>
    </row>
    <row r="226" spans="2:9" ht="27" customHeight="1">
      <c r="B226" s="73" t="str">
        <f ca="1">IFERROR(__xludf.DUMMYFUNCTION("""COMPUTED_VALUE"""),"SEPTIDEX")</f>
        <v>SEPTIDEX</v>
      </c>
      <c r="C226" s="73" t="str">
        <f ca="1">IFERROR(__xludf.DUMMYFUNCTION("""COMPUTED_VALUE"""),"AEROSOL 40G")</f>
        <v>AEROSOL 40G</v>
      </c>
      <c r="D226" s="73" t="str">
        <f ca="1">IFERROR(__xludf.DUMMYFUNCTION("""COMPUTED_VALUE"""),"AEROSOL")</f>
        <v>AEROSOL</v>
      </c>
      <c r="E226" s="73" t="str">
        <f ca="1">IFERROR(__xludf.DUMMYFUNCTION("""COMPUTED_VALUE"""),"MEDPHARMA")</f>
        <v>MEDPHARMA</v>
      </c>
      <c r="F226" s="75">
        <f ca="1">IFERROR(__xludf.DUMMYFUNCTION("""COMPUTED_VALUE"""),45956)</f>
        <v>45956</v>
      </c>
      <c r="G226" s="74">
        <f ca="1">IFERROR(__xludf.DUMMYFUNCTION("""COMPUTED_VALUE"""),61.28)</f>
        <v>61.28</v>
      </c>
      <c r="H226" s="74">
        <f ca="1">IFERROR(__xludf.DUMMYFUNCTION("""COMPUTED_VALUE"""),85.792)</f>
        <v>85.792000000000002</v>
      </c>
      <c r="I226" s="74">
        <f ca="1">IFERROR(__xludf.DUMMYFUNCTION("""COMPUTED_VALUE"""),90)</f>
        <v>90</v>
      </c>
    </row>
    <row r="227" spans="2:9" ht="27" customHeight="1">
      <c r="B227" s="73" t="str">
        <f ca="1">IFERROR(__xludf.DUMMYFUNCTION("""COMPUTED_VALUE"""),"SERTAL GOTAS")</f>
        <v>SERTAL GOTAS</v>
      </c>
      <c r="C227" s="73" t="str">
        <f ca="1">IFERROR(__xludf.DUMMYFUNCTION("""COMPUTED_VALUE"""),"GOTERO 20ML")</f>
        <v>GOTERO 20ML</v>
      </c>
      <c r="D227" s="73" t="str">
        <f ca="1">IFERROR(__xludf.DUMMYFUNCTION("""COMPUTED_VALUE"""),"PROPINOS CLORHIDRATO 1%")</f>
        <v>PROPINOS CLORHIDRATO 1%</v>
      </c>
      <c r="E227" s="73" t="str">
        <f ca="1">IFERROR(__xludf.DUMMYFUNCTION("""COMPUTED_VALUE"""),"MEGALABS")</f>
        <v>MEGALABS</v>
      </c>
      <c r="F227" s="75">
        <f ca="1">IFERROR(__xludf.DUMMYFUNCTION("""COMPUTED_VALUE"""),45804)</f>
        <v>45804</v>
      </c>
      <c r="G227" s="74">
        <f ca="1">IFERROR(__xludf.DUMMYFUNCTION("""COMPUTED_VALUE"""),56.87)</f>
        <v>56.87</v>
      </c>
      <c r="H227" s="74">
        <f ca="1">IFERROR(__xludf.DUMMYFUNCTION("""COMPUTED_VALUE"""),79.618)</f>
        <v>79.617999999999995</v>
      </c>
      <c r="I227" s="74">
        <f ca="1">IFERROR(__xludf.DUMMYFUNCTION("""COMPUTED_VALUE"""),80)</f>
        <v>80</v>
      </c>
    </row>
    <row r="228" spans="2:9" ht="27" customHeight="1">
      <c r="B228" s="73" t="str">
        <f ca="1">IFERROR(__xludf.DUMMYFUNCTION("""COMPUTED_VALUE"""),"SERTAL PERLAS")</f>
        <v>SERTAL PERLAS</v>
      </c>
      <c r="C228" s="73" t="str">
        <f ca="1">IFERROR(__xludf.DUMMYFUNCTION("""COMPUTED_VALUE"""),"CAJA 10 CAPSULAS")</f>
        <v>CAJA 10 CAPSULAS</v>
      </c>
      <c r="D228" s="73" t="str">
        <f ca="1">IFERROR(__xludf.DUMMYFUNCTION("""COMPUTED_VALUE"""),"PROPINOX CLORHIDRATO 20MG")</f>
        <v>PROPINOX CLORHIDRATO 20MG</v>
      </c>
      <c r="E228" s="73" t="str">
        <f ca="1">IFERROR(__xludf.DUMMYFUNCTION("""COMPUTED_VALUE"""),"MEGALABS")</f>
        <v>MEGALABS</v>
      </c>
      <c r="F228" s="75">
        <f ca="1">IFERROR(__xludf.DUMMYFUNCTION("""COMPUTED_VALUE"""),45926)</f>
        <v>45926</v>
      </c>
      <c r="G228" s="74">
        <f ca="1">IFERROR(__xludf.DUMMYFUNCTION("""COMPUTED_VALUE"""),49.88)</f>
        <v>49.88</v>
      </c>
      <c r="H228" s="74">
        <f ca="1">IFERROR(__xludf.DUMMYFUNCTION("""COMPUTED_VALUE"""),69.832)</f>
        <v>69.831999999999994</v>
      </c>
      <c r="I228" s="74">
        <f ca="1">IFERROR(__xludf.DUMMYFUNCTION("""COMPUTED_VALUE"""),70)</f>
        <v>70</v>
      </c>
    </row>
    <row r="229" spans="2:9" ht="27" customHeight="1">
      <c r="B229" s="73" t="str">
        <f ca="1">IFERROR(__xludf.DUMMYFUNCTION("""COMPUTED_VALUE"""),"SITAGLIPTINA + METFORMINA")</f>
        <v>SITAGLIPTINA + METFORMINA</v>
      </c>
      <c r="C229" s="73" t="str">
        <f ca="1">IFERROR(__xludf.DUMMYFUNCTION("""COMPUTED_VALUE"""),"BLISTER 10 TAB.")</f>
        <v>BLISTER 10 TAB.</v>
      </c>
      <c r="D229" s="73" t="str">
        <f ca="1">IFERROR(__xludf.DUMMYFUNCTION("""COMPUTED_VALUE"""),"SITAGLIPTINA 50 MG./ METFORMINA 1000 MG.")</f>
        <v>SITAGLIPTINA 50 MG./ METFORMINA 1000 MG.</v>
      </c>
      <c r="E229" s="73" t="str">
        <f ca="1">IFERROR(__xludf.DUMMYFUNCTION("""COMPUTED_VALUE"""),"SEVEN PHARMA")</f>
        <v>SEVEN PHARMA</v>
      </c>
      <c r="F229" s="75">
        <f ca="1">IFERROR(__xludf.DUMMYFUNCTION("""COMPUTED_VALUE"""),45956)</f>
        <v>45956</v>
      </c>
      <c r="G229" s="74">
        <f ca="1">IFERROR(__xludf.DUMMYFUNCTION("""COMPUTED_VALUE"""),27.5)</f>
        <v>27.5</v>
      </c>
      <c r="H229" s="74">
        <f ca="1">IFERROR(__xludf.DUMMYFUNCTION("""COMPUTED_VALUE"""),38.5)</f>
        <v>38.5</v>
      </c>
      <c r="I229" s="74">
        <f ca="1">IFERROR(__xludf.DUMMYFUNCTION("""COMPUTED_VALUE"""),40)</f>
        <v>40</v>
      </c>
    </row>
    <row r="230" spans="2:9" ht="27" customHeight="1">
      <c r="B230" s="73" t="str">
        <f ca="1">IFERROR(__xludf.DUMMYFUNCTION("""COMPUTED_VALUE"""),"SOMAZINA 500MG (ISOCRANEOL)")</f>
        <v>SOMAZINA 500MG (ISOCRANEOL)</v>
      </c>
      <c r="C230" s="73" t="str">
        <f ca="1">IFERROR(__xludf.DUMMYFUNCTION("""COMPUTED_VALUE"""),"AMPOLLA")</f>
        <v>AMPOLLA</v>
      </c>
      <c r="D230" s="73" t="str">
        <f ca="1">IFERROR(__xludf.DUMMYFUNCTION("""COMPUTED_VALUE"""),"CITICOLINA 500MG")</f>
        <v>CITICOLINA 500MG</v>
      </c>
      <c r="E230" s="73" t="str">
        <f ca="1">IFERROR(__xludf.DUMMYFUNCTION("""COMPUTED_VALUE"""),"FERRER")</f>
        <v>FERRER</v>
      </c>
      <c r="F230" s="75">
        <f ca="1">IFERROR(__xludf.DUMMYFUNCTION("""COMPUTED_VALUE"""),45926)</f>
        <v>45926</v>
      </c>
      <c r="G230" s="74">
        <f ca="1">IFERROR(__xludf.DUMMYFUNCTION("""COMPUTED_VALUE"""),37.98)</f>
        <v>37.979999999999997</v>
      </c>
      <c r="H230" s="74">
        <f ca="1">IFERROR(__xludf.DUMMYFUNCTION("""COMPUTED_VALUE"""),53.172)</f>
        <v>53.171999999999997</v>
      </c>
      <c r="I230" s="74">
        <f ca="1">IFERROR(__xludf.DUMMYFUNCTION("""COMPUTED_VALUE"""),55)</f>
        <v>55</v>
      </c>
    </row>
    <row r="231" spans="2:9" ht="27" customHeight="1">
      <c r="B231" s="73" t="str">
        <f ca="1">IFERROR(__xludf.DUMMYFUNCTION("""COMPUTED_VALUE"""),"STORVAS 20")</f>
        <v>STORVAS 20</v>
      </c>
      <c r="C231" s="73" t="str">
        <f ca="1">IFERROR(__xludf.DUMMYFUNCTION("""COMPUTED_VALUE"""),"CAJA 30 TABLETAS")</f>
        <v>CAJA 30 TABLETAS</v>
      </c>
      <c r="D231" s="73" t="str">
        <f ca="1">IFERROR(__xludf.DUMMYFUNCTION("""COMPUTED_VALUE"""),"ATORVASTATINA, HIPOLIPEMIANTE")</f>
        <v>ATORVASTATINA, HIPOLIPEMIANTE</v>
      </c>
      <c r="E231" s="73" t="str">
        <f ca="1">IFERROR(__xludf.DUMMYFUNCTION("""COMPUTED_VALUE"""),"PHARMEDIC")</f>
        <v>PHARMEDIC</v>
      </c>
      <c r="F231" s="75">
        <f ca="1">IFERROR(__xludf.DUMMYFUNCTION("""COMPUTED_VALUE"""),45742)</f>
        <v>45742</v>
      </c>
      <c r="G231" s="74">
        <f ca="1">IFERROR(__xludf.DUMMYFUNCTION("""COMPUTED_VALUE"""),138.51)</f>
        <v>138.51</v>
      </c>
      <c r="H231" s="74">
        <f ca="1">IFERROR(__xludf.DUMMYFUNCTION("""COMPUTED_VALUE"""),193.914)</f>
        <v>193.91399999999999</v>
      </c>
      <c r="I231" s="74">
        <f ca="1">IFERROR(__xludf.DUMMYFUNCTION("""COMPUTED_VALUE"""),195)</f>
        <v>195</v>
      </c>
    </row>
    <row r="232" spans="2:9" ht="27" customHeight="1">
      <c r="B232" s="73" t="str">
        <f ca="1">IFERROR(__xludf.DUMMYFUNCTION("""COMPUTED_VALUE"""),"SUERO DEXTROSA AL 10%")</f>
        <v>SUERO DEXTROSA AL 10%</v>
      </c>
      <c r="C232" s="73" t="str">
        <f ca="1">IFERROR(__xludf.DUMMYFUNCTION("""COMPUTED_VALUE"""),"FRASCO 1000ML.")</f>
        <v>FRASCO 1000ML.</v>
      </c>
      <c r="D232" s="73" t="str">
        <f ca="1">IFERROR(__xludf.DUMMYFUNCTION("""COMPUTED_VALUE"""),"GLUCOSA AL 10%")</f>
        <v>GLUCOSA AL 10%</v>
      </c>
      <c r="E232" s="73" t="str">
        <f ca="1">IFERROR(__xludf.DUMMYFUNCTION("""COMPUTED_VALUE"""),"PISA")</f>
        <v>PISA</v>
      </c>
      <c r="F232" s="75">
        <f ca="1">IFERROR(__xludf.DUMMYFUNCTION("""COMPUTED_VALUE"""),45773)</f>
        <v>45773</v>
      </c>
      <c r="G232" s="74">
        <f ca="1">IFERROR(__xludf.DUMMYFUNCTION("""COMPUTED_VALUE"""),13)</f>
        <v>13</v>
      </c>
      <c r="H232" s="74">
        <f ca="1">IFERROR(__xludf.DUMMYFUNCTION("""COMPUTED_VALUE"""),18.2)</f>
        <v>18.2</v>
      </c>
      <c r="I232" s="74">
        <f ca="1">IFERROR(__xludf.DUMMYFUNCTION("""COMPUTED_VALUE"""),20)</f>
        <v>20</v>
      </c>
    </row>
    <row r="233" spans="2:9" ht="27" customHeight="1">
      <c r="B233" s="73" t="str">
        <f ca="1">IFERROR(__xludf.DUMMYFUNCTION("""COMPUTED_VALUE"""),"SUERO DEXTROSA AL 5%")</f>
        <v>SUERO DEXTROSA AL 5%</v>
      </c>
      <c r="C233" s="73" t="str">
        <f ca="1">IFERROR(__xludf.DUMMYFUNCTION("""COMPUTED_VALUE"""),"FRASCO 1000ML.")</f>
        <v>FRASCO 1000ML.</v>
      </c>
      <c r="D233" s="73" t="str">
        <f ca="1">IFERROR(__xludf.DUMMYFUNCTION("""COMPUTED_VALUE"""),"GLUCOSA AL 5%")</f>
        <v>GLUCOSA AL 5%</v>
      </c>
      <c r="E233" s="73" t="str">
        <f ca="1">IFERROR(__xludf.DUMMYFUNCTION("""COMPUTED_VALUE"""),"PISA")</f>
        <v>PISA</v>
      </c>
      <c r="F233" s="75">
        <f ca="1">IFERROR(__xludf.DUMMYFUNCTION("""COMPUTED_VALUE"""),45955)</f>
        <v>45955</v>
      </c>
      <c r="G233" s="74">
        <f ca="1">IFERROR(__xludf.DUMMYFUNCTION("""COMPUTED_VALUE"""),12)</f>
        <v>12</v>
      </c>
      <c r="H233" s="74">
        <f ca="1">IFERROR(__xludf.DUMMYFUNCTION("""COMPUTED_VALUE"""),16.8)</f>
        <v>16.8</v>
      </c>
      <c r="I233" s="74">
        <f ca="1">IFERROR(__xludf.DUMMYFUNCTION("""COMPUTED_VALUE"""),20)</f>
        <v>20</v>
      </c>
    </row>
    <row r="234" spans="2:9" ht="27" customHeight="1">
      <c r="B234" s="73" t="str">
        <f ca="1">IFERROR(__xludf.DUMMYFUNCTION("""COMPUTED_VALUE"""),"SUERO HARTMAN")</f>
        <v>SUERO HARTMAN</v>
      </c>
      <c r="C234" s="73" t="str">
        <f ca="1">IFERROR(__xludf.DUMMYFUNCTION("""COMPUTED_VALUE"""),"FRASCO 1000ML.")</f>
        <v>FRASCO 1000ML.</v>
      </c>
      <c r="D234" s="73" t="str">
        <f ca="1">IFERROR(__xludf.DUMMYFUNCTION("""COMPUTED_VALUE"""),"SOLUCIÓN HARTMAN")</f>
        <v>SOLUCIÓN HARTMAN</v>
      </c>
      <c r="E234" s="73" t="str">
        <f ca="1">IFERROR(__xludf.DUMMYFUNCTION("""COMPUTED_VALUE"""),"PISA")</f>
        <v>PISA</v>
      </c>
      <c r="F234" s="75">
        <f ca="1">IFERROR(__xludf.DUMMYFUNCTION("""COMPUTED_VALUE"""),45715)</f>
        <v>45715</v>
      </c>
      <c r="G234" s="74">
        <f ca="1">IFERROR(__xludf.DUMMYFUNCTION("""COMPUTED_VALUE"""),12)</f>
        <v>12</v>
      </c>
      <c r="H234" s="74">
        <f ca="1">IFERROR(__xludf.DUMMYFUNCTION("""COMPUTED_VALUE"""),16.8)</f>
        <v>16.8</v>
      </c>
      <c r="I234" s="74">
        <f ca="1">IFERROR(__xludf.DUMMYFUNCTION("""COMPUTED_VALUE"""),20)</f>
        <v>20</v>
      </c>
    </row>
    <row r="235" spans="2:9" ht="27" customHeight="1">
      <c r="B235" s="73" t="str">
        <f ca="1">IFERROR(__xludf.DUMMYFUNCTION("""COMPUTED_VALUE"""),"SUERO MIXTO")</f>
        <v>SUERO MIXTO</v>
      </c>
      <c r="C235" s="73" t="str">
        <f ca="1">IFERROR(__xludf.DUMMYFUNCTION("""COMPUTED_VALUE"""),"FRASCO 1000ML.")</f>
        <v>FRASCO 1000ML.</v>
      </c>
      <c r="D235" s="73" t="str">
        <f ca="1">IFERROR(__xludf.DUMMYFUNCTION("""COMPUTED_VALUE"""),"SOLUCION DE ELECTROLITOS ORALES")</f>
        <v>SOLUCION DE ELECTROLITOS ORALES</v>
      </c>
      <c r="E235" s="73" t="str">
        <f ca="1">IFERROR(__xludf.DUMMYFUNCTION("""COMPUTED_VALUE"""),"PISA")</f>
        <v>PISA</v>
      </c>
      <c r="F235" s="75">
        <f ca="1">IFERROR(__xludf.DUMMYFUNCTION("""COMPUTED_VALUE"""),45742)</f>
        <v>45742</v>
      </c>
      <c r="G235" s="74">
        <f ca="1">IFERROR(__xludf.DUMMYFUNCTION("""COMPUTED_VALUE"""),12)</f>
        <v>12</v>
      </c>
      <c r="H235" s="74">
        <f ca="1">IFERROR(__xludf.DUMMYFUNCTION("""COMPUTED_VALUE"""),16.8)</f>
        <v>16.8</v>
      </c>
      <c r="I235" s="74">
        <f ca="1">IFERROR(__xludf.DUMMYFUNCTION("""COMPUTED_VALUE"""),20)</f>
        <v>20</v>
      </c>
    </row>
    <row r="236" spans="2:9" ht="27" customHeight="1">
      <c r="B236" s="73" t="str">
        <f ca="1">IFERROR(__xludf.DUMMYFUNCTION("""COMPUTED_VALUE"""),"SUERO ORAL HIDRAVIDA")</f>
        <v>SUERO ORAL HIDRAVIDA</v>
      </c>
      <c r="C236" s="73" t="str">
        <f ca="1">IFERROR(__xludf.DUMMYFUNCTION("""COMPUTED_VALUE"""),"FRASCO 625ML")</f>
        <v>FRASCO 625ML</v>
      </c>
      <c r="D236" s="73" t="str">
        <f ca="1">IFERROR(__xludf.DUMMYFUNCTION("""COMPUTED_VALUE"""),"SOLUCIÓN DE ELECTROLITOS ORALES")</f>
        <v>SOLUCIÓN DE ELECTROLITOS ORALES</v>
      </c>
      <c r="E236" s="73" t="str">
        <f ca="1">IFERROR(__xludf.DUMMYFUNCTION("""COMPUTED_VALUE"""),"PISA")</f>
        <v>PISA</v>
      </c>
      <c r="F236" s="75">
        <f ca="1">IFERROR(__xludf.DUMMYFUNCTION("""COMPUTED_VALUE"""),45926)</f>
        <v>45926</v>
      </c>
      <c r="G236" s="74">
        <f ca="1">IFERROR(__xludf.DUMMYFUNCTION("""COMPUTED_VALUE"""),12.88)</f>
        <v>12.88</v>
      </c>
      <c r="H236" s="74">
        <f ca="1">IFERROR(__xludf.DUMMYFUNCTION("""COMPUTED_VALUE"""),18.032)</f>
        <v>18.032</v>
      </c>
      <c r="I236" s="74">
        <f ca="1">IFERROR(__xludf.DUMMYFUNCTION("""COMPUTED_VALUE"""),18)</f>
        <v>18</v>
      </c>
    </row>
    <row r="237" spans="2:9" ht="27" customHeight="1">
      <c r="B237" s="73" t="str">
        <f ca="1">IFERROR(__xludf.DUMMYFUNCTION("""COMPUTED_VALUE"""),"SUERO SALINO")</f>
        <v>SUERO SALINO</v>
      </c>
      <c r="C237" s="73" t="str">
        <f ca="1">IFERROR(__xludf.DUMMYFUNCTION("""COMPUTED_VALUE"""),"FRASCO 100ML.")</f>
        <v>FRASCO 100ML.</v>
      </c>
      <c r="D237" s="73" t="str">
        <f ca="1">IFERROR(__xludf.DUMMYFUNCTION("""COMPUTED_VALUE"""),"CLORURO DE SODIO 0.9%")</f>
        <v>CLORURO DE SODIO 0.9%</v>
      </c>
      <c r="E237" s="73" t="str">
        <f ca="1">IFERROR(__xludf.DUMMYFUNCTION("""COMPUTED_VALUE"""),"PISA")</f>
        <v>PISA</v>
      </c>
      <c r="F237" s="75">
        <f ca="1">IFERROR(__xludf.DUMMYFUNCTION("""COMPUTED_VALUE"""),45773)</f>
        <v>45773</v>
      </c>
      <c r="G237" s="74">
        <f ca="1">IFERROR(__xludf.DUMMYFUNCTION("""COMPUTED_VALUE"""),6.5)</f>
        <v>6.5</v>
      </c>
      <c r="H237" s="74">
        <f ca="1">IFERROR(__xludf.DUMMYFUNCTION("""COMPUTED_VALUE"""),9.1)</f>
        <v>9.1</v>
      </c>
      <c r="I237" s="74">
        <f ca="1">IFERROR(__xludf.DUMMYFUNCTION("""COMPUTED_VALUE"""),15)</f>
        <v>15</v>
      </c>
    </row>
    <row r="238" spans="2:9" ht="27" customHeight="1">
      <c r="B238" s="73" t="str">
        <f ca="1">IFERROR(__xludf.DUMMYFUNCTION("""COMPUTED_VALUE"""),"SUERO SALINO")</f>
        <v>SUERO SALINO</v>
      </c>
      <c r="C238" s="73" t="str">
        <f ca="1">IFERROR(__xludf.DUMMYFUNCTION("""COMPUTED_VALUE"""),"FRASCO 1000ML.")</f>
        <v>FRASCO 1000ML.</v>
      </c>
      <c r="D238" s="73" t="str">
        <f ca="1">IFERROR(__xludf.DUMMYFUNCTION("""COMPUTED_VALUE"""),"CLORURO DE SODIO 0.9%")</f>
        <v>CLORURO DE SODIO 0.9%</v>
      </c>
      <c r="E238" s="73" t="str">
        <f ca="1">IFERROR(__xludf.DUMMYFUNCTION("""COMPUTED_VALUE"""),"PISA")</f>
        <v>PISA</v>
      </c>
      <c r="F238" s="75">
        <f ca="1">IFERROR(__xludf.DUMMYFUNCTION("""COMPUTED_VALUE"""),45895)</f>
        <v>45895</v>
      </c>
      <c r="G238" s="74">
        <f ca="1">IFERROR(__xludf.DUMMYFUNCTION("""COMPUTED_VALUE"""),12)</f>
        <v>12</v>
      </c>
      <c r="H238" s="74">
        <f ca="1">IFERROR(__xludf.DUMMYFUNCTION("""COMPUTED_VALUE"""),16.8)</f>
        <v>16.8</v>
      </c>
      <c r="I238" s="74">
        <f ca="1">IFERROR(__xludf.DUMMYFUNCTION("""COMPUTED_VALUE"""),20)</f>
        <v>20</v>
      </c>
    </row>
    <row r="239" spans="2:9" ht="27" customHeight="1">
      <c r="B239" s="73" t="str">
        <f ca="1">IFERROR(__xludf.DUMMYFUNCTION("""COMPUTED_VALUE"""),"SUERO SALINO")</f>
        <v>SUERO SALINO</v>
      </c>
      <c r="C239" s="73" t="str">
        <f ca="1">IFERROR(__xludf.DUMMYFUNCTION("""COMPUTED_VALUE"""),"BOLSA 3000ML")</f>
        <v>BOLSA 3000ML</v>
      </c>
      <c r="D239" s="73" t="str">
        <f ca="1">IFERROR(__xludf.DUMMYFUNCTION("""COMPUTED_VALUE"""),"CLORURO DE SODIO 0.9%")</f>
        <v>CLORURO DE SODIO 0.9%</v>
      </c>
      <c r="E239" s="73" t="str">
        <f ca="1">IFERROR(__xludf.DUMMYFUNCTION("""COMPUTED_VALUE"""),"PISA")</f>
        <v>PISA</v>
      </c>
      <c r="F239" s="75">
        <f ca="1">IFERROR(__xludf.DUMMYFUNCTION("""COMPUTED_VALUE"""),45865)</f>
        <v>45865</v>
      </c>
      <c r="G239" s="74">
        <f ca="1">IFERROR(__xludf.DUMMYFUNCTION("""COMPUTED_VALUE"""),67.5)</f>
        <v>67.5</v>
      </c>
      <c r="H239" s="74">
        <f ca="1">IFERROR(__xludf.DUMMYFUNCTION("""COMPUTED_VALUE"""),94.5)</f>
        <v>94.5</v>
      </c>
      <c r="I239" s="74">
        <f ca="1">IFERROR(__xludf.DUMMYFUNCTION("""COMPUTED_VALUE"""),95)</f>
        <v>95</v>
      </c>
    </row>
    <row r="240" spans="2:9" ht="27" customHeight="1">
      <c r="B240" s="73" t="str">
        <f ca="1">IFERROR(__xludf.DUMMYFUNCTION("""COMPUTED_VALUE"""),"SULFATO DE ATROPINA")</f>
        <v>SULFATO DE ATROPINA</v>
      </c>
      <c r="C240" s="73" t="str">
        <f ca="1">IFERROR(__xludf.DUMMYFUNCTION("""COMPUTED_VALUE"""),"AMPOLLA 2ML")</f>
        <v>AMPOLLA 2ML</v>
      </c>
      <c r="D240" s="73" t="str">
        <f ca="1">IFERROR(__xludf.DUMMYFUNCTION("""COMPUTED_VALUE"""),"SULFATO DE ATROPINA")</f>
        <v>SULFATO DE ATROPINA</v>
      </c>
      <c r="E240" s="73" t="str">
        <f ca="1">IFERROR(__xludf.DUMMYFUNCTION("""COMPUTED_VALUE"""),"BONIN")</f>
        <v>BONIN</v>
      </c>
      <c r="F240" s="75">
        <f ca="1">IFERROR(__xludf.DUMMYFUNCTION("""COMPUTED_VALUE"""),45956)</f>
        <v>45956</v>
      </c>
      <c r="G240" s="74">
        <f ca="1">IFERROR(__xludf.DUMMYFUNCTION("""COMPUTED_VALUE"""),4.8)</f>
        <v>4.8</v>
      </c>
      <c r="H240" s="74">
        <f ca="1">IFERROR(__xludf.DUMMYFUNCTION("""COMPUTED_VALUE"""),6.72)</f>
        <v>6.72</v>
      </c>
      <c r="I240" s="74">
        <f ca="1">IFERROR(__xludf.DUMMYFUNCTION("""COMPUTED_VALUE"""),15)</f>
        <v>15</v>
      </c>
    </row>
    <row r="241" spans="2:9" ht="27" customHeight="1">
      <c r="B241" s="73" t="str">
        <f ca="1">IFERROR(__xludf.DUMMYFUNCTION("""COMPUTED_VALUE"""),"SULFATO DE MAGNESIO")</f>
        <v>SULFATO DE MAGNESIO</v>
      </c>
      <c r="C241" s="73" t="str">
        <f ca="1">IFERROR(__xludf.DUMMYFUNCTION("""COMPUTED_VALUE"""),"AMPOLLA 10ML")</f>
        <v>AMPOLLA 10ML</v>
      </c>
      <c r="D241" s="73" t="str">
        <f ca="1">IFERROR(__xludf.DUMMYFUNCTION("""COMPUTED_VALUE"""),"SULFATO DE MAGNESIO 50%")</f>
        <v>SULFATO DE MAGNESIO 50%</v>
      </c>
      <c r="E241" s="73" t="str">
        <f ca="1">IFERROR(__xludf.DUMMYFUNCTION("""COMPUTED_VALUE"""),"VIJOSA")</f>
        <v>VIJOSA</v>
      </c>
      <c r="F241" s="75">
        <f ca="1">IFERROR(__xludf.DUMMYFUNCTION("""COMPUTED_VALUE"""),45865)</f>
        <v>45865</v>
      </c>
      <c r="G241" s="74">
        <f ca="1">IFERROR(__xludf.DUMMYFUNCTION("""COMPUTED_VALUE"""),31.75)</f>
        <v>31.75</v>
      </c>
      <c r="H241" s="74">
        <f ca="1">IFERROR(__xludf.DUMMYFUNCTION("""COMPUTED_VALUE"""),44.45)</f>
        <v>44.45</v>
      </c>
      <c r="I241" s="74">
        <f ca="1">IFERROR(__xludf.DUMMYFUNCTION("""COMPUTED_VALUE"""),55)</f>
        <v>55</v>
      </c>
    </row>
    <row r="242" spans="2:9" ht="27" customHeight="1">
      <c r="B242" s="73" t="str">
        <f ca="1">IFERROR(__xludf.DUMMYFUNCTION("""COMPUTED_VALUE"""),"SUPER BELIRON")</f>
        <v>SUPER BELIRON</v>
      </c>
      <c r="C242" s="73" t="str">
        <f ca="1">IFERROR(__xludf.DUMMYFUNCTION("""COMPUTED_VALUE"""),"CAJA 2 TABLETAS")</f>
        <v>CAJA 2 TABLETAS</v>
      </c>
      <c r="D242" s="73" t="str">
        <f ca="1">IFERROR(__xludf.DUMMYFUNCTION("""COMPUTED_VALUE"""),"SILDENAFIL 50MG, DAPOXETINA HCI 30MG")</f>
        <v>SILDENAFIL 50MG, DAPOXETINA HCI 30MG</v>
      </c>
      <c r="E242" s="73" t="str">
        <f ca="1">IFERROR(__xludf.DUMMYFUNCTION("""COMPUTED_VALUE"""),"PHARMADEL")</f>
        <v>PHARMADEL</v>
      </c>
      <c r="F242" s="75">
        <f ca="1">IFERROR(__xludf.DUMMYFUNCTION("""COMPUTED_VALUE"""),45773)</f>
        <v>45773</v>
      </c>
      <c r="G242" s="74">
        <f ca="1">IFERROR(__xludf.DUMMYFUNCTION("""COMPUTED_VALUE"""),40.5)</f>
        <v>40.5</v>
      </c>
      <c r="H242" s="74">
        <f ca="1">IFERROR(__xludf.DUMMYFUNCTION("""COMPUTED_VALUE"""),56.7)</f>
        <v>56.7</v>
      </c>
      <c r="I242" s="74">
        <f ca="1">IFERROR(__xludf.DUMMYFUNCTION("""COMPUTED_VALUE"""),60)</f>
        <v>60</v>
      </c>
    </row>
    <row r="243" spans="2:9" ht="27" customHeight="1">
      <c r="B243" s="73" t="str">
        <f ca="1">IFERROR(__xludf.DUMMYFUNCTION("""COMPUTED_VALUE"""),"TAGLIP")</f>
        <v>TAGLIP</v>
      </c>
      <c r="C243" s="73" t="str">
        <f ca="1">IFERROR(__xludf.DUMMYFUNCTION("""COMPUTED_VALUE"""),"CAJA 30 TABLETAS")</f>
        <v>CAJA 30 TABLETAS</v>
      </c>
      <c r="D243" s="73" t="str">
        <f ca="1">IFERROR(__xludf.DUMMYFUNCTION("""COMPUTED_VALUE"""),"SITAGLIPTINA 100MG.")</f>
        <v>SITAGLIPTINA 100MG.</v>
      </c>
      <c r="E243" s="73" t="str">
        <f ca="1">IFERROR(__xludf.DUMMYFUNCTION("""COMPUTED_VALUE"""),"QUALIPHARM")</f>
        <v>QUALIPHARM</v>
      </c>
      <c r="F243" s="75">
        <f ca="1">IFERROR(__xludf.DUMMYFUNCTION("""COMPUTED_VALUE"""),45987)</f>
        <v>45987</v>
      </c>
      <c r="G243" s="74">
        <f ca="1">IFERROR(__xludf.DUMMYFUNCTION("""COMPUTED_VALUE"""),105)</f>
        <v>105</v>
      </c>
      <c r="H243" s="74">
        <f ca="1">IFERROR(__xludf.DUMMYFUNCTION("""COMPUTED_VALUE"""),147)</f>
        <v>147</v>
      </c>
      <c r="I243" s="74">
        <f ca="1">IFERROR(__xludf.DUMMYFUNCTION("""COMPUTED_VALUE"""),150)</f>
        <v>150</v>
      </c>
    </row>
    <row r="244" spans="2:9" ht="27" customHeight="1">
      <c r="B244" s="73" t="str">
        <f ca="1">IFERROR(__xludf.DUMMYFUNCTION("""COMPUTED_VALUE"""),"TIAMINA")</f>
        <v>TIAMINA</v>
      </c>
      <c r="C244" s="73" t="str">
        <f ca="1">IFERROR(__xludf.DUMMYFUNCTION("""COMPUTED_VALUE"""),"FRASCO 10ML")</f>
        <v>FRASCO 10ML</v>
      </c>
      <c r="D244" s="73" t="str">
        <f ca="1">IFERROR(__xludf.DUMMYFUNCTION("""COMPUTED_VALUE"""),"TIAMINA HCI, VITAMINA B1")</f>
        <v>TIAMINA HCI, VITAMINA B1</v>
      </c>
      <c r="E244" s="73" t="str">
        <f ca="1">IFERROR(__xludf.DUMMYFUNCTION("""COMPUTED_VALUE"""),"BONIN")</f>
        <v>BONIN</v>
      </c>
      <c r="F244" s="75">
        <f ca="1">IFERROR(__xludf.DUMMYFUNCTION("""COMPUTED_VALUE"""),45716)</f>
        <v>45716</v>
      </c>
      <c r="G244" s="74">
        <f ca="1">IFERROR(__xludf.DUMMYFUNCTION("""COMPUTED_VALUE"""),8.75)</f>
        <v>8.75</v>
      </c>
      <c r="H244" s="74">
        <f ca="1">IFERROR(__xludf.DUMMYFUNCTION("""COMPUTED_VALUE"""),12.25)</f>
        <v>12.25</v>
      </c>
      <c r="I244" s="74">
        <f ca="1">IFERROR(__xludf.DUMMYFUNCTION("""COMPUTED_VALUE"""),30)</f>
        <v>30</v>
      </c>
    </row>
    <row r="245" spans="2:9" ht="27" customHeight="1">
      <c r="B245" s="73" t="str">
        <f ca="1">IFERROR(__xludf.DUMMYFUNCTION("""COMPUTED_VALUE"""),"TIAMINAL B12")</f>
        <v>TIAMINAL B12</v>
      </c>
      <c r="C245" s="73" t="str">
        <f ca="1">IFERROR(__xludf.DUMMYFUNCTION("""COMPUTED_VALUE"""),"CAJA 30 CAPSULAS")</f>
        <v>CAJA 30 CAPSULAS</v>
      </c>
      <c r="D245" s="73" t="str">
        <f ca="1">IFERROR(__xludf.DUMMYFUNCTION("""COMPUTED_VALUE"""),"CIANOCOBALAMINA, PRIRDOXINA, TIAMINA")</f>
        <v>CIANOCOBALAMINA, PRIRDOXINA, TIAMINA</v>
      </c>
      <c r="E245" s="73" t="str">
        <f ca="1">IFERROR(__xludf.DUMMYFUNCTION("""COMPUTED_VALUE"""),"SILANES")</f>
        <v>SILANES</v>
      </c>
      <c r="F245" s="75">
        <f ca="1">IFERROR(__xludf.DUMMYFUNCTION("""COMPUTED_VALUE"""),45987)</f>
        <v>45987</v>
      </c>
      <c r="G245" s="74">
        <f ca="1">IFERROR(__xludf.DUMMYFUNCTION("""COMPUTED_VALUE"""),66.42)</f>
        <v>66.42</v>
      </c>
      <c r="H245" s="74">
        <f ca="1">IFERROR(__xludf.DUMMYFUNCTION("""COMPUTED_VALUE"""),92.988)</f>
        <v>92.988</v>
      </c>
      <c r="I245" s="74">
        <f ca="1">IFERROR(__xludf.DUMMYFUNCTION("""COMPUTED_VALUE"""),95)</f>
        <v>95</v>
      </c>
    </row>
    <row r="246" spans="2:9" ht="27" customHeight="1">
      <c r="B246" s="73" t="str">
        <f ca="1">IFERROR(__xludf.DUMMYFUNCTION("""COMPUTED_VALUE"""),"TIBONELLA")</f>
        <v>TIBONELLA</v>
      </c>
      <c r="C246" s="73" t="str">
        <f ca="1">IFERROR(__xludf.DUMMYFUNCTION("""COMPUTED_VALUE"""),"CAJA 28 TABLETAS")</f>
        <v>CAJA 28 TABLETAS</v>
      </c>
      <c r="D246" s="73" t="str">
        <f ca="1">IFERROR(__xludf.DUMMYFUNCTION("""COMPUTED_VALUE"""),"TIBOLONA 2,5MG.")</f>
        <v>TIBOLONA 2,5MG.</v>
      </c>
      <c r="E246" s="73" t="str">
        <f ca="1">IFERROR(__xludf.DUMMYFUNCTION("""COMPUTED_VALUE"""),"CHALVER")</f>
        <v>CHALVER</v>
      </c>
      <c r="F246" s="75">
        <f ca="1">IFERROR(__xludf.DUMMYFUNCTION("""COMPUTED_VALUE"""),45895)</f>
        <v>45895</v>
      </c>
      <c r="G246" s="74">
        <f ca="1">IFERROR(__xludf.DUMMYFUNCTION("""COMPUTED_VALUE"""),175.52)</f>
        <v>175.52</v>
      </c>
      <c r="H246" s="74">
        <f ca="1">IFERROR(__xludf.DUMMYFUNCTION("""COMPUTED_VALUE"""),245.728)</f>
        <v>245.72800000000001</v>
      </c>
      <c r="I246" s="74">
        <f ca="1">IFERROR(__xludf.DUMMYFUNCTION("""COMPUTED_VALUE"""),245)</f>
        <v>245</v>
      </c>
    </row>
    <row r="247" spans="2:9" ht="27" customHeight="1">
      <c r="B247" s="73" t="str">
        <f ca="1">IFERROR(__xludf.DUMMYFUNCTION("""COMPUTED_VALUE"""),"TOALLA FEMENINA")</f>
        <v>TOALLA FEMENINA</v>
      </c>
      <c r="C247" s="73" t="str">
        <f ca="1">IFERROR(__xludf.DUMMYFUNCTION("""COMPUTED_VALUE"""),"UNIDAD")</f>
        <v>UNIDAD</v>
      </c>
      <c r="D247" s="73" t="str">
        <f ca="1">IFERROR(__xludf.DUMMYFUNCTION("""COMPUTED_VALUE"""),"TOALLA")</f>
        <v>TOALLA</v>
      </c>
      <c r="E247" s="73" t="str">
        <f ca="1">IFERROR(__xludf.DUMMYFUNCTION("""COMPUTED_VALUE"""),"SUPER MAS")</f>
        <v>SUPER MAS</v>
      </c>
      <c r="F247" s="75">
        <f ca="1">IFERROR(__xludf.DUMMYFUNCTION("""COMPUTED_VALUE"""),45714)</f>
        <v>45714</v>
      </c>
      <c r="G247" s="74">
        <f ca="1">IFERROR(__xludf.DUMMYFUNCTION("""COMPUTED_VALUE"""),5.25)</f>
        <v>5.25</v>
      </c>
      <c r="H247" s="74">
        <f ca="1">IFERROR(__xludf.DUMMYFUNCTION("""COMPUTED_VALUE"""),7.35)</f>
        <v>7.35</v>
      </c>
      <c r="I247" s="74">
        <f ca="1">IFERROR(__xludf.DUMMYFUNCTION("""COMPUTED_VALUE"""),10)</f>
        <v>10</v>
      </c>
    </row>
    <row r="248" spans="2:9" ht="27" customHeight="1">
      <c r="B248" s="73" t="str">
        <f ca="1">IFERROR(__xludf.DUMMYFUNCTION("""COMPUTED_VALUE"""),"TOPIBEST ""HC""")</f>
        <v>TOPIBEST "HC"</v>
      </c>
      <c r="C248" s="73" t="str">
        <f ca="1">IFERROR(__xludf.DUMMYFUNCTION("""COMPUTED_VALUE"""),"CREMA 30G.")</f>
        <v>CREMA 30G.</v>
      </c>
      <c r="D248" s="73" t="str">
        <f ca="1">IFERROR(__xludf.DUMMYFUNCTION("""COMPUTED_VALUE"""),"CREMA DERMATOLOGICA DE HIDROCORTIZONA 0.5%")</f>
        <v>CREMA DERMATOLOGICA DE HIDROCORTIZONA 0.5%</v>
      </c>
      <c r="E248" s="73" t="str">
        <f ca="1">IFERROR(__xludf.DUMMYFUNCTION("""COMPUTED_VALUE"""),"PHARBEST, S.A.")</f>
        <v>PHARBEST, S.A.</v>
      </c>
      <c r="F248" s="75">
        <f ca="1">IFERROR(__xludf.DUMMYFUNCTION("""COMPUTED_VALUE"""),45864)</f>
        <v>45864</v>
      </c>
      <c r="G248" s="74">
        <f ca="1">IFERROR(__xludf.DUMMYFUNCTION("""COMPUTED_VALUE"""),92.66)</f>
        <v>92.66</v>
      </c>
      <c r="H248" s="74">
        <f ca="1">IFERROR(__xludf.DUMMYFUNCTION("""COMPUTED_VALUE"""),129.724)</f>
        <v>129.72399999999999</v>
      </c>
      <c r="I248" s="74">
        <f ca="1">IFERROR(__xludf.DUMMYFUNCTION("""COMPUTED_VALUE"""),145)</f>
        <v>145</v>
      </c>
    </row>
    <row r="249" spans="2:9" ht="27" customHeight="1">
      <c r="B249" s="73" t="str">
        <f ca="1">IFERROR(__xludf.DUMMYFUNCTION("""COMPUTED_VALUE"""),"TRAMADOL")</f>
        <v>TRAMADOL</v>
      </c>
      <c r="C249" s="73" t="str">
        <f ca="1">IFERROR(__xludf.DUMMYFUNCTION("""COMPUTED_VALUE"""),"AMPOLLA 2ML")</f>
        <v>AMPOLLA 2ML</v>
      </c>
      <c r="D249" s="73" t="str">
        <f ca="1">IFERROR(__xludf.DUMMYFUNCTION("""COMPUTED_VALUE"""),"TRAMADOL")</f>
        <v>TRAMADOL</v>
      </c>
      <c r="E249" s="73" t="str">
        <f ca="1">IFERROR(__xludf.DUMMYFUNCTION("""COMPUTED_VALUE"""),"VITALIS")</f>
        <v>VITALIS</v>
      </c>
      <c r="F249" s="75">
        <f ca="1">IFERROR(__xludf.DUMMYFUNCTION("""COMPUTED_VALUE"""),45835)</f>
        <v>45835</v>
      </c>
      <c r="G249" s="74">
        <f ca="1">IFERROR(__xludf.DUMMYFUNCTION("""COMPUTED_VALUE"""),2.28)</f>
        <v>2.2799999999999998</v>
      </c>
      <c r="H249" s="74">
        <f ca="1">IFERROR(__xludf.DUMMYFUNCTION("""COMPUTED_VALUE"""),3.19199999999999)</f>
        <v>3.19199999999999</v>
      </c>
      <c r="I249" s="74">
        <f ca="1">IFERROR(__xludf.DUMMYFUNCTION("""COMPUTED_VALUE"""),30)</f>
        <v>30</v>
      </c>
    </row>
    <row r="250" spans="2:9" ht="27" customHeight="1">
      <c r="B250" s="73" t="str">
        <f ca="1">IFERROR(__xludf.DUMMYFUNCTION("""COMPUTED_VALUE"""),"TRANEXIN")</f>
        <v>TRANEXIN</v>
      </c>
      <c r="C250" s="73" t="str">
        <f ca="1">IFERROR(__xludf.DUMMYFUNCTION("""COMPUTED_VALUE"""),"AMPOLLA 5ML")</f>
        <v>AMPOLLA 5ML</v>
      </c>
      <c r="D250" s="73" t="str">
        <f ca="1">IFERROR(__xludf.DUMMYFUNCTION("""COMPUTED_VALUE"""),"ACIDO TRANEXÁNICO")</f>
        <v>ACIDO TRANEXÁNICO</v>
      </c>
      <c r="E250" s="73" t="str">
        <f ca="1">IFERROR(__xludf.DUMMYFUNCTION("""COMPUTED_VALUE"""),"AGEFINSA")</f>
        <v>AGEFINSA</v>
      </c>
      <c r="F250" s="75">
        <f ca="1">IFERROR(__xludf.DUMMYFUNCTION("""COMPUTED_VALUE"""),45865)</f>
        <v>45865</v>
      </c>
      <c r="G250" s="74">
        <f ca="1">IFERROR(__xludf.DUMMYFUNCTION("""COMPUTED_VALUE"""),125)</f>
        <v>125</v>
      </c>
      <c r="H250" s="74">
        <f ca="1">IFERROR(__xludf.DUMMYFUNCTION("""COMPUTED_VALUE"""),175)</f>
        <v>175</v>
      </c>
      <c r="I250" s="74">
        <f ca="1">IFERROR(__xludf.DUMMYFUNCTION("""COMPUTED_VALUE"""),175)</f>
        <v>175</v>
      </c>
    </row>
    <row r="251" spans="2:9" ht="27" customHeight="1">
      <c r="B251" s="73" t="str">
        <f ca="1">IFERROR(__xludf.DUMMYFUNCTION("""COMPUTED_VALUE"""),"TRIACID")</f>
        <v>TRIACID</v>
      </c>
      <c r="C251" s="73" t="str">
        <f ca="1">IFERROR(__xludf.DUMMYFUNCTION("""COMPUTED_VALUE"""),"CAJA 30 CAPSULAS")</f>
        <v>CAJA 30 CAPSULAS</v>
      </c>
      <c r="D251" s="73" t="str">
        <f ca="1">IFERROR(__xludf.DUMMYFUNCTION("""COMPUTED_VALUE"""),"BROMURO DE PINAVERIO 100MG + SIMETICONA 300MG")</f>
        <v>BROMURO DE PINAVERIO 100MG + SIMETICONA 300MG</v>
      </c>
      <c r="E251" s="73" t="str">
        <f ca="1">IFERROR(__xludf.DUMMYFUNCTION("""COMPUTED_VALUE"""),"MEDPHARMA")</f>
        <v>MEDPHARMA</v>
      </c>
      <c r="F251" s="75">
        <f ca="1">IFERROR(__xludf.DUMMYFUNCTION("""COMPUTED_VALUE"""),45774)</f>
        <v>45774</v>
      </c>
      <c r="G251" s="74">
        <f ca="1">IFERROR(__xludf.DUMMYFUNCTION("""COMPUTED_VALUE"""),125.49)</f>
        <v>125.49</v>
      </c>
      <c r="H251" s="74">
        <f ca="1">IFERROR(__xludf.DUMMYFUNCTION("""COMPUTED_VALUE"""),175.685999999999)</f>
        <v>175.68599999999901</v>
      </c>
      <c r="I251" s="74">
        <f ca="1">IFERROR(__xludf.DUMMYFUNCTION("""COMPUTED_VALUE"""),175)</f>
        <v>175</v>
      </c>
    </row>
    <row r="252" spans="2:9" ht="27" customHeight="1">
      <c r="B252" s="73" t="str">
        <f ca="1">IFERROR(__xludf.DUMMYFUNCTION("""COMPUTED_VALUE"""),"TRIGOPAX")</f>
        <v>TRIGOPAX</v>
      </c>
      <c r="C252" s="73" t="str">
        <f ca="1">IFERROR(__xludf.DUMMYFUNCTION("""COMPUTED_VALUE"""),"CREMA 30G.")</f>
        <v>CREMA 30G.</v>
      </c>
      <c r="D252" s="73" t="str">
        <f ca="1">IFERROR(__xludf.DUMMYFUNCTION("""COMPUTED_VALUE"""),"CREMA CALMANTE Y PROTECTORA DE LA PIEL")</f>
        <v>CREMA CALMANTE Y PROTECTORA DE LA PIEL</v>
      </c>
      <c r="E252" s="73" t="str">
        <f ca="1">IFERROR(__xludf.DUMMYFUNCTION("""COMPUTED_VALUE"""),"ACM LAB. DERMATOLOGIQUE")</f>
        <v>ACM LAB. DERMATOLOGIQUE</v>
      </c>
      <c r="F252" s="75">
        <f ca="1">IFERROR(__xludf.DUMMYFUNCTION("""COMPUTED_VALUE"""),45803)</f>
        <v>45803</v>
      </c>
      <c r="G252" s="74">
        <f ca="1">IFERROR(__xludf.DUMMYFUNCTION("""COMPUTED_VALUE"""),159.49)</f>
        <v>159.49</v>
      </c>
      <c r="H252" s="74">
        <f ca="1">IFERROR(__xludf.DUMMYFUNCTION("""COMPUTED_VALUE"""),223.286)</f>
        <v>223.286</v>
      </c>
      <c r="I252" s="74">
        <f ca="1">IFERROR(__xludf.DUMMYFUNCTION("""COMPUTED_VALUE"""),225)</f>
        <v>225</v>
      </c>
    </row>
    <row r="253" spans="2:9" ht="27" customHeight="1">
      <c r="B253" s="73" t="str">
        <f ca="1">IFERROR(__xludf.DUMMYFUNCTION("""COMPUTED_VALUE"""),"TRIPACK-DEL")</f>
        <v>TRIPACK-DEL</v>
      </c>
      <c r="C253" s="73" t="str">
        <f ca="1">IFERROR(__xludf.DUMMYFUNCTION("""COMPUTED_VALUE"""),"CAJA 10 BLISTER")</f>
        <v>CAJA 10 BLISTER</v>
      </c>
      <c r="D253" s="73" t="str">
        <f ca="1">IFERROR(__xludf.DUMMYFUNCTION("""COMPUTED_VALUE"""),"AMOXICILINA, LEVOFLOXACINA Y ESOMEPRAZOL")</f>
        <v>AMOXICILINA, LEVOFLOXACINA Y ESOMEPRAZOL</v>
      </c>
      <c r="E253" s="73" t="str">
        <f ca="1">IFERROR(__xludf.DUMMYFUNCTION("""COMPUTED_VALUE"""),"PHARMADEL")</f>
        <v>PHARMADEL</v>
      </c>
      <c r="F253" s="75">
        <f ca="1">IFERROR(__xludf.DUMMYFUNCTION("""COMPUTED_VALUE"""),45926)</f>
        <v>45926</v>
      </c>
      <c r="G253" s="74">
        <f ca="1">IFERROR(__xludf.DUMMYFUNCTION("""COMPUTED_VALUE"""),250)</f>
        <v>250</v>
      </c>
      <c r="H253" s="74">
        <f ca="1">IFERROR(__xludf.DUMMYFUNCTION("""COMPUTED_VALUE"""),350)</f>
        <v>350</v>
      </c>
      <c r="I253" s="74">
        <f ca="1">IFERROR(__xludf.DUMMYFUNCTION("""COMPUTED_VALUE"""),350)</f>
        <v>350</v>
      </c>
    </row>
    <row r="254" spans="2:9" ht="27" customHeight="1">
      <c r="B254" s="73" t="str">
        <f ca="1">IFERROR(__xludf.DUMMYFUNCTION("""COMPUTED_VALUE"""),"TUSILEXIL")</f>
        <v>TUSILEXIL</v>
      </c>
      <c r="C254" s="73" t="str">
        <f ca="1">IFERROR(__xludf.DUMMYFUNCTION("""COMPUTED_VALUE"""),"FRASCO 120ML.")</f>
        <v>FRASCO 120ML.</v>
      </c>
      <c r="D254" s="73" t="str">
        <f ca="1">IFERROR(__xludf.DUMMYFUNCTION("""COMPUTED_VALUE"""),"CARBOXIMETILCISTEÌNA/DEXTROMETORFANO/BROMHIDRATO/CLOFGENIRAMINA MALEATO")</f>
        <v>CARBOXIMETILCISTEÌNA/DEXTROMETORFANO/BROMHIDRATO/CLOFGENIRAMINA MALEATO</v>
      </c>
      <c r="E254" s="73" t="str">
        <f ca="1">IFERROR(__xludf.DUMMYFUNCTION("""COMPUTED_VALUE"""),"LETERAGO")</f>
        <v>LETERAGO</v>
      </c>
      <c r="F254" s="75">
        <f ca="1">IFERROR(__xludf.DUMMYFUNCTION("""COMPUTED_VALUE"""),45742)</f>
        <v>45742</v>
      </c>
      <c r="G254" s="74">
        <f ca="1">IFERROR(__xludf.DUMMYFUNCTION("""COMPUTED_VALUE"""),77.25)</f>
        <v>77.25</v>
      </c>
      <c r="H254" s="74">
        <f ca="1">IFERROR(__xludf.DUMMYFUNCTION("""COMPUTED_VALUE"""),108.15)</f>
        <v>108.15</v>
      </c>
      <c r="I254" s="74">
        <f ca="1">IFERROR(__xludf.DUMMYFUNCTION("""COMPUTED_VALUE"""),110)</f>
        <v>110</v>
      </c>
    </row>
    <row r="255" spans="2:9" ht="27" customHeight="1">
      <c r="B255" s="73" t="str">
        <f ca="1">IFERROR(__xludf.DUMMYFUNCTION("""COMPUTED_VALUE"""),"URICRIS")</f>
        <v>URICRIS</v>
      </c>
      <c r="C255" s="73" t="str">
        <f ca="1">IFERROR(__xludf.DUMMYFUNCTION("""COMPUTED_VALUE"""),"CAJA 30 TABLETAS")</f>
        <v>CAJA 30 TABLETAS</v>
      </c>
      <c r="D255" s="73" t="str">
        <f ca="1">IFERROR(__xludf.DUMMYFUNCTION("""COMPUTED_VALUE"""),"ALOPURINOL 300MG.")</f>
        <v>ALOPURINOL 300MG.</v>
      </c>
      <c r="E255" s="73" t="str">
        <f ca="1">IFERROR(__xludf.DUMMYFUNCTION("""COMPUTED_VALUE"""),"PHARMALAT")</f>
        <v>PHARMALAT</v>
      </c>
      <c r="F255" s="75">
        <f ca="1">IFERROR(__xludf.DUMMYFUNCTION("""COMPUTED_VALUE"""),45714)</f>
        <v>45714</v>
      </c>
      <c r="G255" s="74">
        <f ca="1">IFERROR(__xludf.DUMMYFUNCTION("""COMPUTED_VALUE"""),105)</f>
        <v>105</v>
      </c>
      <c r="H255" s="74">
        <f ca="1">IFERROR(__xludf.DUMMYFUNCTION("""COMPUTED_VALUE"""),147)</f>
        <v>147</v>
      </c>
      <c r="I255" s="74">
        <f ca="1">IFERROR(__xludf.DUMMYFUNCTION("""COMPUTED_VALUE"""),150)</f>
        <v>150</v>
      </c>
    </row>
    <row r="256" spans="2:9" ht="27" customHeight="1">
      <c r="B256" s="73" t="str">
        <f ca="1">IFERROR(__xludf.DUMMYFUNCTION("""COMPUTED_VALUE"""),"URINOM XR")</f>
        <v>URINOM XR</v>
      </c>
      <c r="C256" s="73" t="str">
        <f ca="1">IFERROR(__xludf.DUMMYFUNCTION("""COMPUTED_VALUE"""),"CAJA 30 CAPSULAS")</f>
        <v>CAJA 30 CAPSULAS</v>
      </c>
      <c r="D256" s="73" t="str">
        <f ca="1">IFERROR(__xludf.DUMMYFUNCTION("""COMPUTED_VALUE"""),"TAMSULOSINA 0.4MG")</f>
        <v>TAMSULOSINA 0.4MG</v>
      </c>
      <c r="E256" s="73" t="str">
        <f ca="1">IFERROR(__xludf.DUMMYFUNCTION("""COMPUTED_VALUE"""),"PHARMOZ")</f>
        <v>PHARMOZ</v>
      </c>
      <c r="F256" s="75">
        <f ca="1">IFERROR(__xludf.DUMMYFUNCTION("""COMPUTED_VALUE"""),45864)</f>
        <v>45864</v>
      </c>
      <c r="G256" s="74">
        <f ca="1">IFERROR(__xludf.DUMMYFUNCTION("""COMPUTED_VALUE"""),235.98)</f>
        <v>235.98</v>
      </c>
      <c r="H256" s="74">
        <f ca="1">IFERROR(__xludf.DUMMYFUNCTION("""COMPUTED_VALUE"""),330.371999999999)</f>
        <v>330.37199999999899</v>
      </c>
      <c r="I256" s="74">
        <f ca="1">IFERROR(__xludf.DUMMYFUNCTION("""COMPUTED_VALUE"""),335)</f>
        <v>335</v>
      </c>
    </row>
    <row r="257" spans="2:9" ht="27" customHeight="1">
      <c r="B257" s="73" t="str">
        <f ca="1">IFERROR(__xludf.DUMMYFUNCTION("""COMPUTED_VALUE"""),"URITAM D")</f>
        <v>URITAM D</v>
      </c>
      <c r="C257" s="73" t="str">
        <f ca="1">IFERROR(__xludf.DUMMYFUNCTION("""COMPUTED_VALUE"""),"CAJA 30 CAPSULAS")</f>
        <v>CAJA 30 CAPSULAS</v>
      </c>
      <c r="D257" s="73" t="str">
        <f ca="1">IFERROR(__xludf.DUMMYFUNCTION("""COMPUTED_VALUE"""),"DUTASTERIDA 05MG + TAMSULOSINA CLORHIDRATO 0.4MG")</f>
        <v>DUTASTERIDA 05MG + TAMSULOSINA CLORHIDRATO 0.4MG</v>
      </c>
      <c r="E257" s="73" t="str">
        <f ca="1">IFERROR(__xludf.DUMMYFUNCTION("""COMPUTED_VALUE"""),"MEDPHARMA")</f>
        <v>MEDPHARMA</v>
      </c>
      <c r="F257" s="75">
        <f ca="1">IFERROR(__xludf.DUMMYFUNCTION("""COMPUTED_VALUE"""),45685)</f>
        <v>45685</v>
      </c>
      <c r="G257" s="74">
        <f ca="1">IFERROR(__xludf.DUMMYFUNCTION("""COMPUTED_VALUE"""),266.4)</f>
        <v>266.39999999999998</v>
      </c>
      <c r="H257" s="74">
        <f ca="1">IFERROR(__xludf.DUMMYFUNCTION("""COMPUTED_VALUE"""),372.96)</f>
        <v>372.96</v>
      </c>
      <c r="I257" s="74">
        <f ca="1">IFERROR(__xludf.DUMMYFUNCTION("""COMPUTED_VALUE"""),400)</f>
        <v>400</v>
      </c>
    </row>
    <row r="258" spans="2:9" ht="27" customHeight="1">
      <c r="B258" s="73" t="str">
        <f ca="1">IFERROR(__xludf.DUMMYFUNCTION("""COMPUTED_VALUE"""),"UROBERRY FORTE")</f>
        <v>UROBERRY FORTE</v>
      </c>
      <c r="C258" s="73" t="str">
        <f ca="1">IFERROR(__xludf.DUMMYFUNCTION("""COMPUTED_VALUE"""),"CAJA 30 TABLETAS")</f>
        <v>CAJA 30 TABLETAS</v>
      </c>
      <c r="D258" s="73" t="str">
        <f ca="1">IFERROR(__xludf.DUMMYFUNCTION("""COMPUTED_VALUE"""),"EXTRACTO DE CRANBERRY, VITAMINA C")</f>
        <v>EXTRACTO DE CRANBERRY, VITAMINA C</v>
      </c>
      <c r="E258" s="73" t="str">
        <f ca="1">IFERROR(__xludf.DUMMYFUNCTION("""COMPUTED_VALUE"""),"BOFASA")</f>
        <v>BOFASA</v>
      </c>
      <c r="F258" s="75">
        <f ca="1">IFERROR(__xludf.DUMMYFUNCTION("""COMPUTED_VALUE"""),45956)</f>
        <v>45956</v>
      </c>
      <c r="G258" s="74">
        <f ca="1">IFERROR(__xludf.DUMMYFUNCTION("""COMPUTED_VALUE"""),159.6)</f>
        <v>159.6</v>
      </c>
      <c r="H258" s="74">
        <f ca="1">IFERROR(__xludf.DUMMYFUNCTION("""COMPUTED_VALUE"""),223.44)</f>
        <v>223.44</v>
      </c>
      <c r="I258" s="74">
        <f ca="1">IFERROR(__xludf.DUMMYFUNCTION("""COMPUTED_VALUE"""),265)</f>
        <v>265</v>
      </c>
    </row>
    <row r="259" spans="2:9" ht="27" customHeight="1">
      <c r="B259" s="73" t="str">
        <f ca="1">IFERROR(__xludf.DUMMYFUNCTION("""COMPUTED_VALUE"""),"UROXACINA/NORFLOXACINA")</f>
        <v>UROXACINA/NORFLOXACINA</v>
      </c>
      <c r="C259" s="73" t="str">
        <f ca="1">IFERROR(__xludf.DUMMYFUNCTION("""COMPUTED_VALUE"""),"CAJA 10 TABLETAS")</f>
        <v>CAJA 10 TABLETAS</v>
      </c>
      <c r="D259" s="73" t="str">
        <f ca="1">IFERROR(__xludf.DUMMYFUNCTION("""COMPUTED_VALUE"""),"MICTASOL tratamiento de infecciones agudas, crónicas y recurrentes del aparato urinario")</f>
        <v>MICTASOL tratamiento de infecciones agudas, crónicas y recurrentes del aparato urinario</v>
      </c>
      <c r="E259" s="73" t="str">
        <f ca="1">IFERROR(__xludf.DUMMYFUNCTION("""COMPUTED_VALUE"""),"BRULAB")</f>
        <v>BRULAB</v>
      </c>
      <c r="F259" s="75">
        <f ca="1">IFERROR(__xludf.DUMMYFUNCTION("""COMPUTED_VALUE"""),45685)</f>
        <v>45685</v>
      </c>
      <c r="G259" s="74">
        <f ca="1">IFERROR(__xludf.DUMMYFUNCTION("""COMPUTED_VALUE"""),238.89)</f>
        <v>238.89</v>
      </c>
      <c r="H259" s="74">
        <f ca="1">IFERROR(__xludf.DUMMYFUNCTION("""COMPUTED_VALUE"""),334.445999999999)</f>
        <v>334.445999999999</v>
      </c>
      <c r="I259" s="74">
        <f ca="1">IFERROR(__xludf.DUMMYFUNCTION("""COMPUTED_VALUE"""),350)</f>
        <v>350</v>
      </c>
    </row>
    <row r="260" spans="2:9" ht="27" customHeight="1">
      <c r="B260" s="73" t="str">
        <f ca="1">IFERROR(__xludf.DUMMYFUNCTION("""COMPUTED_VALUE"""),"VANCOMICINA")</f>
        <v>VANCOMICINA</v>
      </c>
      <c r="C260" s="73" t="str">
        <f ca="1">IFERROR(__xludf.DUMMYFUNCTION("""COMPUTED_VALUE"""),"POLVO PARA SOLUCIÓN INYEC.")</f>
        <v>POLVO PARA SOLUCIÓN INYEC.</v>
      </c>
      <c r="D260" s="73" t="str">
        <f ca="1">IFERROR(__xludf.DUMMYFUNCTION("""COMPUTED_VALUE"""),"VANCOMICINA")</f>
        <v>VANCOMICINA</v>
      </c>
      <c r="E260" s="73" t="str">
        <f ca="1">IFERROR(__xludf.DUMMYFUNCTION("""COMPUTED_VALUE"""),"VITALIS")</f>
        <v>VITALIS</v>
      </c>
      <c r="F260" s="75">
        <f ca="1">IFERROR(__xludf.DUMMYFUNCTION("""COMPUTED_VALUE"""),45774)</f>
        <v>45774</v>
      </c>
      <c r="G260" s="74">
        <f ca="1">IFERROR(__xludf.DUMMYFUNCTION("""COMPUTED_VALUE"""),15)</f>
        <v>15</v>
      </c>
      <c r="H260" s="74">
        <f ca="1">IFERROR(__xludf.DUMMYFUNCTION("""COMPUTED_VALUE"""),21)</f>
        <v>21</v>
      </c>
      <c r="I260" s="74">
        <f ca="1">IFERROR(__xludf.DUMMYFUNCTION("""COMPUTED_VALUE"""),30)</f>
        <v>30</v>
      </c>
    </row>
    <row r="261" spans="2:9" ht="27" customHeight="1">
      <c r="B261" s="73" t="str">
        <f ca="1">IFERROR(__xludf.DUMMYFUNCTION("""COMPUTED_VALUE"""),"VIDARTIL")</f>
        <v>VIDARTIL</v>
      </c>
      <c r="C261" s="73" t="str">
        <f ca="1">IFERROR(__xludf.DUMMYFUNCTION("""COMPUTED_VALUE"""),"CAJA 30 TAB.")</f>
        <v>CAJA 30 TAB.</v>
      </c>
      <c r="D261" s="73" t="str">
        <f ca="1">IFERROR(__xludf.DUMMYFUNCTION("""COMPUTED_VALUE"""),"VIDAGLIPTINA 50MG.")</f>
        <v>VIDAGLIPTINA 50MG.</v>
      </c>
      <c r="E261" s="73" t="str">
        <f ca="1">IFERROR(__xludf.DUMMYFUNCTION("""COMPUTED_VALUE"""),"UNINOVA")</f>
        <v>UNINOVA</v>
      </c>
      <c r="F261" s="75">
        <f ca="1">IFERROR(__xludf.DUMMYFUNCTION("""COMPUTED_VALUE"""),45895)</f>
        <v>45895</v>
      </c>
      <c r="G261" s="74">
        <f ca="1">IFERROR(__xludf.DUMMYFUNCTION("""COMPUTED_VALUE"""),180.57)</f>
        <v>180.57</v>
      </c>
      <c r="H261" s="74">
        <f ca="1">IFERROR(__xludf.DUMMYFUNCTION("""COMPUTED_VALUE"""),252.798)</f>
        <v>252.798</v>
      </c>
      <c r="I261" s="74">
        <f ca="1">IFERROR(__xludf.DUMMYFUNCTION("""COMPUTED_VALUE"""),255)</f>
        <v>255</v>
      </c>
    </row>
    <row r="262" spans="2:9" ht="27" customHeight="1">
      <c r="B262" s="73" t="str">
        <f ca="1">IFERROR(__xludf.DUMMYFUNCTION("""COMPUTED_VALUE"""),"VINTAX")</f>
        <v>VINTAX</v>
      </c>
      <c r="C262" s="73" t="str">
        <f ca="1">IFERROR(__xludf.DUMMYFUNCTION("""COMPUTED_VALUE"""),"CAJA 2 TABLETAS")</f>
        <v>CAJA 2 TABLETAS</v>
      </c>
      <c r="D262" s="73" t="str">
        <f ca="1">IFERROR(__xludf.DUMMYFUNCTION("""COMPUTED_VALUE"""),"IVERMECTINA 6MG.")</f>
        <v>IVERMECTINA 6MG.</v>
      </c>
      <c r="E262" s="73" t="str">
        <f ca="1">IFERROR(__xludf.DUMMYFUNCTION("""COMPUTED_VALUE"""),"INFASA")</f>
        <v>INFASA</v>
      </c>
      <c r="F262" s="75">
        <f ca="1">IFERROR(__xludf.DUMMYFUNCTION("""COMPUTED_VALUE"""),45987)</f>
        <v>45987</v>
      </c>
      <c r="G262" s="74">
        <f ca="1">IFERROR(__xludf.DUMMYFUNCTION("""COMPUTED_VALUE"""),20)</f>
        <v>20</v>
      </c>
      <c r="H262" s="74">
        <f ca="1">IFERROR(__xludf.DUMMYFUNCTION("""COMPUTED_VALUE"""),28)</f>
        <v>28</v>
      </c>
      <c r="I262" s="74">
        <f ca="1">IFERROR(__xludf.DUMMYFUNCTION("""COMPUTED_VALUE"""),30)</f>
        <v>30</v>
      </c>
    </row>
    <row r="263" spans="2:9" ht="27" customHeight="1">
      <c r="B263" s="73" t="str">
        <f ca="1">IFERROR(__xludf.DUMMYFUNCTION("""COMPUTED_VALUE"""),"VIPAXEN")</f>
        <v>VIPAXEN</v>
      </c>
      <c r="C263" s="73" t="str">
        <f ca="1">IFERROR(__xludf.DUMMYFUNCTION("""COMPUTED_VALUE"""),"CAJA 20 TABLETAS")</f>
        <v>CAJA 20 TABLETAS</v>
      </c>
      <c r="D263" s="73" t="str">
        <f ca="1">IFERROR(__xludf.DUMMYFUNCTION("""COMPUTED_VALUE"""),"IBUPROFENO 300MG + METOCARBAMOL 250MG")</f>
        <v>IBUPROFENO 300MG + METOCARBAMOL 250MG</v>
      </c>
      <c r="E263" s="73" t="str">
        <f ca="1">IFERROR(__xludf.DUMMYFUNCTION("""COMPUTED_VALUE"""),"VIPARSA")</f>
        <v>VIPARSA</v>
      </c>
      <c r="F263" s="75">
        <f ca="1">IFERROR(__xludf.DUMMYFUNCTION("""COMPUTED_VALUE"""),45896)</f>
        <v>45896</v>
      </c>
      <c r="G263" s="74">
        <f ca="1">IFERROR(__xludf.DUMMYFUNCTION("""COMPUTED_VALUE"""),62.31)</f>
        <v>62.31</v>
      </c>
      <c r="H263" s="74">
        <f ca="1">IFERROR(__xludf.DUMMYFUNCTION("""COMPUTED_VALUE"""),87.234)</f>
        <v>87.233999999999995</v>
      </c>
      <c r="I263" s="74">
        <f ca="1">IFERROR(__xludf.DUMMYFUNCTION("""COMPUTED_VALUE"""),90)</f>
        <v>90</v>
      </c>
    </row>
    <row r="264" spans="2:9" ht="27" customHeight="1">
      <c r="B264" s="73" t="str">
        <f ca="1">IFERROR(__xludf.DUMMYFUNCTION("""COMPUTED_VALUE"""),"VIRULEV")</f>
        <v>VIRULEV</v>
      </c>
      <c r="C264" s="73" t="str">
        <f ca="1">IFERROR(__xludf.DUMMYFUNCTION("""COMPUTED_VALUE"""),"CREMA 5G")</f>
        <v>CREMA 5G</v>
      </c>
      <c r="D264" s="73" t="str">
        <f ca="1">IFERROR(__xludf.DUMMYFUNCTION("""COMPUTED_VALUE"""),"ACICLOVIR 5%")</f>
        <v>ACICLOVIR 5%</v>
      </c>
      <c r="E264" s="73" t="str">
        <f ca="1">IFERROR(__xludf.DUMMYFUNCTION("""COMPUTED_VALUE"""),"LEVEN")</f>
        <v>LEVEN</v>
      </c>
      <c r="F264" s="75">
        <f ca="1">IFERROR(__xludf.DUMMYFUNCTION("""COMPUTED_VALUE"""),45956)</f>
        <v>45956</v>
      </c>
      <c r="G264" s="74">
        <f ca="1">IFERROR(__xludf.DUMMYFUNCTION("""COMPUTED_VALUE"""),39.56)</f>
        <v>39.56</v>
      </c>
      <c r="H264" s="74">
        <f ca="1">IFERROR(__xludf.DUMMYFUNCTION("""COMPUTED_VALUE"""),55.384)</f>
        <v>55.384</v>
      </c>
      <c r="I264" s="74">
        <f ca="1">IFERROR(__xludf.DUMMYFUNCTION("""COMPUTED_VALUE"""),60)</f>
        <v>60</v>
      </c>
    </row>
    <row r="265" spans="2:9" ht="27" customHeight="1">
      <c r="B265" s="73" t="str">
        <f ca="1">IFERROR(__xludf.DUMMYFUNCTION("""COMPUTED_VALUE"""),"VIRULEVV400")</f>
        <v>VIRULEVV400</v>
      </c>
      <c r="C265" s="73" t="str">
        <f ca="1">IFERROR(__xludf.DUMMYFUNCTION("""COMPUTED_VALUE"""),"CAJA 20 TABLETAS")</f>
        <v>CAJA 20 TABLETAS</v>
      </c>
      <c r="D265" s="73" t="str">
        <f ca="1">IFERROR(__xludf.DUMMYFUNCTION("""COMPUTED_VALUE"""),"ACICLOVIR 400MG")</f>
        <v>ACICLOVIR 400MG</v>
      </c>
      <c r="E265" s="73" t="str">
        <f ca="1">IFERROR(__xludf.DUMMYFUNCTION("""COMPUTED_VALUE"""),"LEVEN")</f>
        <v>LEVEN</v>
      </c>
      <c r="F265" s="75">
        <f ca="1">IFERROR(__xludf.DUMMYFUNCTION("""COMPUTED_VALUE"""),45834)</f>
        <v>45834</v>
      </c>
      <c r="G265" s="74">
        <f ca="1">IFERROR(__xludf.DUMMYFUNCTION("""COMPUTED_VALUE"""),74.53)</f>
        <v>74.53</v>
      </c>
      <c r="H265" s="74">
        <f ca="1">IFERROR(__xludf.DUMMYFUNCTION("""COMPUTED_VALUE"""),104.342)</f>
        <v>104.342</v>
      </c>
      <c r="I265" s="74">
        <f ca="1">IFERROR(__xludf.DUMMYFUNCTION("""COMPUTED_VALUE"""),105)</f>
        <v>105</v>
      </c>
    </row>
    <row r="266" spans="2:9" ht="27" customHeight="1">
      <c r="B266" s="73" t="str">
        <f ca="1">IFERROR(__xludf.DUMMYFUNCTION("""COMPUTED_VALUE"""),"VITABROX")</f>
        <v>VITABROX</v>
      </c>
      <c r="C266" s="73" t="str">
        <f ca="1">IFERROR(__xludf.DUMMYFUNCTION("""COMPUTED_VALUE"""),"FRASCO 240 ML")</f>
        <v>FRASCO 240 ML</v>
      </c>
      <c r="D266" s="73" t="str">
        <f ca="1">IFERROR(__xludf.DUMMYFUNCTION("""COMPUTED_VALUE"""),"SUPLEMENTO NUTRICIONAL")</f>
        <v>SUPLEMENTO NUTRICIONAL</v>
      </c>
      <c r="E266" s="73" t="str">
        <f ca="1">IFERROR(__xludf.DUMMYFUNCTION("""COMPUTED_VALUE"""),"BROPHARMA")</f>
        <v>BROPHARMA</v>
      </c>
      <c r="F266" s="75">
        <f ca="1">IFERROR(__xludf.DUMMYFUNCTION("""COMPUTED_VALUE"""),45834)</f>
        <v>45834</v>
      </c>
      <c r="G266" s="74">
        <f ca="1">IFERROR(__xludf.DUMMYFUNCTION("""COMPUTED_VALUE"""),38)</f>
        <v>38</v>
      </c>
      <c r="H266" s="74">
        <f ca="1">IFERROR(__xludf.DUMMYFUNCTION("""COMPUTED_VALUE"""),53.2)</f>
        <v>53.2</v>
      </c>
      <c r="I266" s="74">
        <f ca="1">IFERROR(__xludf.DUMMYFUNCTION("""COMPUTED_VALUE"""),55)</f>
        <v>55</v>
      </c>
    </row>
    <row r="267" spans="2:9" ht="27" customHeight="1">
      <c r="B267" s="73" t="str">
        <f ca="1">IFERROR(__xludf.DUMMYFUNCTION("""COMPUTED_VALUE"""),"WINVIT")</f>
        <v>WINVIT</v>
      </c>
      <c r="C267" s="73" t="str">
        <f ca="1">IFERROR(__xludf.DUMMYFUNCTION("""COMPUTED_VALUE"""),"FRASCO 240 ML")</f>
        <v>FRASCO 240 ML</v>
      </c>
      <c r="D267" s="73" t="str">
        <f ca="1">IFERROR(__xludf.DUMMYFUNCTION("""COMPUTED_VALUE"""),"MULTIVITAMINICO")</f>
        <v>MULTIVITAMINICO</v>
      </c>
      <c r="E267" s="73" t="str">
        <f ca="1">IFERROR(__xludf.DUMMYFUNCTION("""COMPUTED_VALUE"""),"WINZZER")</f>
        <v>WINZZER</v>
      </c>
      <c r="F267" s="75">
        <f ca="1">IFERROR(__xludf.DUMMYFUNCTION("""COMPUTED_VALUE"""),45743)</f>
        <v>45743</v>
      </c>
      <c r="G267" s="74">
        <f ca="1">IFERROR(__xludf.DUMMYFUNCTION("""COMPUTED_VALUE"""),63.96)</f>
        <v>63.96</v>
      </c>
      <c r="H267" s="74">
        <f ca="1">IFERROR(__xludf.DUMMYFUNCTION("""COMPUTED_VALUE"""),89.544)</f>
        <v>89.543999999999997</v>
      </c>
      <c r="I267" s="74">
        <f ca="1">IFERROR(__xludf.DUMMYFUNCTION("""COMPUTED_VALUE"""),90)</f>
        <v>90</v>
      </c>
    </row>
    <row r="268" spans="2:9" ht="27" customHeight="1">
      <c r="B268" s="73" t="str">
        <f ca="1">IFERROR(__xludf.DUMMYFUNCTION("""COMPUTED_VALUE"""),"ZETAWIN")</f>
        <v>ZETAWIN</v>
      </c>
      <c r="C268" s="73" t="str">
        <f ca="1">IFERROR(__xludf.DUMMYFUNCTION("""COMPUTED_VALUE"""),"BLISTER 10 TABLETAS")</f>
        <v>BLISTER 10 TABLETAS</v>
      </c>
      <c r="D268" s="73" t="str">
        <f ca="1">IFERROR(__xludf.DUMMYFUNCTION("""COMPUTED_VALUE"""),"PARACETAMOL 500MG.")</f>
        <v>PARACETAMOL 500MG.</v>
      </c>
      <c r="E268" s="73" t="str">
        <f ca="1">IFERROR(__xludf.DUMMYFUNCTION("""COMPUTED_VALUE"""),"WINZZER")</f>
        <v>WINZZER</v>
      </c>
      <c r="F268" s="75">
        <f ca="1">IFERROR(__xludf.DUMMYFUNCTION("""COMPUTED_VALUE"""),45926)</f>
        <v>45926</v>
      </c>
      <c r="G268" s="74">
        <f ca="1">IFERROR(__xludf.DUMMYFUNCTION("""COMPUTED_VALUE"""),6)</f>
        <v>6</v>
      </c>
      <c r="H268" s="74">
        <f ca="1">IFERROR(__xludf.DUMMYFUNCTION("""COMPUTED_VALUE"""),8.4)</f>
        <v>8.4</v>
      </c>
      <c r="I268" s="74">
        <f ca="1">IFERROR(__xludf.DUMMYFUNCTION("""COMPUTED_VALUE"""),10)</f>
        <v>10</v>
      </c>
    </row>
    <row r="269" spans="2:9" ht="27" customHeight="1">
      <c r="B269" s="73" t="str">
        <f ca="1">IFERROR(__xludf.DUMMYFUNCTION("""COMPUTED_VALUE"""),"ZETAWIN FORTE")</f>
        <v>ZETAWIN FORTE</v>
      </c>
      <c r="C269" s="73" t="str">
        <f ca="1">IFERROR(__xludf.DUMMYFUNCTION("""COMPUTED_VALUE"""),"CAJA 20 TABLETAS")</f>
        <v>CAJA 20 TABLETAS</v>
      </c>
      <c r="D269" s="73" t="str">
        <f ca="1">IFERROR(__xludf.DUMMYFUNCTION("""COMPUTED_VALUE"""),"PARACETAMOL 1G")</f>
        <v>PARACETAMOL 1G</v>
      </c>
      <c r="E269" s="73" t="str">
        <f ca="1">IFERROR(__xludf.DUMMYFUNCTION("""COMPUTED_VALUE"""),"WINZZER")</f>
        <v>WINZZER</v>
      </c>
      <c r="F269" s="75">
        <f ca="1">IFERROR(__xludf.DUMMYFUNCTION("""COMPUTED_VALUE"""),45684)</f>
        <v>45684</v>
      </c>
      <c r="G269" s="74">
        <f ca="1">IFERROR(__xludf.DUMMYFUNCTION("""COMPUTED_VALUE"""),55.68)</f>
        <v>55.68</v>
      </c>
      <c r="H269" s="74">
        <f ca="1">IFERROR(__xludf.DUMMYFUNCTION("""COMPUTED_VALUE"""),77.952)</f>
        <v>77.951999999999998</v>
      </c>
      <c r="I269" s="74">
        <f ca="1">IFERROR(__xludf.DUMMYFUNCTION("""COMPUTED_VALUE"""),80)</f>
        <v>80</v>
      </c>
    </row>
    <row r="270" spans="2:9" ht="27" customHeight="1">
      <c r="B270" s="73" t="str">
        <f ca="1">IFERROR(__xludf.DUMMYFUNCTION("""COMPUTED_VALUE"""),"ZETAWIN PLUS")</f>
        <v>ZETAWIN PLUS</v>
      </c>
      <c r="C270" s="73" t="str">
        <f ca="1">IFERROR(__xludf.DUMMYFUNCTION("""COMPUTED_VALUE"""),"CAJA 20 TABLETAS")</f>
        <v>CAJA 20 TABLETAS</v>
      </c>
      <c r="D270" s="73" t="str">
        <f ca="1">IFERROR(__xludf.DUMMYFUNCTION("""COMPUTED_VALUE"""),"PARACETAMOL 325MG + TRAMADOR HCI 37.5MG")</f>
        <v>PARACETAMOL 325MG + TRAMADOR HCI 37.5MG</v>
      </c>
      <c r="E270" s="73" t="str">
        <f ca="1">IFERROR(__xludf.DUMMYFUNCTION("""COMPUTED_VALUE"""),"WINZZER")</f>
        <v>WINZZER</v>
      </c>
      <c r="F270" s="75">
        <f ca="1">IFERROR(__xludf.DUMMYFUNCTION("""COMPUTED_VALUE"""),45957)</f>
        <v>45957</v>
      </c>
      <c r="G270" s="74">
        <f ca="1">IFERROR(__xludf.DUMMYFUNCTION("""COMPUTED_VALUE"""),120)</f>
        <v>120</v>
      </c>
      <c r="H270" s="74">
        <f ca="1">IFERROR(__xludf.DUMMYFUNCTION("""COMPUTED_VALUE"""),168)</f>
        <v>168</v>
      </c>
      <c r="I270" s="74">
        <f ca="1">IFERROR(__xludf.DUMMYFUNCTION("""COMPUTED_VALUE"""),170)</f>
        <v>170</v>
      </c>
    </row>
    <row r="271" spans="2:9" ht="27" customHeight="1">
      <c r="B271" s="73" t="str">
        <f ca="1">IFERROR(__xludf.DUMMYFUNCTION("""COMPUTED_VALUE"""),"DESCARTABLE")</f>
        <v>DESCARTABLE</v>
      </c>
      <c r="C271" s="73" t="str">
        <f ca="1">IFERROR(__xludf.DUMMYFUNCTION("""COMPUTED_VALUE"""),"DESCARTABLE")</f>
        <v>DESCARTABLE</v>
      </c>
      <c r="D271" s="73" t="str">
        <f ca="1">IFERROR(__xludf.DUMMYFUNCTION("""COMPUTED_VALUE"""),"DESCARTABLE")</f>
        <v>DESCARTABLE</v>
      </c>
      <c r="E271" s="73" t="str">
        <f ca="1">IFERROR(__xludf.DUMMYFUNCTION("""COMPUTED_VALUE"""),"DESCARTABLE")</f>
        <v>DESCARTABLE</v>
      </c>
      <c r="F271" s="73" t="str">
        <f ca="1">IFERROR(__xludf.DUMMYFUNCTION("""COMPUTED_VALUE"""),"DESCARTABLE")</f>
        <v>DESCARTABLE</v>
      </c>
      <c r="G271" s="73" t="str">
        <f ca="1">IFERROR(__xludf.DUMMYFUNCTION("""COMPUTED_VALUE"""),"DESCARTABLE")</f>
        <v>DESCARTABLE</v>
      </c>
      <c r="H271" s="73" t="str">
        <f ca="1">IFERROR(__xludf.DUMMYFUNCTION("""COMPUTED_VALUE"""),"DESCARTABLE")</f>
        <v>DESCARTABLE</v>
      </c>
      <c r="I271" s="73" t="str">
        <f ca="1">IFERROR(__xludf.DUMMYFUNCTION("""COMPUTED_VALUE"""),"DESCARTABLE")</f>
        <v>DESCARTABLE</v>
      </c>
    </row>
    <row r="272" spans="2:9" ht="27" customHeight="1">
      <c r="B272" s="73" t="str">
        <f ca="1">IFERROR(__xludf.DUMMYFUNCTION("""COMPUTED_VALUE"""),"Agua Oxigenada Galòn")</f>
        <v>Agua Oxigenada Galòn</v>
      </c>
      <c r="C272" s="73" t="str">
        <f ca="1">IFERROR(__xludf.DUMMYFUNCTION("""COMPUTED_VALUE"""),"GALÓN")</f>
        <v>GALÓN</v>
      </c>
      <c r="D272" s="73"/>
      <c r="E272" s="73" t="str">
        <f ca="1">IFERROR(__xludf.DUMMYFUNCTION("""COMPUTED_VALUE"""),"H&amp;L")</f>
        <v>H&amp;L</v>
      </c>
      <c r="F272" s="75">
        <f ca="1">IFERROR(__xludf.DUMMYFUNCTION("""COMPUTED_VALUE"""),45715)</f>
        <v>45715</v>
      </c>
      <c r="G272" s="74">
        <f ca="1">IFERROR(__xludf.DUMMYFUNCTION("""COMPUTED_VALUE"""),22)</f>
        <v>22</v>
      </c>
      <c r="H272" s="74">
        <f ca="1">IFERROR(__xludf.DUMMYFUNCTION("""COMPUTED_VALUE"""),30.8)</f>
        <v>30.8</v>
      </c>
      <c r="I272" s="74">
        <f ca="1">IFERROR(__xludf.DUMMYFUNCTION("""COMPUTED_VALUE"""),35)</f>
        <v>35</v>
      </c>
    </row>
    <row r="273" spans="2:9" ht="27" customHeight="1">
      <c r="B273" s="73" t="str">
        <f ca="1">IFERROR(__xludf.DUMMYFUNCTION("""COMPUTED_VALUE"""),"Aguja No. 20")</f>
        <v>Aguja No. 20</v>
      </c>
      <c r="C273" s="73" t="str">
        <f ca="1">IFERROR(__xludf.DUMMYFUNCTION("""COMPUTED_VALUE"""),"CAJA 100U.")</f>
        <v>CAJA 100U.</v>
      </c>
      <c r="D273" s="73"/>
      <c r="E273" s="73" t="str">
        <f ca="1">IFERROR(__xludf.DUMMYFUNCTION("""COMPUTED_VALUE"""),"H&amp;L")</f>
        <v>H&amp;L</v>
      </c>
      <c r="F273" s="75">
        <f ca="1">IFERROR(__xludf.DUMMYFUNCTION("""COMPUTED_VALUE"""),45776)</f>
        <v>45776</v>
      </c>
      <c r="G273" s="74">
        <f ca="1">IFERROR(__xludf.DUMMYFUNCTION("""COMPUTED_VALUE"""),28)</f>
        <v>28</v>
      </c>
      <c r="H273" s="74">
        <f ca="1">IFERROR(__xludf.DUMMYFUNCTION("""COMPUTED_VALUE"""),39.2)</f>
        <v>39.200000000000003</v>
      </c>
      <c r="I273" s="74">
        <f ca="1">IFERROR(__xludf.DUMMYFUNCTION("""COMPUTED_VALUE"""),45)</f>
        <v>45</v>
      </c>
    </row>
    <row r="274" spans="2:9" ht="27" customHeight="1">
      <c r="B274" s="73" t="str">
        <f ca="1">IFERROR(__xludf.DUMMYFUNCTION("""COMPUTED_VALUE"""),"Aguja No. 22")</f>
        <v>Aguja No. 22</v>
      </c>
      <c r="C274" s="73" t="str">
        <f ca="1">IFERROR(__xludf.DUMMYFUNCTION("""COMPUTED_VALUE"""),"CAJA 100U.")</f>
        <v>CAJA 100U.</v>
      </c>
      <c r="D274" s="73"/>
      <c r="E274" s="73" t="str">
        <f ca="1">IFERROR(__xludf.DUMMYFUNCTION("""COMPUTED_VALUE"""),"H&amp;L")</f>
        <v>H&amp;L</v>
      </c>
      <c r="F274" s="75">
        <f ca="1">IFERROR(__xludf.DUMMYFUNCTION("""COMPUTED_VALUE"""),45776)</f>
        <v>45776</v>
      </c>
      <c r="G274" s="74">
        <f ca="1">IFERROR(__xludf.DUMMYFUNCTION("""COMPUTED_VALUE"""),27.5)</f>
        <v>27.5</v>
      </c>
      <c r="H274" s="74">
        <f ca="1">IFERROR(__xludf.DUMMYFUNCTION("""COMPUTED_VALUE"""),38.5)</f>
        <v>38.5</v>
      </c>
      <c r="I274" s="74">
        <f ca="1">IFERROR(__xludf.DUMMYFUNCTION("""COMPUTED_VALUE"""),45)</f>
        <v>45</v>
      </c>
    </row>
    <row r="275" spans="2:9" ht="27" customHeight="1">
      <c r="B275" s="73" t="str">
        <f ca="1">IFERROR(__xludf.DUMMYFUNCTION("""COMPUTED_VALUE"""),"Aguja No. 23")</f>
        <v>Aguja No. 23</v>
      </c>
      <c r="C275" s="73" t="str">
        <f ca="1">IFERROR(__xludf.DUMMYFUNCTION("""COMPUTED_VALUE"""),"CAJA 100U.")</f>
        <v>CAJA 100U.</v>
      </c>
      <c r="D275" s="73"/>
      <c r="E275" s="73" t="str">
        <f ca="1">IFERROR(__xludf.DUMMYFUNCTION("""COMPUTED_VALUE"""),"H&amp;L")</f>
        <v>H&amp;L</v>
      </c>
      <c r="F275" s="75">
        <f ca="1">IFERROR(__xludf.DUMMYFUNCTION("""COMPUTED_VALUE"""),45774)</f>
        <v>45774</v>
      </c>
      <c r="G275" s="74">
        <f ca="1">IFERROR(__xludf.DUMMYFUNCTION("""COMPUTED_VALUE"""),28)</f>
        <v>28</v>
      </c>
      <c r="H275" s="74">
        <f ca="1">IFERROR(__xludf.DUMMYFUNCTION("""COMPUTED_VALUE"""),39.2)</f>
        <v>39.200000000000003</v>
      </c>
      <c r="I275" s="74">
        <f ca="1">IFERROR(__xludf.DUMMYFUNCTION("""COMPUTED_VALUE"""),45)</f>
        <v>45</v>
      </c>
    </row>
    <row r="276" spans="2:9" ht="27" customHeight="1">
      <c r="B276" s="73" t="str">
        <f ca="1">IFERROR(__xludf.DUMMYFUNCTION("""COMPUTED_VALUE"""),"Aguja No. 24")</f>
        <v>Aguja No. 24</v>
      </c>
      <c r="C276" s="73" t="str">
        <f ca="1">IFERROR(__xludf.DUMMYFUNCTION("""COMPUTED_VALUE"""),"CAJA 100U.")</f>
        <v>CAJA 100U.</v>
      </c>
      <c r="D276" s="73"/>
      <c r="E276" s="73" t="str">
        <f ca="1">IFERROR(__xludf.DUMMYFUNCTION("""COMPUTED_VALUE"""),"H&amp;L")</f>
        <v>H&amp;L</v>
      </c>
      <c r="F276" s="75">
        <f ca="1">IFERROR(__xludf.DUMMYFUNCTION("""COMPUTED_VALUE"""),45774)</f>
        <v>45774</v>
      </c>
      <c r="G276" s="74">
        <f ca="1">IFERROR(__xludf.DUMMYFUNCTION("""COMPUTED_VALUE"""),53)</f>
        <v>53</v>
      </c>
      <c r="H276" s="74">
        <f ca="1">IFERROR(__xludf.DUMMYFUNCTION("""COMPUTED_VALUE"""),74.2)</f>
        <v>74.2</v>
      </c>
      <c r="I276" s="74">
        <f ca="1">IFERROR(__xludf.DUMMYFUNCTION("""COMPUTED_VALUE"""),80)</f>
        <v>80</v>
      </c>
    </row>
    <row r="277" spans="2:9" ht="27" customHeight="1">
      <c r="B277" s="73" t="str">
        <f ca="1">IFERROR(__xludf.DUMMYFUNCTION("""COMPUTED_VALUE"""),"Aguja No. 25")</f>
        <v>Aguja No. 25</v>
      </c>
      <c r="C277" s="73" t="str">
        <f ca="1">IFERROR(__xludf.DUMMYFUNCTION("""COMPUTED_VALUE"""),"CAJA 100U.")</f>
        <v>CAJA 100U.</v>
      </c>
      <c r="D277" s="73"/>
      <c r="E277" s="73" t="str">
        <f ca="1">IFERROR(__xludf.DUMMYFUNCTION("""COMPUTED_VALUE"""),"MEDICAL M&amp;M")</f>
        <v>MEDICAL M&amp;M</v>
      </c>
      <c r="F277" s="75">
        <f ca="1">IFERROR(__xludf.DUMMYFUNCTION("""COMPUTED_VALUE"""),45927)</f>
        <v>45927</v>
      </c>
      <c r="G277" s="74">
        <f ca="1">IFERROR(__xludf.DUMMYFUNCTION("""COMPUTED_VALUE"""),32)</f>
        <v>32</v>
      </c>
      <c r="H277" s="74">
        <f ca="1">IFERROR(__xludf.DUMMYFUNCTION("""COMPUTED_VALUE"""),44.8)</f>
        <v>44.8</v>
      </c>
      <c r="I277" s="74">
        <f ca="1">IFERROR(__xludf.DUMMYFUNCTION("""COMPUTED_VALUE"""),45)</f>
        <v>45</v>
      </c>
    </row>
    <row r="278" spans="2:9" ht="27" customHeight="1">
      <c r="B278" s="73" t="str">
        <f ca="1">IFERROR(__xludf.DUMMYFUNCTION("""COMPUTED_VALUE"""),"Alcohol Galón")</f>
        <v>Alcohol Galón</v>
      </c>
      <c r="C278" s="73" t="str">
        <f ca="1">IFERROR(__xludf.DUMMYFUNCTION("""COMPUTED_VALUE"""),"Galón")</f>
        <v>Galón</v>
      </c>
      <c r="D278" s="73"/>
      <c r="E278" s="73" t="str">
        <f ca="1">IFERROR(__xludf.DUMMYFUNCTION("""COMPUTED_VALUE"""),"H&amp;L")</f>
        <v>H&amp;L</v>
      </c>
      <c r="F278" s="75">
        <f ca="1">IFERROR(__xludf.DUMMYFUNCTION("""COMPUTED_VALUE"""),45896)</f>
        <v>45896</v>
      </c>
      <c r="G278" s="74">
        <f ca="1">IFERROR(__xludf.DUMMYFUNCTION("""COMPUTED_VALUE"""),72)</f>
        <v>72</v>
      </c>
      <c r="H278" s="74">
        <f ca="1">IFERROR(__xludf.DUMMYFUNCTION("""COMPUTED_VALUE"""),100.8)</f>
        <v>100.8</v>
      </c>
      <c r="I278" s="74">
        <f ca="1">IFERROR(__xludf.DUMMYFUNCTION("""COMPUTED_VALUE"""),105)</f>
        <v>105</v>
      </c>
    </row>
    <row r="279" spans="2:9" ht="27" customHeight="1">
      <c r="B279" s="73" t="str">
        <f ca="1">IFERROR(__xludf.DUMMYFUNCTION("""COMPUTED_VALUE"""),"Algodón Rollo")</f>
        <v>Algodón Rollo</v>
      </c>
      <c r="C279" s="73" t="str">
        <f ca="1">IFERROR(__xludf.DUMMYFUNCTION("""COMPUTED_VALUE"""),"LIBRA")</f>
        <v>LIBRA</v>
      </c>
      <c r="D279" s="73"/>
      <c r="E279" s="73" t="str">
        <f ca="1">IFERROR(__xludf.DUMMYFUNCTION("""COMPUTED_VALUE"""),"H&amp;L")</f>
        <v>H&amp;L</v>
      </c>
      <c r="F279" s="75">
        <f ca="1">IFERROR(__xludf.DUMMYFUNCTION("""COMPUTED_VALUE"""),45990)</f>
        <v>45990</v>
      </c>
      <c r="G279" s="74">
        <f ca="1">IFERROR(__xludf.DUMMYFUNCTION("""COMPUTED_VALUE"""),41)</f>
        <v>41</v>
      </c>
      <c r="H279" s="74">
        <f ca="1">IFERROR(__xludf.DUMMYFUNCTION("""COMPUTED_VALUE"""),57.4)</f>
        <v>57.4</v>
      </c>
      <c r="I279" s="74">
        <f ca="1">IFERROR(__xludf.DUMMYFUNCTION("""COMPUTED_VALUE"""),60)</f>
        <v>60</v>
      </c>
    </row>
    <row r="280" spans="2:9" ht="27" customHeight="1">
      <c r="B280" s="73" t="str">
        <f ca="1">IFERROR(__xludf.DUMMYFUNCTION("""COMPUTED_VALUE"""),"Angiocat 16")</f>
        <v>Angiocat 16</v>
      </c>
      <c r="C280" s="73" t="str">
        <f ca="1">IFERROR(__xludf.DUMMYFUNCTION("""COMPUTED_VALUE"""),"UNIDAD")</f>
        <v>UNIDAD</v>
      </c>
      <c r="D280" s="73"/>
      <c r="E280" s="73" t="str">
        <f ca="1">IFERROR(__xludf.DUMMYFUNCTION("""COMPUTED_VALUE"""),"H&amp;L")</f>
        <v>H&amp;L</v>
      </c>
      <c r="F280" s="75">
        <f ca="1">IFERROR(__xludf.DUMMYFUNCTION("""COMPUTED_VALUE"""),45866)</f>
        <v>45866</v>
      </c>
      <c r="G280" s="74">
        <f ca="1">IFERROR(__xludf.DUMMYFUNCTION("""COMPUTED_VALUE"""),6)</f>
        <v>6</v>
      </c>
      <c r="H280" s="74">
        <f ca="1">IFERROR(__xludf.DUMMYFUNCTION("""COMPUTED_VALUE"""),8.4)</f>
        <v>8.4</v>
      </c>
      <c r="I280" s="74">
        <f ca="1">IFERROR(__xludf.DUMMYFUNCTION("""COMPUTED_VALUE"""),10)</f>
        <v>10</v>
      </c>
    </row>
    <row r="281" spans="2:9" ht="27" customHeight="1">
      <c r="B281" s="73" t="str">
        <f ca="1">IFERROR(__xludf.DUMMYFUNCTION("""COMPUTED_VALUE"""),"Angiocat No. 18")</f>
        <v>Angiocat No. 18</v>
      </c>
      <c r="C281" s="73" t="str">
        <f ca="1">IFERROR(__xludf.DUMMYFUNCTION("""COMPUTED_VALUE"""),"UNIDAD")</f>
        <v>UNIDAD</v>
      </c>
      <c r="D281" s="73"/>
      <c r="E281" s="73" t="str">
        <f ca="1">IFERROR(__xludf.DUMMYFUNCTION("""COMPUTED_VALUE"""),"H&amp;L")</f>
        <v>H&amp;L</v>
      </c>
      <c r="F281" s="75">
        <f ca="1">IFERROR(__xludf.DUMMYFUNCTION("""COMPUTED_VALUE"""),45866)</f>
        <v>45866</v>
      </c>
      <c r="G281" s="74">
        <f ca="1">IFERROR(__xludf.DUMMYFUNCTION("""COMPUTED_VALUE"""),5)</f>
        <v>5</v>
      </c>
      <c r="H281" s="74">
        <f ca="1">IFERROR(__xludf.DUMMYFUNCTION("""COMPUTED_VALUE"""),7)</f>
        <v>7</v>
      </c>
      <c r="I281" s="74">
        <f ca="1">IFERROR(__xludf.DUMMYFUNCTION("""COMPUTED_VALUE"""),10)</f>
        <v>10</v>
      </c>
    </row>
    <row r="282" spans="2:9" ht="27" customHeight="1">
      <c r="B282" s="73" t="str">
        <f ca="1">IFERROR(__xludf.DUMMYFUNCTION("""COMPUTED_VALUE"""),"Angiocat No. 20")</f>
        <v>Angiocat No. 20</v>
      </c>
      <c r="C282" s="73" t="str">
        <f ca="1">IFERROR(__xludf.DUMMYFUNCTION("""COMPUTED_VALUE"""),"UNIDAD")</f>
        <v>UNIDAD</v>
      </c>
      <c r="D282" s="73"/>
      <c r="E282" s="73" t="str">
        <f ca="1">IFERROR(__xludf.DUMMYFUNCTION("""COMPUTED_VALUE"""),"H&amp;L")</f>
        <v>H&amp;L</v>
      </c>
      <c r="F282" s="75">
        <f ca="1">IFERROR(__xludf.DUMMYFUNCTION("""COMPUTED_VALUE"""),45836)</f>
        <v>45836</v>
      </c>
      <c r="G282" s="74">
        <f ca="1">IFERROR(__xludf.DUMMYFUNCTION("""COMPUTED_VALUE"""),5)</f>
        <v>5</v>
      </c>
      <c r="H282" s="74">
        <f ca="1">IFERROR(__xludf.DUMMYFUNCTION("""COMPUTED_VALUE"""),7)</f>
        <v>7</v>
      </c>
      <c r="I282" s="74">
        <f ca="1">IFERROR(__xludf.DUMMYFUNCTION("""COMPUTED_VALUE"""),10)</f>
        <v>10</v>
      </c>
    </row>
    <row r="283" spans="2:9" ht="27" customHeight="1">
      <c r="B283" s="73" t="str">
        <f ca="1">IFERROR(__xludf.DUMMYFUNCTION("""COMPUTED_VALUE"""),"Angiocat No.22")</f>
        <v>Angiocat No.22</v>
      </c>
      <c r="C283" s="73" t="str">
        <f ca="1">IFERROR(__xludf.DUMMYFUNCTION("""COMPUTED_VALUE"""),"UNIDAD")</f>
        <v>UNIDAD</v>
      </c>
      <c r="D283" s="73"/>
      <c r="E283" s="73" t="str">
        <f ca="1">IFERROR(__xludf.DUMMYFUNCTION("""COMPUTED_VALUE"""),"H&amp;L")</f>
        <v>H&amp;L</v>
      </c>
      <c r="F283" s="75">
        <f ca="1">IFERROR(__xludf.DUMMYFUNCTION("""COMPUTED_VALUE"""),45806)</f>
        <v>45806</v>
      </c>
      <c r="G283" s="74">
        <f ca="1">IFERROR(__xludf.DUMMYFUNCTION("""COMPUTED_VALUE"""),5)</f>
        <v>5</v>
      </c>
      <c r="H283" s="74">
        <f ca="1">IFERROR(__xludf.DUMMYFUNCTION("""COMPUTED_VALUE"""),7)</f>
        <v>7</v>
      </c>
      <c r="I283" s="74">
        <f ca="1">IFERROR(__xludf.DUMMYFUNCTION("""COMPUTED_VALUE"""),10)</f>
        <v>10</v>
      </c>
    </row>
    <row r="284" spans="2:9" ht="27" customHeight="1">
      <c r="B284" s="73" t="str">
        <f ca="1">IFERROR(__xludf.DUMMYFUNCTION("""COMPUTED_VALUE"""),"Angiocat No. 24")</f>
        <v>Angiocat No. 24</v>
      </c>
      <c r="C284" s="73" t="str">
        <f ca="1">IFERROR(__xludf.DUMMYFUNCTION("""COMPUTED_VALUE"""),"UNIDAD")</f>
        <v>UNIDAD</v>
      </c>
      <c r="D284" s="73"/>
      <c r="E284" s="73" t="str">
        <f ca="1">IFERROR(__xludf.DUMMYFUNCTION("""COMPUTED_VALUE"""),"H&amp;L")</f>
        <v>H&amp;L</v>
      </c>
      <c r="F284" s="75">
        <f ca="1">IFERROR(__xludf.DUMMYFUNCTION("""COMPUTED_VALUE"""),45837)</f>
        <v>45837</v>
      </c>
      <c r="G284" s="74">
        <f ca="1">IFERROR(__xludf.DUMMYFUNCTION("""COMPUTED_VALUE"""),5)</f>
        <v>5</v>
      </c>
      <c r="H284" s="74">
        <f ca="1">IFERROR(__xludf.DUMMYFUNCTION("""COMPUTED_VALUE"""),7)</f>
        <v>7</v>
      </c>
      <c r="I284" s="74">
        <f ca="1">IFERROR(__xludf.DUMMYFUNCTION("""COMPUTED_VALUE"""),10)</f>
        <v>10</v>
      </c>
    </row>
    <row r="285" spans="2:9" ht="27" customHeight="1">
      <c r="B285" s="73" t="str">
        <f ca="1">IFERROR(__xludf.DUMMYFUNCTION("""COMPUTED_VALUE"""),"Aplicadore de madera")</f>
        <v>Aplicadore de madera</v>
      </c>
      <c r="C285" s="73" t="str">
        <f ca="1">IFERROR(__xludf.DUMMYFUNCTION("""COMPUTED_VALUE"""),"BOLSA")</f>
        <v>BOLSA</v>
      </c>
      <c r="D285" s="73"/>
      <c r="E285" s="73" t="str">
        <f ca="1">IFERROR(__xludf.DUMMYFUNCTION("""COMPUTED_VALUE"""),"H&amp;L")</f>
        <v>H&amp;L</v>
      </c>
      <c r="F285" s="75">
        <f ca="1">IFERROR(__xludf.DUMMYFUNCTION("""COMPUTED_VALUE"""),45928)</f>
        <v>45928</v>
      </c>
      <c r="G285" s="74">
        <f ca="1">IFERROR(__xludf.DUMMYFUNCTION("""COMPUTED_VALUE"""),21.6)</f>
        <v>21.6</v>
      </c>
      <c r="H285" s="74">
        <f ca="1">IFERROR(__xludf.DUMMYFUNCTION("""COMPUTED_VALUE"""),30.24)</f>
        <v>30.24</v>
      </c>
      <c r="I285" s="74">
        <f ca="1">IFERROR(__xludf.DUMMYFUNCTION("""COMPUTED_VALUE"""),35)</f>
        <v>35</v>
      </c>
    </row>
    <row r="286" spans="2:9" ht="27" customHeight="1">
      <c r="B286" s="73" t="str">
        <f ca="1">IFERROR(__xludf.DUMMYFUNCTION("""COMPUTED_VALUE"""),"Baja Lenguas")</f>
        <v>Baja Lenguas</v>
      </c>
      <c r="C286" s="73" t="str">
        <f ca="1">IFERROR(__xludf.DUMMYFUNCTION("""COMPUTED_VALUE"""),"CAJA 100U.")</f>
        <v>CAJA 100U.</v>
      </c>
      <c r="D286" s="73"/>
      <c r="E286" s="73" t="str">
        <f ca="1">IFERROR(__xludf.DUMMYFUNCTION("""COMPUTED_VALUE"""),"H&amp;L")</f>
        <v>H&amp;L</v>
      </c>
      <c r="F286" s="75">
        <f ca="1">IFERROR(__xludf.DUMMYFUNCTION("""COMPUTED_VALUE"""),45958)</f>
        <v>45958</v>
      </c>
      <c r="G286" s="74">
        <f ca="1">IFERROR(__xludf.DUMMYFUNCTION("""COMPUTED_VALUE"""),15)</f>
        <v>15</v>
      </c>
      <c r="H286" s="74">
        <f ca="1">IFERROR(__xludf.DUMMYFUNCTION("""COMPUTED_VALUE"""),21)</f>
        <v>21</v>
      </c>
      <c r="I286" s="74">
        <f ca="1">IFERROR(__xludf.DUMMYFUNCTION("""COMPUTED_VALUE"""),25)</f>
        <v>25</v>
      </c>
    </row>
    <row r="287" spans="2:9" ht="27" customHeight="1">
      <c r="B287" s="73" t="str">
        <f ca="1">IFERROR(__xludf.DUMMYFUNCTION("""COMPUTED_VALUE"""),"Bisturi No. 22")</f>
        <v>Bisturi No. 22</v>
      </c>
      <c r="C287" s="73" t="str">
        <f ca="1">IFERROR(__xludf.DUMMYFUNCTION("""COMPUTED_VALUE"""),"UNIDAD")</f>
        <v>UNIDAD</v>
      </c>
      <c r="D287" s="73"/>
      <c r="E287" s="73" t="str">
        <f ca="1">IFERROR(__xludf.DUMMYFUNCTION("""COMPUTED_VALUE"""),"H&amp;L")</f>
        <v>H&amp;L</v>
      </c>
      <c r="F287" s="75">
        <f ca="1">IFERROR(__xludf.DUMMYFUNCTION("""COMPUTED_VALUE"""),46017)</f>
        <v>46017</v>
      </c>
      <c r="G287" s="74">
        <f ca="1">IFERROR(__xludf.DUMMYFUNCTION("""COMPUTED_VALUE"""),1)</f>
        <v>1</v>
      </c>
      <c r="H287" s="74">
        <f ca="1">IFERROR(__xludf.DUMMYFUNCTION("""COMPUTED_VALUE"""),1.4)</f>
        <v>1.4</v>
      </c>
      <c r="I287" s="74">
        <f ca="1">IFERROR(__xludf.DUMMYFUNCTION("""COMPUTED_VALUE"""),5)</f>
        <v>5</v>
      </c>
    </row>
    <row r="288" spans="2:9" ht="27" customHeight="1">
      <c r="B288" s="73" t="str">
        <f ca="1">IFERROR(__xludf.DUMMYFUNCTION("""COMPUTED_VALUE"""),"Bolsa Rec. De orina")</f>
        <v>Bolsa Rec. De orina</v>
      </c>
      <c r="C288" s="73" t="str">
        <f ca="1">IFERROR(__xludf.DUMMYFUNCTION("""COMPUTED_VALUE"""),"UNIDAD")</f>
        <v>UNIDAD</v>
      </c>
      <c r="D288" s="73"/>
      <c r="E288" s="73" t="str">
        <f ca="1">IFERROR(__xludf.DUMMYFUNCTION("""COMPUTED_VALUE"""),"H&amp;L")</f>
        <v>H&amp;L</v>
      </c>
      <c r="F288" s="75">
        <f ca="1">IFERROR(__xludf.DUMMYFUNCTION("""COMPUTED_VALUE"""),45958)</f>
        <v>45958</v>
      </c>
      <c r="G288" s="74">
        <f ca="1">IFERROR(__xludf.DUMMYFUNCTION("""COMPUTED_VALUE"""),29)</f>
        <v>29</v>
      </c>
      <c r="H288" s="74">
        <f ca="1">IFERROR(__xludf.DUMMYFUNCTION("""COMPUTED_VALUE"""),40.6)</f>
        <v>40.6</v>
      </c>
      <c r="I288" s="74">
        <f ca="1">IFERROR(__xludf.DUMMYFUNCTION("""COMPUTED_VALUE"""),40)</f>
        <v>40</v>
      </c>
    </row>
    <row r="289" spans="2:9" ht="27" customHeight="1">
      <c r="B289" s="73" t="str">
        <f ca="1">IFERROR(__xludf.DUMMYFUNCTION("""COMPUTED_VALUE"""),"Cabestrillo Talla S")</f>
        <v>Cabestrillo Talla S</v>
      </c>
      <c r="C289" s="73" t="str">
        <f ca="1">IFERROR(__xludf.DUMMYFUNCTION("""COMPUTED_VALUE"""),"UNIDAD")</f>
        <v>UNIDAD</v>
      </c>
      <c r="D289" s="73"/>
      <c r="E289" s="73" t="str">
        <f ca="1">IFERROR(__xludf.DUMMYFUNCTION("""COMPUTED_VALUE"""),"H&amp;L")</f>
        <v>H&amp;L</v>
      </c>
      <c r="F289" s="75">
        <f ca="1">IFERROR(__xludf.DUMMYFUNCTION("""COMPUTED_VALUE"""),45989)</f>
        <v>45989</v>
      </c>
      <c r="G289" s="74">
        <f ca="1">IFERROR(__xludf.DUMMYFUNCTION("""COMPUTED_VALUE"""),36.5)</f>
        <v>36.5</v>
      </c>
      <c r="H289" s="74">
        <f ca="1">IFERROR(__xludf.DUMMYFUNCTION("""COMPUTED_VALUE"""),51.1)</f>
        <v>51.1</v>
      </c>
      <c r="I289" s="74">
        <f ca="1">IFERROR(__xludf.DUMMYFUNCTION("""COMPUTED_VALUE"""),60)</f>
        <v>60</v>
      </c>
    </row>
    <row r="290" spans="2:9" ht="27" customHeight="1">
      <c r="B290" s="73" t="str">
        <f ca="1">IFERROR(__xludf.DUMMYFUNCTION("""COMPUTED_VALUE"""),"Cabestrillo Talla M")</f>
        <v>Cabestrillo Talla M</v>
      </c>
      <c r="C290" s="73" t="str">
        <f ca="1">IFERROR(__xludf.DUMMYFUNCTION("""COMPUTED_VALUE"""),"UNIDAD")</f>
        <v>UNIDAD</v>
      </c>
      <c r="D290" s="73"/>
      <c r="E290" s="73" t="str">
        <f ca="1">IFERROR(__xludf.DUMMYFUNCTION("""COMPUTED_VALUE"""),"H&amp;L")</f>
        <v>H&amp;L</v>
      </c>
      <c r="F290" s="75">
        <f ca="1">IFERROR(__xludf.DUMMYFUNCTION("""COMPUTED_VALUE"""),46019)</f>
        <v>46019</v>
      </c>
      <c r="G290" s="74">
        <f ca="1">IFERROR(__xludf.DUMMYFUNCTION("""COMPUTED_VALUE"""),36.5)</f>
        <v>36.5</v>
      </c>
      <c r="H290" s="74">
        <f ca="1">IFERROR(__xludf.DUMMYFUNCTION("""COMPUTED_VALUE"""),51.1)</f>
        <v>51.1</v>
      </c>
      <c r="I290" s="74">
        <f ca="1">IFERROR(__xludf.DUMMYFUNCTION("""COMPUTED_VALUE"""),60)</f>
        <v>60</v>
      </c>
    </row>
    <row r="291" spans="2:9" ht="27" customHeight="1">
      <c r="B291" s="73" t="str">
        <f ca="1">IFERROR(__xludf.DUMMYFUNCTION("""COMPUTED_VALUE"""),"Cabestrillo Talla L")</f>
        <v>Cabestrillo Talla L</v>
      </c>
      <c r="C291" s="73" t="str">
        <f ca="1">IFERROR(__xludf.DUMMYFUNCTION("""COMPUTED_VALUE"""),"UNIDAD")</f>
        <v>UNIDAD</v>
      </c>
      <c r="D291" s="73"/>
      <c r="E291" s="73" t="str">
        <f ca="1">IFERROR(__xludf.DUMMYFUNCTION("""COMPUTED_VALUE"""),"H&amp;L")</f>
        <v>H&amp;L</v>
      </c>
      <c r="F291" s="75">
        <f ca="1">IFERROR(__xludf.DUMMYFUNCTION("""COMPUTED_VALUE"""),45686)</f>
        <v>45686</v>
      </c>
      <c r="G291" s="74">
        <f ca="1">IFERROR(__xludf.DUMMYFUNCTION("""COMPUTED_VALUE"""),36.5)</f>
        <v>36.5</v>
      </c>
      <c r="H291" s="74">
        <f ca="1">IFERROR(__xludf.DUMMYFUNCTION("""COMPUTED_VALUE"""),51.1)</f>
        <v>51.1</v>
      </c>
      <c r="I291" s="74">
        <f ca="1">IFERROR(__xludf.DUMMYFUNCTION("""COMPUTED_VALUE"""),60)</f>
        <v>60</v>
      </c>
    </row>
    <row r="292" spans="2:9" ht="27" customHeight="1">
      <c r="B292" s="73" t="str">
        <f ca="1">IFERROR(__xludf.DUMMYFUNCTION("""COMPUTED_VALUE"""),"Cánula Binasal Pediatrico")</f>
        <v>Cánula Binasal Pediatrico</v>
      </c>
      <c r="C292" s="73" t="str">
        <f ca="1">IFERROR(__xludf.DUMMYFUNCTION("""COMPUTED_VALUE"""),"UNIDAD")</f>
        <v>UNIDAD</v>
      </c>
      <c r="D292" s="73"/>
      <c r="E292" s="73" t="str">
        <f ca="1">IFERROR(__xludf.DUMMYFUNCTION("""COMPUTED_VALUE"""),"H&amp;L")</f>
        <v>H&amp;L</v>
      </c>
      <c r="F292" s="73" t="str">
        <f ca="1">IFERROR(__xludf.DUMMYFUNCTION("""COMPUTED_VALUE"""),"feb-29")</f>
        <v>feb-29</v>
      </c>
      <c r="G292" s="74">
        <f ca="1">IFERROR(__xludf.DUMMYFUNCTION("""COMPUTED_VALUE"""),12)</f>
        <v>12</v>
      </c>
      <c r="H292" s="74">
        <f ca="1">IFERROR(__xludf.DUMMYFUNCTION("""COMPUTED_VALUE"""),16.8)</f>
        <v>16.8</v>
      </c>
      <c r="I292" s="74">
        <f ca="1">IFERROR(__xludf.DUMMYFUNCTION("""COMPUTED_VALUE"""),20)</f>
        <v>20</v>
      </c>
    </row>
    <row r="293" spans="2:9" ht="27" customHeight="1">
      <c r="B293" s="73" t="str">
        <f ca="1">IFERROR(__xludf.DUMMYFUNCTION("""COMPUTED_VALUE"""),"Cánula Binasal Adulto")</f>
        <v>Cánula Binasal Adulto</v>
      </c>
      <c r="C293" s="73" t="str">
        <f ca="1">IFERROR(__xludf.DUMMYFUNCTION("""COMPUTED_VALUE"""),"UNIDAD")</f>
        <v>UNIDAD</v>
      </c>
      <c r="D293" s="73"/>
      <c r="E293" s="73" t="str">
        <f ca="1">IFERROR(__xludf.DUMMYFUNCTION("""COMPUTED_VALUE"""),"H&amp;L")</f>
        <v>H&amp;L</v>
      </c>
      <c r="F293" s="75">
        <f ca="1">IFERROR(__xludf.DUMMYFUNCTION("""COMPUTED_VALUE"""),45745)</f>
        <v>45745</v>
      </c>
      <c r="G293" s="74">
        <f ca="1">IFERROR(__xludf.DUMMYFUNCTION("""COMPUTED_VALUE"""),12)</f>
        <v>12</v>
      </c>
      <c r="H293" s="74">
        <f ca="1">IFERROR(__xludf.DUMMYFUNCTION("""COMPUTED_VALUE"""),16.8)</f>
        <v>16.8</v>
      </c>
      <c r="I293" s="74">
        <f ca="1">IFERROR(__xludf.DUMMYFUNCTION("""COMPUTED_VALUE"""),20)</f>
        <v>20</v>
      </c>
    </row>
    <row r="294" spans="2:9" ht="27" customHeight="1">
      <c r="B294" s="73" t="str">
        <f ca="1">IFERROR(__xludf.DUMMYFUNCTION("""COMPUTED_VALUE"""),"Cal sodada")</f>
        <v>Cal sodada</v>
      </c>
      <c r="C294" s="73" t="str">
        <f ca="1">IFERROR(__xludf.DUMMYFUNCTION("""COMPUTED_VALUE"""),"GALÓN")</f>
        <v>GALÓN</v>
      </c>
      <c r="D294" s="73"/>
      <c r="E294" s="73" t="str">
        <f ca="1">IFERROR(__xludf.DUMMYFUNCTION("""COMPUTED_VALUE"""),"luis")</f>
        <v>luis</v>
      </c>
      <c r="F294" s="75">
        <f ca="1">IFERROR(__xludf.DUMMYFUNCTION("""COMPUTED_VALUE"""),45776)</f>
        <v>45776</v>
      </c>
      <c r="G294" s="74">
        <f ca="1">IFERROR(__xludf.DUMMYFUNCTION("""COMPUTED_VALUE"""),350)</f>
        <v>350</v>
      </c>
      <c r="H294" s="74">
        <f ca="1">IFERROR(__xludf.DUMMYFUNCTION("""COMPUTED_VALUE"""),490)</f>
        <v>490</v>
      </c>
      <c r="I294" s="74">
        <f ca="1">IFERROR(__xludf.DUMMYFUNCTION("""COMPUTED_VALUE"""),500)</f>
        <v>500</v>
      </c>
    </row>
    <row r="295" spans="2:9" ht="27" customHeight="1">
      <c r="B295" s="73" t="str">
        <f ca="1">IFERROR(__xludf.DUMMYFUNCTION("""COMPUTED_VALUE"""),"Cinta de testigo")</f>
        <v>Cinta de testigo</v>
      </c>
      <c r="C295" s="73" t="str">
        <f ca="1">IFERROR(__xludf.DUMMYFUNCTION("""COMPUTED_VALUE"""),"UNIDAD")</f>
        <v>UNIDAD</v>
      </c>
      <c r="D295" s="73"/>
      <c r="E295" s="73" t="str">
        <f ca="1">IFERROR(__xludf.DUMMYFUNCTION("""COMPUTED_VALUE"""),"PROVEEDORA QUIRÚRGICA")</f>
        <v>PROVEEDORA QUIRÚRGICA</v>
      </c>
      <c r="F295" s="75">
        <f ca="1">IFERROR(__xludf.DUMMYFUNCTION("""COMPUTED_VALUE"""),45806)</f>
        <v>45806</v>
      </c>
      <c r="G295" s="74">
        <f ca="1">IFERROR(__xludf.DUMMYFUNCTION("""COMPUTED_VALUE"""),85)</f>
        <v>85</v>
      </c>
      <c r="H295" s="74">
        <f ca="1">IFERROR(__xludf.DUMMYFUNCTION("""COMPUTED_VALUE"""),119)</f>
        <v>119</v>
      </c>
      <c r="I295" s="74">
        <f ca="1">IFERROR(__xludf.DUMMYFUNCTION("""COMPUTED_VALUE"""),120)</f>
        <v>120</v>
      </c>
    </row>
    <row r="296" spans="2:9" ht="27" customHeight="1">
      <c r="B296" s="73" t="str">
        <f ca="1">IFERROR(__xludf.DUMMYFUNCTION("""COMPUTED_VALUE"""),"Empower")</f>
        <v>Empower</v>
      </c>
      <c r="C296" s="73" t="str">
        <f ca="1">IFERROR(__xludf.DUMMYFUNCTION("""COMPUTED_VALUE"""),"GALÓN")</f>
        <v>GALÓN</v>
      </c>
      <c r="D296" s="73"/>
      <c r="E296" s="73" t="str">
        <f ca="1">IFERROR(__xludf.DUMMYFUNCTION("""COMPUTED_VALUE"""),"PROVEEDORA QUIRÚRGICA")</f>
        <v>PROVEEDORA QUIRÚRGICA</v>
      </c>
      <c r="F296" s="75">
        <f ca="1">IFERROR(__xludf.DUMMYFUNCTION("""COMPUTED_VALUE"""),45837)</f>
        <v>45837</v>
      </c>
      <c r="G296" s="74">
        <f ca="1">IFERROR(__xludf.DUMMYFUNCTION("""COMPUTED_VALUE"""),425)</f>
        <v>425</v>
      </c>
      <c r="H296" s="74">
        <f ca="1">IFERROR(__xludf.DUMMYFUNCTION("""COMPUTED_VALUE"""),595)</f>
        <v>595</v>
      </c>
      <c r="I296" s="74">
        <f ca="1">IFERROR(__xludf.DUMMYFUNCTION("""COMPUTED_VALUE"""),600)</f>
        <v>600</v>
      </c>
    </row>
    <row r="297" spans="2:9" ht="27" customHeight="1">
      <c r="B297" s="73" t="str">
        <f ca="1">IFERROR(__xludf.DUMMYFUNCTION("""COMPUTED_VALUE"""),"Equipo de suero para Bomba")</f>
        <v>Equipo de suero para Bomba</v>
      </c>
      <c r="C297" s="73" t="str">
        <f ca="1">IFERROR(__xludf.DUMMYFUNCTION("""COMPUTED_VALUE"""),"UNIDAD")</f>
        <v>UNIDAD</v>
      </c>
      <c r="D297" s="73"/>
      <c r="E297" s="73" t="str">
        <f ca="1">IFERROR(__xludf.DUMMYFUNCTION("""COMPUTED_VALUE"""),"H&amp;L")</f>
        <v>H&amp;L</v>
      </c>
      <c r="F297" s="75">
        <f ca="1">IFERROR(__xludf.DUMMYFUNCTION("""COMPUTED_VALUE"""),45864)</f>
        <v>45864</v>
      </c>
      <c r="G297" s="74">
        <f ca="1">IFERROR(__xludf.DUMMYFUNCTION("""COMPUTED_VALUE"""),52)</f>
        <v>52</v>
      </c>
      <c r="H297" s="74">
        <f ca="1">IFERROR(__xludf.DUMMYFUNCTION("""COMPUTED_VALUE"""),72.8)</f>
        <v>72.8</v>
      </c>
      <c r="I297" s="74">
        <f ca="1">IFERROR(__xludf.DUMMYFUNCTION("""COMPUTED_VALUE"""),75)</f>
        <v>75</v>
      </c>
    </row>
    <row r="298" spans="2:9" ht="27" customHeight="1">
      <c r="B298" s="73" t="str">
        <f ca="1">IFERROR(__xludf.DUMMYFUNCTION("""COMPUTED_VALUE"""),"Enema Fleet")</f>
        <v>Enema Fleet</v>
      </c>
      <c r="C298" s="73" t="str">
        <f ca="1">IFERROR(__xludf.DUMMYFUNCTION("""COMPUTED_VALUE"""),"UNIDAD")</f>
        <v>UNIDAD</v>
      </c>
      <c r="D298" s="73"/>
      <c r="E298" s="73" t="str">
        <f ca="1">IFERROR(__xludf.DUMMYFUNCTION("""COMPUTED_VALUE"""),"H&amp;L")</f>
        <v>H&amp;L</v>
      </c>
      <c r="F298" s="75">
        <f ca="1">IFERROR(__xludf.DUMMYFUNCTION("""COMPUTED_VALUE"""),45989)</f>
        <v>45989</v>
      </c>
      <c r="G298" s="74">
        <f ca="1">IFERROR(__xludf.DUMMYFUNCTION("""COMPUTED_VALUE"""),27.9)</f>
        <v>27.9</v>
      </c>
      <c r="H298" s="74">
        <f ca="1">IFERROR(__xludf.DUMMYFUNCTION("""COMPUTED_VALUE"""),39.06)</f>
        <v>39.06</v>
      </c>
      <c r="I298" s="74">
        <f ca="1">IFERROR(__xludf.DUMMYFUNCTION("""COMPUTED_VALUE"""),45)</f>
        <v>45</v>
      </c>
    </row>
    <row r="299" spans="2:9" ht="27" customHeight="1">
      <c r="B299" s="73" t="str">
        <f ca="1">IFERROR(__xludf.DUMMYFUNCTION("""COMPUTED_VALUE"""),"Equipo de suero")</f>
        <v>Equipo de suero</v>
      </c>
      <c r="C299" s="73" t="str">
        <f ca="1">IFERROR(__xludf.DUMMYFUNCTION("""COMPUTED_VALUE"""),"UNIDAD")</f>
        <v>UNIDAD</v>
      </c>
      <c r="D299" s="73"/>
      <c r="E299" s="73" t="str">
        <f ca="1">IFERROR(__xludf.DUMMYFUNCTION("""COMPUTED_VALUE"""),"H&amp;L")</f>
        <v>H&amp;L</v>
      </c>
      <c r="F299" s="75">
        <f ca="1">IFERROR(__xludf.DUMMYFUNCTION("""COMPUTED_VALUE"""),45926)</f>
        <v>45926</v>
      </c>
      <c r="G299" s="74">
        <f ca="1">IFERROR(__xludf.DUMMYFUNCTION("""COMPUTED_VALUE"""),6)</f>
        <v>6</v>
      </c>
      <c r="H299" s="74">
        <f ca="1">IFERROR(__xludf.DUMMYFUNCTION("""COMPUTED_VALUE"""),8.4)</f>
        <v>8.4</v>
      </c>
      <c r="I299" s="74">
        <f ca="1">IFERROR(__xludf.DUMMYFUNCTION("""COMPUTED_VALUE"""),10)</f>
        <v>10</v>
      </c>
    </row>
    <row r="300" spans="2:9" ht="27" customHeight="1">
      <c r="B300" s="73" t="str">
        <f ca="1">IFERROR(__xludf.DUMMYFUNCTION("""COMPUTED_VALUE"""),"Equipo Flebotek Ambar")</f>
        <v>Equipo Flebotek Ambar</v>
      </c>
      <c r="C300" s="73" t="str">
        <f ca="1">IFERROR(__xludf.DUMMYFUNCTION("""COMPUTED_VALUE"""),"UNIDAD")</f>
        <v>UNIDAD</v>
      </c>
      <c r="D300" s="73"/>
      <c r="E300" s="73" t="str">
        <f ca="1">IFERROR(__xludf.DUMMYFUNCTION("""COMPUTED_VALUE"""),"PISA")</f>
        <v>PISA</v>
      </c>
      <c r="F300" s="75">
        <f ca="1">IFERROR(__xludf.DUMMYFUNCTION("""COMPUTED_VALUE"""),45867)</f>
        <v>45867</v>
      </c>
      <c r="G300" s="74">
        <f ca="1">IFERROR(__xludf.DUMMYFUNCTION("""COMPUTED_VALUE"""),52)</f>
        <v>52</v>
      </c>
      <c r="H300" s="74">
        <f ca="1">IFERROR(__xludf.DUMMYFUNCTION("""COMPUTED_VALUE"""),72.8)</f>
        <v>72.8</v>
      </c>
      <c r="I300" s="74">
        <f ca="1">IFERROR(__xludf.DUMMYFUNCTION("""COMPUTED_VALUE"""),75)</f>
        <v>75</v>
      </c>
    </row>
    <row r="301" spans="2:9" ht="27" customHeight="1">
      <c r="B301" s="73" t="str">
        <f ca="1">IFERROR(__xludf.DUMMYFUNCTION("""COMPUTED_VALUE"""),"Electrodos para EKG")</f>
        <v>Electrodos para EKG</v>
      </c>
      <c r="C301" s="73" t="str">
        <f ca="1">IFERROR(__xludf.DUMMYFUNCTION("""COMPUTED_VALUE"""),"BOLSA 50U.")</f>
        <v>BOLSA 50U.</v>
      </c>
      <c r="D301" s="73"/>
      <c r="E301" s="73"/>
      <c r="F301" s="75">
        <f ca="1">IFERROR(__xludf.DUMMYFUNCTION("""COMPUTED_VALUE"""),45834)</f>
        <v>45834</v>
      </c>
      <c r="G301" s="74">
        <f ca="1">IFERROR(__xludf.DUMMYFUNCTION("""COMPUTED_VALUE"""),66.5)</f>
        <v>66.5</v>
      </c>
      <c r="H301" s="74">
        <f ca="1">IFERROR(__xludf.DUMMYFUNCTION("""COMPUTED_VALUE"""),93.1)</f>
        <v>93.1</v>
      </c>
      <c r="I301" s="74">
        <f ca="1">IFERROR(__xludf.DUMMYFUNCTION("""COMPUTED_VALUE"""),95)</f>
        <v>95</v>
      </c>
    </row>
    <row r="302" spans="2:9" ht="27" customHeight="1">
      <c r="B302" s="73" t="str">
        <f ca="1">IFERROR(__xludf.DUMMYFUNCTION("""COMPUTED_VALUE"""),"Espéculos Talla Small")</f>
        <v>Espéculos Talla Small</v>
      </c>
      <c r="C302" s="73" t="str">
        <f ca="1">IFERROR(__xludf.DUMMYFUNCTION("""COMPUTED_VALUE"""),"UNIDAD")</f>
        <v>UNIDAD</v>
      </c>
      <c r="D302" s="73"/>
      <c r="E302" s="73" t="str">
        <f ca="1">IFERROR(__xludf.DUMMYFUNCTION("""COMPUTED_VALUE"""),"BIOTHICAL")</f>
        <v>BIOTHICAL</v>
      </c>
      <c r="F302" s="73"/>
      <c r="G302" s="74">
        <f ca="1">IFERROR(__xludf.DUMMYFUNCTION("""COMPUTED_VALUE"""),6.3)</f>
        <v>6.3</v>
      </c>
      <c r="H302" s="74">
        <f ca="1">IFERROR(__xludf.DUMMYFUNCTION("""COMPUTED_VALUE"""),8.82)</f>
        <v>8.82</v>
      </c>
      <c r="I302" s="74">
        <f ca="1">IFERROR(__xludf.DUMMYFUNCTION("""COMPUTED_VALUE"""),10)</f>
        <v>10</v>
      </c>
    </row>
    <row r="303" spans="2:9" ht="27" customHeight="1">
      <c r="B303" s="73" t="str">
        <f ca="1">IFERROR(__xludf.DUMMYFUNCTION("""COMPUTED_VALUE"""),"Espéculos vaginales T.M")</f>
        <v>Espéculos vaginales T.M</v>
      </c>
      <c r="C303" s="73" t="str">
        <f ca="1">IFERROR(__xludf.DUMMYFUNCTION("""COMPUTED_VALUE"""),"UNIDAD")</f>
        <v>UNIDAD</v>
      </c>
      <c r="D303" s="73"/>
      <c r="E303" s="73" t="str">
        <f ca="1">IFERROR(__xludf.DUMMYFUNCTION("""COMPUTED_VALUE"""),"BIOTHICAL")</f>
        <v>BIOTHICAL</v>
      </c>
      <c r="F303" s="75">
        <f ca="1">IFERROR(__xludf.DUMMYFUNCTION("""COMPUTED_VALUE"""),45776)</f>
        <v>45776</v>
      </c>
      <c r="G303" s="74">
        <f ca="1">IFERROR(__xludf.DUMMYFUNCTION("""COMPUTED_VALUE"""),6.3)</f>
        <v>6.3</v>
      </c>
      <c r="H303" s="74">
        <f ca="1">IFERROR(__xludf.DUMMYFUNCTION("""COMPUTED_VALUE"""),8.82)</f>
        <v>8.82</v>
      </c>
      <c r="I303" s="74">
        <f ca="1">IFERROR(__xludf.DUMMYFUNCTION("""COMPUTED_VALUE"""),10)</f>
        <v>10</v>
      </c>
    </row>
    <row r="304" spans="2:9" ht="27" customHeight="1">
      <c r="B304" s="73" t="str">
        <f ca="1">IFERROR(__xludf.DUMMYFUNCTION("""COMPUTED_VALUE"""),"Espéculos vaginalesT. L")</f>
        <v>Espéculos vaginalesT. L</v>
      </c>
      <c r="C304" s="73" t="str">
        <f ca="1">IFERROR(__xludf.DUMMYFUNCTION("""COMPUTED_VALUE"""),"UNIDAD")</f>
        <v>UNIDAD</v>
      </c>
      <c r="D304" s="73"/>
      <c r="E304" s="73" t="str">
        <f ca="1">IFERROR(__xludf.DUMMYFUNCTION("""COMPUTED_VALUE"""),"BIOTHICAL")</f>
        <v>BIOTHICAL</v>
      </c>
      <c r="F304" s="75">
        <f ca="1">IFERROR(__xludf.DUMMYFUNCTION("""COMPUTED_VALUE"""),45686)</f>
        <v>45686</v>
      </c>
      <c r="G304" s="74">
        <f ca="1">IFERROR(__xludf.DUMMYFUNCTION("""COMPUTED_VALUE"""),6.3)</f>
        <v>6.3</v>
      </c>
      <c r="H304" s="74">
        <f ca="1">IFERROR(__xludf.DUMMYFUNCTION("""COMPUTED_VALUE"""),8.82)</f>
        <v>8.82</v>
      </c>
      <c r="I304" s="74">
        <f ca="1">IFERROR(__xludf.DUMMYFUNCTION("""COMPUTED_VALUE"""),10)</f>
        <v>10</v>
      </c>
    </row>
    <row r="305" spans="2:9" ht="27" customHeight="1">
      <c r="B305" s="73" t="str">
        <f ca="1">IFERROR(__xludf.DUMMYFUNCTION("""COMPUTED_VALUE"""),"Formucide Dic")</f>
        <v>Formucide Dic</v>
      </c>
      <c r="C305" s="73" t="str">
        <f ca="1">IFERROR(__xludf.DUMMYFUNCTION("""COMPUTED_VALUE"""),"Galon")</f>
        <v>Galon</v>
      </c>
      <c r="D305" s="73"/>
      <c r="E305" s="73" t="str">
        <f ca="1">IFERROR(__xludf.DUMMYFUNCTION("""COMPUTED_VALUE"""),"PROVEEDORA QUIRÚRGICA")</f>
        <v>PROVEEDORA QUIRÚRGICA</v>
      </c>
      <c r="F305" s="75">
        <f ca="1">IFERROR(__xludf.DUMMYFUNCTION("""COMPUTED_VALUE"""),45897)</f>
        <v>45897</v>
      </c>
      <c r="G305" s="74">
        <f ca="1">IFERROR(__xludf.DUMMYFUNCTION("""COMPUTED_VALUE"""),180)</f>
        <v>180</v>
      </c>
      <c r="H305" s="74">
        <f ca="1">IFERROR(__xludf.DUMMYFUNCTION("""COMPUTED_VALUE"""),252)</f>
        <v>252</v>
      </c>
      <c r="I305" s="74">
        <f ca="1">IFERROR(__xludf.DUMMYFUNCTION("""COMPUTED_VALUE"""),255)</f>
        <v>255</v>
      </c>
    </row>
    <row r="306" spans="2:9" ht="27" customHeight="1">
      <c r="B306" s="73" t="str">
        <f ca="1">IFERROR(__xludf.DUMMYFUNCTION("""COMPUTED_VALUE"""),"Formol Galón")</f>
        <v>Formol Galón</v>
      </c>
      <c r="C306" s="73" t="str">
        <f ca="1">IFERROR(__xludf.DUMMYFUNCTION("""COMPUTED_VALUE"""),"Galón")</f>
        <v>Galón</v>
      </c>
      <c r="D306" s="73"/>
      <c r="E306" s="73"/>
      <c r="F306" s="75">
        <f ca="1">IFERROR(__xludf.DUMMYFUNCTION("""COMPUTED_VALUE"""),45686)</f>
        <v>45686</v>
      </c>
      <c r="G306" s="74">
        <f ca="1">IFERROR(__xludf.DUMMYFUNCTION("""COMPUTED_VALUE"""),120)</f>
        <v>120</v>
      </c>
      <c r="H306" s="74">
        <f ca="1">IFERROR(__xludf.DUMMYFUNCTION("""COMPUTED_VALUE"""),168)</f>
        <v>168</v>
      </c>
      <c r="I306" s="74">
        <f ca="1">IFERROR(__xludf.DUMMYFUNCTION("""COMPUTED_VALUE"""),170)</f>
        <v>170</v>
      </c>
    </row>
    <row r="307" spans="2:9" ht="27" customHeight="1">
      <c r="B307" s="73" t="str">
        <f ca="1">IFERROR(__xludf.DUMMYFUNCTION("""COMPUTED_VALUE"""),"Formuex galon")</f>
        <v>Formuex galon</v>
      </c>
      <c r="C307" s="73" t="str">
        <f ca="1">IFERROR(__xludf.DUMMYFUNCTION("""COMPUTED_VALUE"""),"Galón")</f>
        <v>Galón</v>
      </c>
      <c r="D307" s="73"/>
      <c r="E307" s="73"/>
      <c r="F307" s="73"/>
      <c r="G307" s="74">
        <f ca="1">IFERROR(__xludf.DUMMYFUNCTION("""COMPUTED_VALUE"""),262)</f>
        <v>262</v>
      </c>
      <c r="H307" s="74">
        <f ca="1">IFERROR(__xludf.DUMMYFUNCTION("""COMPUTED_VALUE"""),366.8)</f>
        <v>366.8</v>
      </c>
      <c r="I307" s="74">
        <f ca="1">IFERROR(__xludf.DUMMYFUNCTION("""COMPUTED_VALUE"""),340)</f>
        <v>340</v>
      </c>
    </row>
    <row r="308" spans="2:9" ht="27" customHeight="1">
      <c r="B308" s="73" t="str">
        <f ca="1">IFERROR(__xludf.DUMMYFUNCTION("""COMPUTED_VALUE"""),"Glucocide Galon")</f>
        <v>Glucocide Galon</v>
      </c>
      <c r="C308" s="73" t="str">
        <f ca="1">IFERROR(__xludf.DUMMYFUNCTION("""COMPUTED_VALUE"""),"Galón")</f>
        <v>Galón</v>
      </c>
      <c r="D308" s="73"/>
      <c r="E308" s="73" t="str">
        <f ca="1">IFERROR(__xludf.DUMMYFUNCTION("""COMPUTED_VALUE"""),"H&amp;L")</f>
        <v>H&amp;L</v>
      </c>
      <c r="F308" s="73"/>
      <c r="G308" s="74">
        <f ca="1">IFERROR(__xludf.DUMMYFUNCTION("""COMPUTED_VALUE"""),165)</f>
        <v>165</v>
      </c>
      <c r="H308" s="74">
        <f ca="1">IFERROR(__xludf.DUMMYFUNCTION("""COMPUTED_VALUE"""),231)</f>
        <v>231</v>
      </c>
      <c r="I308" s="74">
        <f ca="1">IFERROR(__xludf.DUMMYFUNCTION("""COMPUTED_VALUE"""),235)</f>
        <v>235</v>
      </c>
    </row>
    <row r="309" spans="2:9" ht="27" customHeight="1">
      <c r="B309" s="73" t="str">
        <f ca="1">IFERROR(__xludf.DUMMYFUNCTION("""COMPUTED_VALUE"""),"Gaza")</f>
        <v>Gaza</v>
      </c>
      <c r="C309" s="73" t="str">
        <f ca="1">IFERROR(__xludf.DUMMYFUNCTION("""COMPUTED_VALUE"""),"Pieza 36 Ydas.")</f>
        <v>Pieza 36 Ydas.</v>
      </c>
      <c r="D309" s="73"/>
      <c r="E309" s="73" t="str">
        <f ca="1">IFERROR(__xludf.DUMMYFUNCTION("""COMPUTED_VALUE"""),"H&amp;L")</f>
        <v>H&amp;L</v>
      </c>
      <c r="F309" s="73"/>
      <c r="G309" s="74">
        <f ca="1">IFERROR(__xludf.DUMMYFUNCTION("""COMPUTED_VALUE"""),195)</f>
        <v>195</v>
      </c>
      <c r="H309" s="74">
        <f ca="1">IFERROR(__xludf.DUMMYFUNCTION("""COMPUTED_VALUE"""),273)</f>
        <v>273</v>
      </c>
      <c r="I309" s="74">
        <f ca="1">IFERROR(__xludf.DUMMYFUNCTION("""COMPUTED_VALUE"""),275)</f>
        <v>275</v>
      </c>
    </row>
    <row r="310" spans="2:9" ht="27" customHeight="1">
      <c r="B310" s="73" t="str">
        <f ca="1">IFERROR(__xludf.DUMMYFUNCTION("""COMPUTED_VALUE"""),"Glucometro monitor")</f>
        <v>Glucometro monitor</v>
      </c>
      <c r="C310" s="73" t="str">
        <f ca="1">IFERROR(__xludf.DUMMYFUNCTION("""COMPUTED_VALUE"""),"Unidad")</f>
        <v>Unidad</v>
      </c>
      <c r="D310" s="73"/>
      <c r="E310" s="73" t="str">
        <f ca="1">IFERROR(__xludf.DUMMYFUNCTION("""COMPUTED_VALUE"""),"DASA")</f>
        <v>DASA</v>
      </c>
      <c r="F310" s="75">
        <f ca="1">IFERROR(__xludf.DUMMYFUNCTION("""COMPUTED_VALUE"""),45867)</f>
        <v>45867</v>
      </c>
      <c r="G310" s="74">
        <f ca="1">IFERROR(__xludf.DUMMYFUNCTION("""COMPUTED_VALUE"""),178)</f>
        <v>178</v>
      </c>
      <c r="H310" s="74">
        <f ca="1">IFERROR(__xludf.DUMMYFUNCTION("""COMPUTED_VALUE"""),249.2)</f>
        <v>249.2</v>
      </c>
      <c r="I310" s="74">
        <f ca="1">IFERROR(__xludf.DUMMYFUNCTION("""COMPUTED_VALUE"""),250)</f>
        <v>250</v>
      </c>
    </row>
    <row r="311" spans="2:9" ht="27" customHeight="1">
      <c r="B311" s="73" t="str">
        <f ca="1">IFERROR(__xludf.DUMMYFUNCTION("""COMPUTED_VALUE"""),"Guantes desc. talla M")</f>
        <v>Guantes desc. talla M</v>
      </c>
      <c r="C311" s="73" t="str">
        <f ca="1">IFERROR(__xludf.DUMMYFUNCTION("""COMPUTED_VALUE"""),"caja 50 pares")</f>
        <v>caja 50 pares</v>
      </c>
      <c r="D311" s="73"/>
      <c r="E311" s="73" t="str">
        <f ca="1">IFERROR(__xludf.DUMMYFUNCTION("""COMPUTED_VALUE"""),"H&amp;L")</f>
        <v>H&amp;L</v>
      </c>
      <c r="F311" s="73"/>
      <c r="G311" s="74">
        <f ca="1">IFERROR(__xludf.DUMMYFUNCTION("""COMPUTED_VALUE"""),34)</f>
        <v>34</v>
      </c>
      <c r="H311" s="74">
        <f ca="1">IFERROR(__xludf.DUMMYFUNCTION("""COMPUTED_VALUE"""),47.6)</f>
        <v>47.6</v>
      </c>
      <c r="I311" s="74">
        <f ca="1">IFERROR(__xludf.DUMMYFUNCTION("""COMPUTED_VALUE"""),50)</f>
        <v>50</v>
      </c>
    </row>
    <row r="312" spans="2:9" ht="27" customHeight="1">
      <c r="B312" s="73" t="str">
        <f ca="1">IFERROR(__xludf.DUMMYFUNCTION("""COMPUTED_VALUE"""),"Guantes Qx. No. 6 1/2")</f>
        <v>Guantes Qx. No. 6 1/2</v>
      </c>
      <c r="C312" s="73" t="str">
        <f ca="1">IFERROR(__xludf.DUMMYFUNCTION("""COMPUTED_VALUE"""),"caja 50 pares")</f>
        <v>caja 50 pares</v>
      </c>
      <c r="D312" s="73"/>
      <c r="E312" s="73" t="str">
        <f ca="1">IFERROR(__xludf.DUMMYFUNCTION("""COMPUTED_VALUE"""),"QUALITY")</f>
        <v>QUALITY</v>
      </c>
      <c r="F312" s="75">
        <f ca="1">IFERROR(__xludf.DUMMYFUNCTION("""COMPUTED_VALUE"""),45867)</f>
        <v>45867</v>
      </c>
      <c r="G312" s="74">
        <f ca="1">IFERROR(__xludf.DUMMYFUNCTION("""COMPUTED_VALUE"""),190)</f>
        <v>190</v>
      </c>
      <c r="H312" s="74">
        <f ca="1">IFERROR(__xludf.DUMMYFUNCTION("""COMPUTED_VALUE"""),266)</f>
        <v>266</v>
      </c>
      <c r="I312" s="74">
        <f ca="1">IFERROR(__xludf.DUMMYFUNCTION("""COMPUTED_VALUE"""),270)</f>
        <v>270</v>
      </c>
    </row>
    <row r="313" spans="2:9" ht="27" customHeight="1">
      <c r="B313" s="73" t="str">
        <f ca="1">IFERROR(__xludf.DUMMYFUNCTION("""COMPUTED_VALUE"""),"Guantes Qx. No. 7.")</f>
        <v>Guantes Qx. No. 7.</v>
      </c>
      <c r="C313" s="73" t="str">
        <f ca="1">IFERROR(__xludf.DUMMYFUNCTION("""COMPUTED_VALUE"""),"caja 50 pares")</f>
        <v>caja 50 pares</v>
      </c>
      <c r="D313" s="73"/>
      <c r="E313" s="73" t="str">
        <f ca="1">IFERROR(__xludf.DUMMYFUNCTION("""COMPUTED_VALUE"""),"H&amp;L")</f>
        <v>H&amp;L</v>
      </c>
      <c r="F313" s="73"/>
      <c r="G313" s="74">
        <f ca="1">IFERROR(__xludf.DUMMYFUNCTION("""COMPUTED_VALUE"""),190)</f>
        <v>190</v>
      </c>
      <c r="H313" s="74">
        <f ca="1">IFERROR(__xludf.DUMMYFUNCTION("""COMPUTED_VALUE"""),266)</f>
        <v>266</v>
      </c>
      <c r="I313" s="74">
        <f ca="1">IFERROR(__xludf.DUMMYFUNCTION("""COMPUTED_VALUE"""),270)</f>
        <v>270</v>
      </c>
    </row>
    <row r="314" spans="2:9" ht="27" customHeight="1">
      <c r="B314" s="73" t="str">
        <f ca="1">IFERROR(__xludf.DUMMYFUNCTION("""COMPUTED_VALUE"""),"Guantes QX. No. 7 1/2")</f>
        <v>Guantes QX. No. 7 1/2</v>
      </c>
      <c r="C314" s="73" t="str">
        <f ca="1">IFERROR(__xludf.DUMMYFUNCTION("""COMPUTED_VALUE"""),"caja 50 pares")</f>
        <v>caja 50 pares</v>
      </c>
      <c r="D314" s="73"/>
      <c r="E314" s="73" t="str">
        <f ca="1">IFERROR(__xludf.DUMMYFUNCTION("""COMPUTED_VALUE"""),"H&amp;L")</f>
        <v>H&amp;L</v>
      </c>
      <c r="F314" s="75">
        <f ca="1">IFERROR(__xludf.DUMMYFUNCTION("""COMPUTED_VALUE"""),45776)</f>
        <v>45776</v>
      </c>
      <c r="G314" s="74">
        <f ca="1">IFERROR(__xludf.DUMMYFUNCTION("""COMPUTED_VALUE"""),200)</f>
        <v>200</v>
      </c>
      <c r="H314" s="74">
        <f ca="1">IFERROR(__xludf.DUMMYFUNCTION("""COMPUTED_VALUE"""),280)</f>
        <v>280</v>
      </c>
      <c r="I314" s="74">
        <f ca="1">IFERROR(__xludf.DUMMYFUNCTION("""COMPUTED_VALUE"""),300)</f>
        <v>300</v>
      </c>
    </row>
    <row r="315" spans="2:9" ht="27" customHeight="1">
      <c r="B315" s="73" t="str">
        <f ca="1">IFERROR(__xludf.DUMMYFUNCTION("""COMPUTED_VALUE"""),"Hilo Nylon 1-0")</f>
        <v>Hilo Nylon 1-0</v>
      </c>
      <c r="C315" s="73" t="str">
        <f ca="1">IFERROR(__xludf.DUMMYFUNCTION("""COMPUTED_VALUE"""),"Unidad")</f>
        <v>Unidad</v>
      </c>
      <c r="D315" s="73"/>
      <c r="E315" s="73" t="str">
        <f ca="1">IFERROR(__xludf.DUMMYFUNCTION("""COMPUTED_VALUE"""),"JOSE GUILLERMO")</f>
        <v>JOSE GUILLERMO</v>
      </c>
      <c r="F315" s="75">
        <f ca="1">IFERROR(__xludf.DUMMYFUNCTION("""COMPUTED_VALUE"""),45776)</f>
        <v>45776</v>
      </c>
      <c r="G315" s="74">
        <f ca="1">IFERROR(__xludf.DUMMYFUNCTION("""COMPUTED_VALUE"""),12.25)</f>
        <v>12.25</v>
      </c>
      <c r="H315" s="74">
        <f ca="1">IFERROR(__xludf.DUMMYFUNCTION("""COMPUTED_VALUE"""),17.15)</f>
        <v>17.149999999999999</v>
      </c>
      <c r="I315" s="74">
        <f ca="1">IFERROR(__xludf.DUMMYFUNCTION("""COMPUTED_VALUE"""),20)</f>
        <v>20</v>
      </c>
    </row>
    <row r="316" spans="2:9" ht="27" customHeight="1">
      <c r="B316" s="73" t="str">
        <f ca="1">IFERROR(__xludf.DUMMYFUNCTION("""COMPUTED_VALUE"""),"Hilo Nylon 2-0")</f>
        <v>Hilo Nylon 2-0</v>
      </c>
      <c r="C316" s="73" t="str">
        <f ca="1">IFERROR(__xludf.DUMMYFUNCTION("""COMPUTED_VALUE"""),"Unidad")</f>
        <v>Unidad</v>
      </c>
      <c r="D316" s="73"/>
      <c r="E316" s="73" t="str">
        <f ca="1">IFERROR(__xludf.DUMMYFUNCTION("""COMPUTED_VALUE"""),"H&amp;L")</f>
        <v>H&amp;L</v>
      </c>
      <c r="F316" s="75">
        <f ca="1">IFERROR(__xludf.DUMMYFUNCTION("""COMPUTED_VALUE"""),45744)</f>
        <v>45744</v>
      </c>
      <c r="G316" s="74">
        <f ca="1">IFERROR(__xludf.DUMMYFUNCTION("""COMPUTED_VALUE"""),12.25)</f>
        <v>12.25</v>
      </c>
      <c r="H316" s="74">
        <f ca="1">IFERROR(__xludf.DUMMYFUNCTION("""COMPUTED_VALUE"""),17.15)</f>
        <v>17.149999999999999</v>
      </c>
      <c r="I316" s="74">
        <f ca="1">IFERROR(__xludf.DUMMYFUNCTION("""COMPUTED_VALUE"""),20)</f>
        <v>20</v>
      </c>
    </row>
    <row r="317" spans="2:9" ht="27" customHeight="1">
      <c r="B317" s="73" t="str">
        <f ca="1">IFERROR(__xludf.DUMMYFUNCTION("""COMPUTED_VALUE"""),"Hilo Nylon 3-0")</f>
        <v>Hilo Nylon 3-0</v>
      </c>
      <c r="C317" s="73" t="str">
        <f ca="1">IFERROR(__xludf.DUMMYFUNCTION("""COMPUTED_VALUE"""),"Unidad")</f>
        <v>Unidad</v>
      </c>
      <c r="D317" s="73"/>
      <c r="E317" s="73" t="str">
        <f ca="1">IFERROR(__xludf.DUMMYFUNCTION("""COMPUTED_VALUE"""),"OSCAR RIVAS")</f>
        <v>OSCAR RIVAS</v>
      </c>
      <c r="F317" s="75">
        <f ca="1">IFERROR(__xludf.DUMMYFUNCTION("""COMPUTED_VALUE"""),45686)</f>
        <v>45686</v>
      </c>
      <c r="G317" s="74">
        <f ca="1">IFERROR(__xludf.DUMMYFUNCTION("""COMPUTED_VALUE"""),12.85)</f>
        <v>12.85</v>
      </c>
      <c r="H317" s="74">
        <f ca="1">IFERROR(__xludf.DUMMYFUNCTION("""COMPUTED_VALUE"""),17.99)</f>
        <v>17.989999999999998</v>
      </c>
      <c r="I317" s="74">
        <f ca="1">IFERROR(__xludf.DUMMYFUNCTION("""COMPUTED_VALUE"""),20)</f>
        <v>20</v>
      </c>
    </row>
    <row r="318" spans="2:9" ht="27" customHeight="1">
      <c r="B318" s="73" t="str">
        <f ca="1">IFERROR(__xludf.DUMMYFUNCTION("""COMPUTED_VALUE"""),"Hilo Nylon 4-0")</f>
        <v>Hilo Nylon 4-0</v>
      </c>
      <c r="C318" s="73" t="str">
        <f ca="1">IFERROR(__xludf.DUMMYFUNCTION("""COMPUTED_VALUE"""),"Unidad")</f>
        <v>Unidad</v>
      </c>
      <c r="D318" s="73"/>
      <c r="E318" s="73" t="str">
        <f ca="1">IFERROR(__xludf.DUMMYFUNCTION("""COMPUTED_VALUE"""),"H&amp;L")</f>
        <v>H&amp;L</v>
      </c>
      <c r="F318" s="75">
        <f ca="1">IFERROR(__xludf.DUMMYFUNCTION("""COMPUTED_VALUE"""),45745)</f>
        <v>45745</v>
      </c>
      <c r="G318" s="74">
        <f ca="1">IFERROR(__xludf.DUMMYFUNCTION("""COMPUTED_VALUE"""),12.45)</f>
        <v>12.45</v>
      </c>
      <c r="H318" s="74">
        <f ca="1">IFERROR(__xludf.DUMMYFUNCTION("""COMPUTED_VALUE"""),17.43)</f>
        <v>17.43</v>
      </c>
      <c r="I318" s="74">
        <f ca="1">IFERROR(__xludf.DUMMYFUNCTION("""COMPUTED_VALUE"""),20)</f>
        <v>20</v>
      </c>
    </row>
    <row r="319" spans="2:9" ht="27" customHeight="1">
      <c r="B319" s="73" t="str">
        <f ca="1">IFERROR(__xludf.DUMMYFUNCTION("""COMPUTED_VALUE"""),"Hilo Nylon 5-0")</f>
        <v>Hilo Nylon 5-0</v>
      </c>
      <c r="C319" s="73" t="str">
        <f ca="1">IFERROR(__xludf.DUMMYFUNCTION("""COMPUTED_VALUE"""),"Unidad")</f>
        <v>Unidad</v>
      </c>
      <c r="D319" s="73"/>
      <c r="E319" s="73" t="str">
        <f ca="1">IFERROR(__xludf.DUMMYFUNCTION("""COMPUTED_VALUE"""),"H&amp;L")</f>
        <v>H&amp;L</v>
      </c>
      <c r="F319" s="75">
        <f ca="1">IFERROR(__xludf.DUMMYFUNCTION("""COMPUTED_VALUE"""),45867)</f>
        <v>45867</v>
      </c>
      <c r="G319" s="74">
        <f ca="1">IFERROR(__xludf.DUMMYFUNCTION("""COMPUTED_VALUE"""),12.5)</f>
        <v>12.5</v>
      </c>
      <c r="H319" s="74">
        <f ca="1">IFERROR(__xludf.DUMMYFUNCTION("""COMPUTED_VALUE"""),17.5)</f>
        <v>17.5</v>
      </c>
      <c r="I319" s="74">
        <f ca="1">IFERROR(__xludf.DUMMYFUNCTION("""COMPUTED_VALUE"""),20)</f>
        <v>20</v>
      </c>
    </row>
    <row r="320" spans="2:9" ht="27" customHeight="1">
      <c r="B320" s="73" t="str">
        <f ca="1">IFERROR(__xludf.DUMMYFUNCTION("""COMPUTED_VALUE"""),"Hilo Nylon 6-0")</f>
        <v>Hilo Nylon 6-0</v>
      </c>
      <c r="C320" s="73" t="str">
        <f ca="1">IFERROR(__xludf.DUMMYFUNCTION("""COMPUTED_VALUE"""),"Unidad")</f>
        <v>Unidad</v>
      </c>
      <c r="D320" s="73"/>
      <c r="E320" s="73" t="str">
        <f ca="1">IFERROR(__xludf.DUMMYFUNCTION("""COMPUTED_VALUE"""),"H&amp;L")</f>
        <v>H&amp;L</v>
      </c>
      <c r="F320" s="73"/>
      <c r="G320" s="74">
        <f ca="1">IFERROR(__xludf.DUMMYFUNCTION("""COMPUTED_VALUE"""),13.95)</f>
        <v>13.95</v>
      </c>
      <c r="H320" s="74">
        <f ca="1">IFERROR(__xludf.DUMMYFUNCTION("""COMPUTED_VALUE"""),19.53)</f>
        <v>19.53</v>
      </c>
      <c r="I320" s="74">
        <f ca="1">IFERROR(__xludf.DUMMYFUNCTION("""COMPUTED_VALUE"""),20)</f>
        <v>20</v>
      </c>
    </row>
    <row r="321" spans="2:9" ht="27" customHeight="1">
      <c r="B321" s="73" t="str">
        <f ca="1">IFERROR(__xludf.DUMMYFUNCTION("""COMPUTED_VALUE"""),"Hilo Vicril 0-0")</f>
        <v>Hilo Vicril 0-0</v>
      </c>
      <c r="C321" s="73" t="str">
        <f ca="1">IFERROR(__xludf.DUMMYFUNCTION("""COMPUTED_VALUE"""),"Unidad")</f>
        <v>Unidad</v>
      </c>
      <c r="D321" s="73"/>
      <c r="E321" s="73" t="str">
        <f ca="1">IFERROR(__xludf.DUMMYFUNCTION("""COMPUTED_VALUE"""),"H&amp;L")</f>
        <v>H&amp;L</v>
      </c>
      <c r="F321" s="73" t="str">
        <f ca="1">IFERROR(__xludf.DUMMYFUNCTION("""COMPUTED_VALUE"""),"feb-29")</f>
        <v>feb-29</v>
      </c>
      <c r="G321" s="74">
        <f ca="1">IFERROR(__xludf.DUMMYFUNCTION("""COMPUTED_VALUE"""),5.8)</f>
        <v>5.8</v>
      </c>
      <c r="H321" s="74">
        <f ca="1">IFERROR(__xludf.DUMMYFUNCTION("""COMPUTED_VALUE"""),8.12)</f>
        <v>8.1199999999999992</v>
      </c>
      <c r="I321" s="74">
        <f ca="1">IFERROR(__xludf.DUMMYFUNCTION("""COMPUTED_VALUE"""),10)</f>
        <v>10</v>
      </c>
    </row>
    <row r="322" spans="2:9" ht="27" customHeight="1">
      <c r="B322" s="73" t="str">
        <f ca="1">IFERROR(__xludf.DUMMYFUNCTION("""COMPUTED_VALUE"""),"Hilo Vicril 1-0")</f>
        <v>Hilo Vicril 1-0</v>
      </c>
      <c r="C322" s="73" t="str">
        <f ca="1">IFERROR(__xludf.DUMMYFUNCTION("""COMPUTED_VALUE"""),"Unidad")</f>
        <v>Unidad</v>
      </c>
      <c r="D322" s="73"/>
      <c r="E322" s="73" t="str">
        <f ca="1">IFERROR(__xludf.DUMMYFUNCTION("""COMPUTED_VALUE"""),"H&amp;L")</f>
        <v>H&amp;L</v>
      </c>
      <c r="F322" s="73"/>
      <c r="G322" s="74">
        <f ca="1">IFERROR(__xludf.DUMMYFUNCTION("""COMPUTED_VALUE"""),8)</f>
        <v>8</v>
      </c>
      <c r="H322" s="74">
        <f ca="1">IFERROR(__xludf.DUMMYFUNCTION("""COMPUTED_VALUE"""),11.2)</f>
        <v>11.2</v>
      </c>
      <c r="I322" s="74">
        <f ca="1">IFERROR(__xludf.DUMMYFUNCTION("""COMPUTED_VALUE"""),15)</f>
        <v>15</v>
      </c>
    </row>
    <row r="323" spans="2:9" ht="27" customHeight="1">
      <c r="B323" s="73" t="str">
        <f ca="1">IFERROR(__xludf.DUMMYFUNCTION("""COMPUTED_VALUE"""),"Hilo Vicril 2-0 (punta Cónica )")</f>
        <v>Hilo Vicril 2-0 (punta Cónica )</v>
      </c>
      <c r="C323" s="73" t="str">
        <f ca="1">IFERROR(__xludf.DUMMYFUNCTION("""COMPUTED_VALUE"""),"Unidad")</f>
        <v>Unidad</v>
      </c>
      <c r="D323" s="73"/>
      <c r="E323" s="73" t="str">
        <f ca="1">IFERROR(__xludf.DUMMYFUNCTION("""COMPUTED_VALUE"""),"H&amp;L")</f>
        <v>H&amp;L</v>
      </c>
      <c r="F323" s="73"/>
      <c r="G323" s="74">
        <f ca="1">IFERROR(__xludf.DUMMYFUNCTION("""COMPUTED_VALUE"""),47.81)</f>
        <v>47.81</v>
      </c>
      <c r="H323" s="74">
        <f ca="1">IFERROR(__xludf.DUMMYFUNCTION("""COMPUTED_VALUE"""),66.934)</f>
        <v>66.933999999999997</v>
      </c>
      <c r="I323" s="74">
        <f ca="1">IFERROR(__xludf.DUMMYFUNCTION("""COMPUTED_VALUE"""),70)</f>
        <v>70</v>
      </c>
    </row>
    <row r="324" spans="2:9" ht="27" customHeight="1">
      <c r="B324" s="73" t="str">
        <f ca="1">IFERROR(__xludf.DUMMYFUNCTION("""COMPUTED_VALUE"""),"Hilo Vicril 3-0, Punta Cònica)")</f>
        <v>Hilo Vicril 3-0, Punta Cònica)</v>
      </c>
      <c r="C324" s="73" t="str">
        <f ca="1">IFERROR(__xludf.DUMMYFUNCTION("""COMPUTED_VALUE"""),"Unidad")</f>
        <v>Unidad</v>
      </c>
      <c r="D324" s="73"/>
      <c r="E324" s="73" t="str">
        <f ca="1">IFERROR(__xludf.DUMMYFUNCTION("""COMPUTED_VALUE"""),"H&amp;L")</f>
        <v>H&amp;L</v>
      </c>
      <c r="F324" s="73"/>
      <c r="G324" s="74">
        <f ca="1">IFERROR(__xludf.DUMMYFUNCTION("""COMPUTED_VALUE"""),99.5)</f>
        <v>99.5</v>
      </c>
      <c r="H324" s="74">
        <f ca="1">IFERROR(__xludf.DUMMYFUNCTION("""COMPUTED_VALUE"""),139.3)</f>
        <v>139.30000000000001</v>
      </c>
      <c r="I324" s="74">
        <f ca="1">IFERROR(__xludf.DUMMYFUNCTION("""COMPUTED_VALUE"""),140)</f>
        <v>140</v>
      </c>
    </row>
    <row r="325" spans="2:9" ht="27" customHeight="1">
      <c r="B325" s="73" t="str">
        <f ca="1">IFERROR(__xludf.DUMMYFUNCTION("""COMPUTED_VALUE"""),"Hilo Vicril 4-0")</f>
        <v>Hilo Vicril 4-0</v>
      </c>
      <c r="C325" s="73" t="str">
        <f ca="1">IFERROR(__xludf.DUMMYFUNCTION("""COMPUTED_VALUE"""),"Unidad")</f>
        <v>Unidad</v>
      </c>
      <c r="D325" s="73"/>
      <c r="E325" s="73" t="str">
        <f ca="1">IFERROR(__xludf.DUMMYFUNCTION("""COMPUTED_VALUE"""),"H&amp;L")</f>
        <v>H&amp;L</v>
      </c>
      <c r="F325" s="73"/>
      <c r="G325" s="74">
        <f ca="1">IFERROR(__xludf.DUMMYFUNCTION("""COMPUTED_VALUE"""),72.75)</f>
        <v>72.75</v>
      </c>
      <c r="H325" s="74">
        <f ca="1">IFERROR(__xludf.DUMMYFUNCTION("""COMPUTED_VALUE"""),101.85)</f>
        <v>101.85</v>
      </c>
      <c r="I325" s="74">
        <f ca="1">IFERROR(__xludf.DUMMYFUNCTION("""COMPUTED_VALUE"""),105)</f>
        <v>105</v>
      </c>
    </row>
    <row r="326" spans="2:9" ht="27" customHeight="1">
      <c r="B326" s="73" t="str">
        <f ca="1">IFERROR(__xludf.DUMMYFUNCTION("""COMPUTED_VALUE"""),"Hilo Vicril 5-0")</f>
        <v>Hilo Vicril 5-0</v>
      </c>
      <c r="C326" s="73" t="str">
        <f ca="1">IFERROR(__xludf.DUMMYFUNCTION("""COMPUTED_VALUE"""),"Unidad")</f>
        <v>Unidad</v>
      </c>
      <c r="D326" s="73"/>
      <c r="E326" s="73" t="str">
        <f ca="1">IFERROR(__xludf.DUMMYFUNCTION("""COMPUTED_VALUE"""),"H&amp;L")</f>
        <v>H&amp;L</v>
      </c>
      <c r="F326" s="73"/>
      <c r="G326" s="74">
        <f ca="1">IFERROR(__xludf.DUMMYFUNCTION("""COMPUTED_VALUE"""),9)</f>
        <v>9</v>
      </c>
      <c r="H326" s="74">
        <f ca="1">IFERROR(__xludf.DUMMYFUNCTION("""COMPUTED_VALUE"""),12.6)</f>
        <v>12.6</v>
      </c>
      <c r="I326" s="74">
        <f ca="1">IFERROR(__xludf.DUMMYFUNCTION("""COMPUTED_VALUE"""),20)</f>
        <v>20</v>
      </c>
    </row>
    <row r="327" spans="2:9" ht="27" customHeight="1">
      <c r="B327" s="73" t="str">
        <f ca="1">IFERROR(__xludf.DUMMYFUNCTION("""COMPUTED_VALUE"""),"Humificadores")</f>
        <v>Humificadores</v>
      </c>
      <c r="C327" s="73" t="str">
        <f ca="1">IFERROR(__xludf.DUMMYFUNCTION("""COMPUTED_VALUE"""),"Unidad")</f>
        <v>Unidad</v>
      </c>
      <c r="D327" s="73"/>
      <c r="E327" s="73" t="str">
        <f ca="1">IFERROR(__xludf.DUMMYFUNCTION("""COMPUTED_VALUE"""),"DAKO")</f>
        <v>DAKO</v>
      </c>
      <c r="F327" s="73"/>
      <c r="G327" s="74">
        <f ca="1">IFERROR(__xludf.DUMMYFUNCTION("""COMPUTED_VALUE"""),25)</f>
        <v>25</v>
      </c>
      <c r="H327" s="74">
        <f ca="1">IFERROR(__xludf.DUMMYFUNCTION("""COMPUTED_VALUE"""),35)</f>
        <v>35</v>
      </c>
      <c r="I327" s="74">
        <f ca="1">IFERROR(__xludf.DUMMYFUNCTION("""COMPUTED_VALUE"""),40)</f>
        <v>40</v>
      </c>
    </row>
    <row r="328" spans="2:9" ht="27" customHeight="1">
      <c r="B328" s="73" t="str">
        <f ca="1">IFERROR(__xludf.DUMMYFUNCTION("""COMPUTED_VALUE"""),"Hisopos de madera")</f>
        <v>Hisopos de madera</v>
      </c>
      <c r="C328" s="73" t="str">
        <f ca="1">IFERROR(__xludf.DUMMYFUNCTION("""COMPUTED_VALUE"""),"Bolsa 100 u.")</f>
        <v>Bolsa 100 u.</v>
      </c>
      <c r="D328" s="73"/>
      <c r="E328" s="73" t="str">
        <f ca="1">IFERROR(__xludf.DUMMYFUNCTION("""COMPUTED_VALUE"""),"H&amp;L")</f>
        <v>H&amp;L</v>
      </c>
      <c r="F328" s="73"/>
      <c r="G328" s="74">
        <f ca="1">IFERROR(__xludf.DUMMYFUNCTION("""COMPUTED_VALUE"""),6.5)</f>
        <v>6.5</v>
      </c>
      <c r="H328" s="74">
        <f ca="1">IFERROR(__xludf.DUMMYFUNCTION("""COMPUTED_VALUE"""),9.1)</f>
        <v>9.1</v>
      </c>
      <c r="I328" s="74">
        <f ca="1">IFERROR(__xludf.DUMMYFUNCTION("""COMPUTED_VALUE"""),15)</f>
        <v>15</v>
      </c>
    </row>
    <row r="329" spans="2:9" ht="27" customHeight="1">
      <c r="B329" s="73" t="str">
        <f ca="1">IFERROR(__xludf.DUMMYFUNCTION("""COMPUTED_VALUE"""),"Jeringa Desc. 1cc.")</f>
        <v>Jeringa Desc. 1cc.</v>
      </c>
      <c r="C329" s="73" t="str">
        <f ca="1">IFERROR(__xludf.DUMMYFUNCTION("""COMPUTED_VALUE"""),"caja 100 u,.")</f>
        <v>caja 100 u,.</v>
      </c>
      <c r="D329" s="73"/>
      <c r="E329" s="73" t="str">
        <f ca="1">IFERROR(__xludf.DUMMYFUNCTION("""COMPUTED_VALUE"""),"H&amp;L")</f>
        <v>H&amp;L</v>
      </c>
      <c r="F329" s="73"/>
      <c r="G329" s="74">
        <f ca="1">IFERROR(__xludf.DUMMYFUNCTION("""COMPUTED_VALUE"""),0.83)</f>
        <v>0.83</v>
      </c>
      <c r="H329" s="74">
        <f ca="1">IFERROR(__xludf.DUMMYFUNCTION("""COMPUTED_VALUE"""),1.162)</f>
        <v>1.1619999999999999</v>
      </c>
      <c r="I329" s="74">
        <f ca="1">IFERROR(__xludf.DUMMYFUNCTION("""COMPUTED_VALUE"""),5)</f>
        <v>5</v>
      </c>
    </row>
    <row r="330" spans="2:9" ht="27" customHeight="1">
      <c r="B330" s="73" t="str">
        <f ca="1">IFERROR(__xludf.DUMMYFUNCTION("""COMPUTED_VALUE"""),"Jeringa Desc. 3cc.")</f>
        <v>Jeringa Desc. 3cc.</v>
      </c>
      <c r="C330" s="73" t="str">
        <f ca="1">IFERROR(__xludf.DUMMYFUNCTION("""COMPUTED_VALUE"""),"caja 100 u,.")</f>
        <v>caja 100 u,.</v>
      </c>
      <c r="D330" s="73"/>
      <c r="E330" s="73" t="str">
        <f ca="1">IFERROR(__xludf.DUMMYFUNCTION("""COMPUTED_VALUE"""),"H&amp;L")</f>
        <v>H&amp;L</v>
      </c>
      <c r="F330" s="75">
        <f ca="1">IFERROR(__xludf.DUMMYFUNCTION("""COMPUTED_VALUE"""),45744)</f>
        <v>45744</v>
      </c>
      <c r="G330" s="74">
        <f ca="1">IFERROR(__xludf.DUMMYFUNCTION("""COMPUTED_VALUE"""),0.61)</f>
        <v>0.61</v>
      </c>
      <c r="H330" s="74">
        <f ca="1">IFERROR(__xludf.DUMMYFUNCTION("""COMPUTED_VALUE"""),0.854)</f>
        <v>0.85399999999999998</v>
      </c>
      <c r="I330" s="74">
        <f ca="1">IFERROR(__xludf.DUMMYFUNCTION("""COMPUTED_VALUE"""),5)</f>
        <v>5</v>
      </c>
    </row>
    <row r="331" spans="2:9" ht="27" customHeight="1">
      <c r="B331" s="73" t="str">
        <f ca="1">IFERROR(__xludf.DUMMYFUNCTION("""COMPUTED_VALUE"""),"Jeringa Desc. 5cc.")</f>
        <v>Jeringa Desc. 5cc.</v>
      </c>
      <c r="C331" s="73" t="str">
        <f ca="1">IFERROR(__xludf.DUMMYFUNCTION("""COMPUTED_VALUE"""),"caja 100 u,.")</f>
        <v>caja 100 u,.</v>
      </c>
      <c r="D331" s="73"/>
      <c r="E331" s="73" t="str">
        <f ca="1">IFERROR(__xludf.DUMMYFUNCTION("""COMPUTED_VALUE"""),"H&amp;L")</f>
        <v>H&amp;L</v>
      </c>
      <c r="F331" s="75">
        <f ca="1">IFERROR(__xludf.DUMMYFUNCTION("""COMPUTED_VALUE"""),45775)</f>
        <v>45775</v>
      </c>
      <c r="G331" s="74">
        <f ca="1">IFERROR(__xludf.DUMMYFUNCTION("""COMPUTED_VALUE"""),0.64)</f>
        <v>0.64</v>
      </c>
      <c r="H331" s="74">
        <f ca="1">IFERROR(__xludf.DUMMYFUNCTION("""COMPUTED_VALUE"""),0.896)</f>
        <v>0.89600000000000002</v>
      </c>
      <c r="I331" s="74">
        <f ca="1">IFERROR(__xludf.DUMMYFUNCTION("""COMPUTED_VALUE"""),5)</f>
        <v>5</v>
      </c>
    </row>
    <row r="332" spans="2:9" ht="27" customHeight="1">
      <c r="B332" s="73" t="str">
        <f ca="1">IFERROR(__xludf.DUMMYFUNCTION("""COMPUTED_VALUE"""),"Jeringa Desc. 10.cc")</f>
        <v>Jeringa Desc. 10.cc</v>
      </c>
      <c r="C332" s="73" t="str">
        <f ca="1">IFERROR(__xludf.DUMMYFUNCTION("""COMPUTED_VALUE"""),"caja 100 u,.")</f>
        <v>caja 100 u,.</v>
      </c>
      <c r="D332" s="73"/>
      <c r="E332" s="73" t="str">
        <f ca="1">IFERROR(__xludf.DUMMYFUNCTION("""COMPUTED_VALUE"""),"H&amp;L")</f>
        <v>H&amp;L</v>
      </c>
      <c r="F332" s="75">
        <f ca="1">IFERROR(__xludf.DUMMYFUNCTION("""COMPUTED_VALUE"""),45896)</f>
        <v>45896</v>
      </c>
      <c r="G332" s="74">
        <f ca="1">IFERROR(__xludf.DUMMYFUNCTION("""COMPUTED_VALUE"""),0.97)</f>
        <v>0.97</v>
      </c>
      <c r="H332" s="74">
        <f ca="1">IFERROR(__xludf.DUMMYFUNCTION("""COMPUTED_VALUE"""),1.358)</f>
        <v>1.3580000000000001</v>
      </c>
      <c r="I332" s="74">
        <f ca="1">IFERROR(__xludf.DUMMYFUNCTION("""COMPUTED_VALUE"""),5)</f>
        <v>5</v>
      </c>
    </row>
    <row r="333" spans="2:9" ht="27" customHeight="1">
      <c r="B333" s="73" t="str">
        <f ca="1">IFERROR(__xludf.DUMMYFUNCTION("""COMPUTED_VALUE"""),"Jeringa Desc. 20cc")</f>
        <v>Jeringa Desc. 20cc</v>
      </c>
      <c r="C333" s="73" t="str">
        <f ca="1">IFERROR(__xludf.DUMMYFUNCTION("""COMPUTED_VALUE"""),"caja 50")</f>
        <v>caja 50</v>
      </c>
      <c r="D333" s="73"/>
      <c r="E333" s="73" t="str">
        <f ca="1">IFERROR(__xludf.DUMMYFUNCTION("""COMPUTED_VALUE"""),"H&amp;L")</f>
        <v>H&amp;L</v>
      </c>
      <c r="F333" s="75">
        <f ca="1">IFERROR(__xludf.DUMMYFUNCTION("""COMPUTED_VALUE"""),45898)</f>
        <v>45898</v>
      </c>
      <c r="G333" s="74">
        <f ca="1">IFERROR(__xludf.DUMMYFUNCTION("""COMPUTED_VALUE"""),0.85)</f>
        <v>0.85</v>
      </c>
      <c r="H333" s="74">
        <f ca="1">IFERROR(__xludf.DUMMYFUNCTION("""COMPUTED_VALUE"""),1.19)</f>
        <v>1.19</v>
      </c>
      <c r="I333" s="74">
        <f ca="1">IFERROR(__xludf.DUMMYFUNCTION("""COMPUTED_VALUE"""),5)</f>
        <v>5</v>
      </c>
    </row>
    <row r="334" spans="2:9" ht="27" customHeight="1">
      <c r="B334" s="73" t="str">
        <f ca="1">IFERROR(__xludf.DUMMYFUNCTION("""COMPUTED_VALUE"""),"Mascarilla p/oxigeno c/res. L")</f>
        <v>Mascarilla p/oxigeno c/res. L</v>
      </c>
      <c r="C334" s="73" t="str">
        <f ca="1">IFERROR(__xludf.DUMMYFUNCTION("""COMPUTED_VALUE"""),"Unidad")</f>
        <v>Unidad</v>
      </c>
      <c r="D334" s="73"/>
      <c r="E334" s="73" t="str">
        <f ca="1">IFERROR(__xludf.DUMMYFUNCTION("""COMPUTED_VALUE"""),"H&amp;L")</f>
        <v>H&amp;L</v>
      </c>
      <c r="F334" s="75">
        <f ca="1">IFERROR(__xludf.DUMMYFUNCTION("""COMPUTED_VALUE"""),45837)</f>
        <v>45837</v>
      </c>
      <c r="G334" s="74">
        <f ca="1">IFERROR(__xludf.DUMMYFUNCTION("""COMPUTED_VALUE"""),15)</f>
        <v>15</v>
      </c>
      <c r="H334" s="74">
        <f ca="1">IFERROR(__xludf.DUMMYFUNCTION("""COMPUTED_VALUE"""),21)</f>
        <v>21</v>
      </c>
      <c r="I334" s="74">
        <f ca="1">IFERROR(__xludf.DUMMYFUNCTION("""COMPUTED_VALUE"""),30)</f>
        <v>30</v>
      </c>
    </row>
    <row r="335" spans="2:9" ht="27" customHeight="1">
      <c r="B335" s="73" t="str">
        <f ca="1">IFERROR(__xludf.DUMMYFUNCTION("""COMPUTED_VALUE"""),"Mascarilla p/oxigeno c/res. M")</f>
        <v>Mascarilla p/oxigeno c/res. M</v>
      </c>
      <c r="C335" s="73" t="str">
        <f ca="1">IFERROR(__xludf.DUMMYFUNCTION("""COMPUTED_VALUE"""),"Unidad")</f>
        <v>Unidad</v>
      </c>
      <c r="D335" s="73"/>
      <c r="E335" s="73" t="str">
        <f ca="1">IFERROR(__xludf.DUMMYFUNCTION("""COMPUTED_VALUE"""),"H&amp;L")</f>
        <v>H&amp;L</v>
      </c>
      <c r="F335" s="75">
        <f ca="1">IFERROR(__xludf.DUMMYFUNCTION("""COMPUTED_VALUE"""),45865)</f>
        <v>45865</v>
      </c>
      <c r="G335" s="74">
        <f ca="1">IFERROR(__xludf.DUMMYFUNCTION("""COMPUTED_VALUE"""),20)</f>
        <v>20</v>
      </c>
      <c r="H335" s="74">
        <f ca="1">IFERROR(__xludf.DUMMYFUNCTION("""COMPUTED_VALUE"""),28)</f>
        <v>28</v>
      </c>
      <c r="I335" s="74">
        <f ca="1">IFERROR(__xludf.DUMMYFUNCTION("""COMPUTED_VALUE"""),30)</f>
        <v>30</v>
      </c>
    </row>
    <row r="336" spans="2:9" ht="27" customHeight="1">
      <c r="B336" s="73" t="str">
        <f ca="1">IFERROR(__xludf.DUMMYFUNCTION("""COMPUTED_VALUE"""),"Mascarilla p/Nebulizar Talla L")</f>
        <v>Mascarilla p/Nebulizar Talla L</v>
      </c>
      <c r="C336" s="73" t="str">
        <f ca="1">IFERROR(__xludf.DUMMYFUNCTION("""COMPUTED_VALUE"""),"Unidad")</f>
        <v>Unidad</v>
      </c>
      <c r="D336" s="73"/>
      <c r="E336" s="73" t="str">
        <f ca="1">IFERROR(__xludf.DUMMYFUNCTION("""COMPUTED_VALUE"""),"H&amp;L")</f>
        <v>H&amp;L</v>
      </c>
      <c r="F336" s="73"/>
      <c r="G336" s="74">
        <f ca="1">IFERROR(__xludf.DUMMYFUNCTION("""COMPUTED_VALUE"""),12.5)</f>
        <v>12.5</v>
      </c>
      <c r="H336" s="74">
        <f ca="1">IFERROR(__xludf.DUMMYFUNCTION("""COMPUTED_VALUE"""),17.5)</f>
        <v>17.5</v>
      </c>
      <c r="I336" s="74">
        <f ca="1">IFERROR(__xludf.DUMMYFUNCTION("""COMPUTED_VALUE"""),25)</f>
        <v>25</v>
      </c>
    </row>
    <row r="337" spans="2:9" ht="27" customHeight="1">
      <c r="B337" s="73" t="str">
        <f ca="1">IFERROR(__xludf.DUMMYFUNCTION("""COMPUTED_VALUE"""),"Mascarillas p/nebulizar talla M")</f>
        <v>Mascarillas p/nebulizar talla M</v>
      </c>
      <c r="C337" s="73" t="str">
        <f ca="1">IFERROR(__xludf.DUMMYFUNCTION("""COMPUTED_VALUE"""),"caja 50 unid.")</f>
        <v>caja 50 unid.</v>
      </c>
      <c r="D337" s="73"/>
      <c r="E337" s="73" t="str">
        <f ca="1">IFERROR(__xludf.DUMMYFUNCTION("""COMPUTED_VALUE"""),"H&amp;L")</f>
        <v>H&amp;L</v>
      </c>
      <c r="F337" s="75">
        <f ca="1">IFERROR(__xludf.DUMMYFUNCTION("""COMPUTED_VALUE"""),45834)</f>
        <v>45834</v>
      </c>
      <c r="G337" s="74">
        <f ca="1">IFERROR(__xludf.DUMMYFUNCTION("""COMPUTED_VALUE"""),14.25)</f>
        <v>14.25</v>
      </c>
      <c r="H337" s="74">
        <f ca="1">IFERROR(__xludf.DUMMYFUNCTION("""COMPUTED_VALUE"""),19.95)</f>
        <v>19.95</v>
      </c>
      <c r="I337" s="74">
        <f ca="1">IFERROR(__xludf.DUMMYFUNCTION("""COMPUTED_VALUE"""),25)</f>
        <v>25</v>
      </c>
    </row>
    <row r="338" spans="2:9" ht="27" customHeight="1">
      <c r="B338" s="73" t="str">
        <f ca="1">IFERROR(__xludf.DUMMYFUNCTION("""COMPUTED_VALUE"""),"Microgoteros")</f>
        <v>Microgoteros</v>
      </c>
      <c r="C338" s="73" t="str">
        <f ca="1">IFERROR(__xludf.DUMMYFUNCTION("""COMPUTED_VALUE"""),"Unidad")</f>
        <v>Unidad</v>
      </c>
      <c r="D338" s="73"/>
      <c r="E338" s="73" t="str">
        <f ca="1">IFERROR(__xludf.DUMMYFUNCTION("""COMPUTED_VALUE"""),"H&amp;L")</f>
        <v>H&amp;L</v>
      </c>
      <c r="F338" s="75">
        <f ca="1">IFERROR(__xludf.DUMMYFUNCTION("""COMPUTED_VALUE"""),45837)</f>
        <v>45837</v>
      </c>
      <c r="G338" s="74">
        <f ca="1">IFERROR(__xludf.DUMMYFUNCTION("""COMPUTED_VALUE"""),17.4)</f>
        <v>17.399999999999999</v>
      </c>
      <c r="H338" s="74">
        <f ca="1">IFERROR(__xludf.DUMMYFUNCTION("""COMPUTED_VALUE"""),24.36)</f>
        <v>24.36</v>
      </c>
      <c r="I338" s="74">
        <f ca="1">IFERROR(__xludf.DUMMYFUNCTION("""COMPUTED_VALUE"""),30)</f>
        <v>30</v>
      </c>
    </row>
    <row r="339" spans="2:9" ht="27" customHeight="1">
      <c r="B339" s="73" t="str">
        <f ca="1">IFERROR(__xludf.DUMMYFUNCTION("""COMPUTED_VALUE"""),"Micropore 1 Pulgada")</f>
        <v>Micropore 1 Pulgada</v>
      </c>
      <c r="C339" s="73" t="str">
        <f ca="1">IFERROR(__xludf.DUMMYFUNCTION("""COMPUTED_VALUE"""),"Unidad")</f>
        <v>Unidad</v>
      </c>
      <c r="D339" s="73"/>
      <c r="E339" s="73" t="str">
        <f ca="1">IFERROR(__xludf.DUMMYFUNCTION("""COMPUTED_VALUE"""),"H&amp;L")</f>
        <v>H&amp;L</v>
      </c>
      <c r="F339" s="75">
        <f ca="1">IFERROR(__xludf.DUMMYFUNCTION("""COMPUTED_VALUE"""),45867)</f>
        <v>45867</v>
      </c>
      <c r="G339" s="74">
        <f ca="1">IFERROR(__xludf.DUMMYFUNCTION("""COMPUTED_VALUE"""),7.92)</f>
        <v>7.92</v>
      </c>
      <c r="H339" s="74">
        <f ca="1">IFERROR(__xludf.DUMMYFUNCTION("""COMPUTED_VALUE"""),11.088)</f>
        <v>11.087999999999999</v>
      </c>
      <c r="I339" s="74">
        <f ca="1">IFERROR(__xludf.DUMMYFUNCTION("""COMPUTED_VALUE"""),10)</f>
        <v>10</v>
      </c>
    </row>
    <row r="340" spans="2:9" ht="27" customHeight="1">
      <c r="B340" s="73" t="str">
        <f ca="1">IFERROR(__xludf.DUMMYFUNCTION("""COMPUTED_VALUE"""),"Papel Crepado 110*240")</f>
        <v>Papel Crepado 110*240</v>
      </c>
      <c r="C340" s="73" t="str">
        <f ca="1">IFERROR(__xludf.DUMMYFUNCTION("""COMPUTED_VALUE"""),"Rollo")</f>
        <v>Rollo</v>
      </c>
      <c r="D340" s="73"/>
      <c r="E340" s="73" t="str">
        <f ca="1">IFERROR(__xludf.DUMMYFUNCTION("""COMPUTED_VALUE"""),"PROVEEDORA QUIRÚRGICA")</f>
        <v>PROVEEDORA QUIRÚRGICA</v>
      </c>
      <c r="F340" s="75">
        <f ca="1">IFERROR(__xludf.DUMMYFUNCTION("""COMPUTED_VALUE"""),45867)</f>
        <v>45867</v>
      </c>
      <c r="G340" s="74">
        <f ca="1">IFERROR(__xludf.DUMMYFUNCTION("""COMPUTED_VALUE"""),1500)</f>
        <v>1500</v>
      </c>
      <c r="H340" s="74">
        <f ca="1">IFERROR(__xludf.DUMMYFUNCTION("""COMPUTED_VALUE"""),2100)</f>
        <v>2100</v>
      </c>
      <c r="I340" s="74">
        <f ca="1">IFERROR(__xludf.DUMMYFUNCTION("""COMPUTED_VALUE"""),2200)</f>
        <v>2200</v>
      </c>
    </row>
    <row r="341" spans="2:9" ht="27" customHeight="1">
      <c r="B341" s="73" t="str">
        <f ca="1">IFERROR(__xludf.DUMMYFUNCTION("""COMPUTED_VALUE"""),"Pañale Desechable Adulto")</f>
        <v>Pañale Desechable Adulto</v>
      </c>
      <c r="C341" s="73" t="str">
        <f ca="1">IFERROR(__xludf.DUMMYFUNCTION("""COMPUTED_VALUE"""),"paquete 6")</f>
        <v>paquete 6</v>
      </c>
      <c r="D341" s="73"/>
      <c r="E341" s="73" t="str">
        <f ca="1">IFERROR(__xludf.DUMMYFUNCTION("""COMPUTED_VALUE"""),"SUPER MAS")</f>
        <v>SUPER MAS</v>
      </c>
      <c r="F341" s="73"/>
      <c r="G341" s="74">
        <f ca="1">IFERROR(__xludf.DUMMYFUNCTION("""COMPUTED_VALUE"""),4.86)</f>
        <v>4.8600000000000003</v>
      </c>
      <c r="H341" s="74">
        <f ca="1">IFERROR(__xludf.DUMMYFUNCTION("""COMPUTED_VALUE"""),6.804)</f>
        <v>6.8040000000000003</v>
      </c>
      <c r="I341" s="74">
        <f ca="1">IFERROR(__xludf.DUMMYFUNCTION("""COMPUTED_VALUE"""),10)</f>
        <v>10</v>
      </c>
    </row>
    <row r="342" spans="2:9" ht="27" customHeight="1">
      <c r="B342" s="73" t="str">
        <f ca="1">IFERROR(__xludf.DUMMYFUNCTION("""COMPUTED_VALUE"""),"Pañal Desechable Niño")</f>
        <v>Pañal Desechable Niño</v>
      </c>
      <c r="C342" s="73" t="str">
        <f ca="1">IFERROR(__xludf.DUMMYFUNCTION("""COMPUTED_VALUE"""),"UNIDAD")</f>
        <v>UNIDAD</v>
      </c>
      <c r="D342" s="73"/>
      <c r="E342" s="73" t="str">
        <f ca="1">IFERROR(__xludf.DUMMYFUNCTION("""COMPUTED_VALUE"""),"INNOVA MED")</f>
        <v>INNOVA MED</v>
      </c>
      <c r="F342" s="75">
        <f ca="1">IFERROR(__xludf.DUMMYFUNCTION("""COMPUTED_VALUE"""),45866)</f>
        <v>45866</v>
      </c>
      <c r="G342" s="74">
        <f ca="1">IFERROR(__xludf.DUMMYFUNCTION("""COMPUTED_VALUE"""),2.08)</f>
        <v>2.08</v>
      </c>
      <c r="H342" s="74">
        <f ca="1">IFERROR(__xludf.DUMMYFUNCTION("""COMPUTED_VALUE"""),2.912)</f>
        <v>2.9119999999999999</v>
      </c>
      <c r="I342" s="74">
        <f ca="1">IFERROR(__xludf.DUMMYFUNCTION("""COMPUTED_VALUE"""),5)</f>
        <v>5</v>
      </c>
    </row>
    <row r="343" spans="2:9" ht="27" customHeight="1">
      <c r="B343" s="73" t="str">
        <f ca="1">IFERROR(__xludf.DUMMYFUNCTION("""COMPUTED_VALUE"""),"Sonda Foley No. 12")</f>
        <v>Sonda Foley No. 12</v>
      </c>
      <c r="C343" s="73" t="str">
        <f ca="1">IFERROR(__xludf.DUMMYFUNCTION("""COMPUTED_VALUE"""),"Unidad")</f>
        <v>Unidad</v>
      </c>
      <c r="D343" s="73"/>
      <c r="E343" s="73" t="str">
        <f ca="1">IFERROR(__xludf.DUMMYFUNCTION("""COMPUTED_VALUE"""),"H&amp;L")</f>
        <v>H&amp;L</v>
      </c>
      <c r="F343" s="73"/>
      <c r="G343" s="74">
        <f ca="1">IFERROR(__xludf.DUMMYFUNCTION("""COMPUTED_VALUE"""),3.5)</f>
        <v>3.5</v>
      </c>
      <c r="H343" s="74">
        <f ca="1">IFERROR(__xludf.DUMMYFUNCTION("""COMPUTED_VALUE"""),4.9)</f>
        <v>4.9000000000000004</v>
      </c>
      <c r="I343" s="74">
        <f ca="1">IFERROR(__xludf.DUMMYFUNCTION("""COMPUTED_VALUE"""),20)</f>
        <v>20</v>
      </c>
    </row>
    <row r="344" spans="2:9" ht="27" customHeight="1">
      <c r="B344" s="73" t="str">
        <f ca="1">IFERROR(__xludf.DUMMYFUNCTION("""COMPUTED_VALUE"""),"Sonda Foley 14")</f>
        <v>Sonda Foley 14</v>
      </c>
      <c r="C344" s="73" t="str">
        <f ca="1">IFERROR(__xludf.DUMMYFUNCTION("""COMPUTED_VALUE"""),"Unidad")</f>
        <v>Unidad</v>
      </c>
      <c r="D344" s="73"/>
      <c r="E344" s="73" t="str">
        <f ca="1">IFERROR(__xludf.DUMMYFUNCTION("""COMPUTED_VALUE"""),"H&amp;L")</f>
        <v>H&amp;L</v>
      </c>
      <c r="F344" s="75">
        <f ca="1">IFERROR(__xludf.DUMMYFUNCTION("""COMPUTED_VALUE"""),45987)</f>
        <v>45987</v>
      </c>
      <c r="G344" s="74">
        <f ca="1">IFERROR(__xludf.DUMMYFUNCTION("""COMPUTED_VALUE"""),3.5)</f>
        <v>3.5</v>
      </c>
      <c r="H344" s="74">
        <f ca="1">IFERROR(__xludf.DUMMYFUNCTION("""COMPUTED_VALUE"""),4.9)</f>
        <v>4.9000000000000004</v>
      </c>
      <c r="I344" s="74">
        <f ca="1">IFERROR(__xludf.DUMMYFUNCTION("""COMPUTED_VALUE"""),20)</f>
        <v>20</v>
      </c>
    </row>
    <row r="345" spans="2:9" ht="27" customHeight="1">
      <c r="B345" s="73" t="str">
        <f ca="1">IFERROR(__xludf.DUMMYFUNCTION("""COMPUTED_VALUE"""),"Sonda Foley No. 16")</f>
        <v>Sonda Foley No. 16</v>
      </c>
      <c r="C345" s="73" t="str">
        <f ca="1">IFERROR(__xludf.DUMMYFUNCTION("""COMPUTED_VALUE"""),"Unidad")</f>
        <v>Unidad</v>
      </c>
      <c r="D345" s="73"/>
      <c r="E345" s="73" t="str">
        <f ca="1">IFERROR(__xludf.DUMMYFUNCTION("""COMPUTED_VALUE"""),"H&amp;L")</f>
        <v>H&amp;L</v>
      </c>
      <c r="F345" s="75">
        <f ca="1">IFERROR(__xludf.DUMMYFUNCTION("""COMPUTED_VALUE"""),45834)</f>
        <v>45834</v>
      </c>
      <c r="G345" s="74">
        <f ca="1">IFERROR(__xludf.DUMMYFUNCTION("""COMPUTED_VALUE"""),7)</f>
        <v>7</v>
      </c>
      <c r="H345" s="74">
        <f ca="1">IFERROR(__xludf.DUMMYFUNCTION("""COMPUTED_VALUE"""),9.8)</f>
        <v>9.8000000000000007</v>
      </c>
      <c r="I345" s="74">
        <f ca="1">IFERROR(__xludf.DUMMYFUNCTION("""COMPUTED_VALUE"""),20)</f>
        <v>20</v>
      </c>
    </row>
    <row r="346" spans="2:9" ht="27" customHeight="1">
      <c r="B346" s="73" t="str">
        <f ca="1">IFERROR(__xludf.DUMMYFUNCTION("""COMPUTED_VALUE"""),"Sonda Foley 18")</f>
        <v>Sonda Foley 18</v>
      </c>
      <c r="C346" s="73" t="str">
        <f ca="1">IFERROR(__xludf.DUMMYFUNCTION("""COMPUTED_VALUE"""),"Unidad")</f>
        <v>Unidad</v>
      </c>
      <c r="D346" s="73"/>
      <c r="E346" s="73" t="str">
        <f ca="1">IFERROR(__xludf.DUMMYFUNCTION("""COMPUTED_VALUE"""),"H&amp;L")</f>
        <v>H&amp;L</v>
      </c>
      <c r="F346" s="75">
        <f ca="1">IFERROR(__xludf.DUMMYFUNCTION("""COMPUTED_VALUE"""),45927)</f>
        <v>45927</v>
      </c>
      <c r="G346" s="74">
        <f ca="1">IFERROR(__xludf.DUMMYFUNCTION("""COMPUTED_VALUE"""),3.5)</f>
        <v>3.5</v>
      </c>
      <c r="H346" s="74">
        <f ca="1">IFERROR(__xludf.DUMMYFUNCTION("""COMPUTED_VALUE"""),4.9)</f>
        <v>4.9000000000000004</v>
      </c>
      <c r="I346" s="74">
        <f ca="1">IFERROR(__xludf.DUMMYFUNCTION("""COMPUTED_VALUE"""),20)</f>
        <v>20</v>
      </c>
    </row>
    <row r="347" spans="2:9" ht="27" customHeight="1">
      <c r="B347" s="73" t="str">
        <f ca="1">IFERROR(__xludf.DUMMYFUNCTION("""COMPUTED_VALUE"""),"Sonda Foley 16 3 vias")</f>
        <v>Sonda Foley 16 3 vias</v>
      </c>
      <c r="C347" s="73" t="str">
        <f ca="1">IFERROR(__xludf.DUMMYFUNCTION("""COMPUTED_VALUE"""),"Unidad")</f>
        <v>Unidad</v>
      </c>
      <c r="D347" s="73"/>
      <c r="E347" s="73" t="str">
        <f ca="1">IFERROR(__xludf.DUMMYFUNCTION("""COMPUTED_VALUE"""),"H&amp;L")</f>
        <v>H&amp;L</v>
      </c>
      <c r="F347" s="75">
        <f ca="1">IFERROR(__xludf.DUMMYFUNCTION("""COMPUTED_VALUE"""),45864)</f>
        <v>45864</v>
      </c>
      <c r="G347" s="74">
        <f ca="1">IFERROR(__xludf.DUMMYFUNCTION("""COMPUTED_VALUE"""),3.5)</f>
        <v>3.5</v>
      </c>
      <c r="H347" s="74">
        <f ca="1">IFERROR(__xludf.DUMMYFUNCTION("""COMPUTED_VALUE"""),4.9)</f>
        <v>4.9000000000000004</v>
      </c>
      <c r="I347" s="74">
        <f ca="1">IFERROR(__xludf.DUMMYFUNCTION("""COMPUTED_VALUE"""),20)</f>
        <v>20</v>
      </c>
    </row>
    <row r="348" spans="2:9" ht="27" customHeight="1">
      <c r="B348" s="73" t="str">
        <f ca="1">IFERROR(__xludf.DUMMYFUNCTION("""COMPUTED_VALUE"""),"Sonda Foley 18 3 vias")</f>
        <v>Sonda Foley 18 3 vias</v>
      </c>
      <c r="C348" s="73" t="str">
        <f ca="1">IFERROR(__xludf.DUMMYFUNCTION("""COMPUTED_VALUE"""),"Unidad")</f>
        <v>Unidad</v>
      </c>
      <c r="D348" s="73"/>
      <c r="E348" s="73" t="str">
        <f ca="1">IFERROR(__xludf.DUMMYFUNCTION("""COMPUTED_VALUE"""),"H&amp;L")</f>
        <v>H&amp;L</v>
      </c>
      <c r="F348" s="75">
        <f ca="1">IFERROR(__xludf.DUMMYFUNCTION("""COMPUTED_VALUE"""),45864)</f>
        <v>45864</v>
      </c>
      <c r="G348" s="74">
        <f ca="1">IFERROR(__xludf.DUMMYFUNCTION("""COMPUTED_VALUE"""),2.5)</f>
        <v>2.5</v>
      </c>
      <c r="H348" s="74">
        <f ca="1">IFERROR(__xludf.DUMMYFUNCTION("""COMPUTED_VALUE"""),3.5)</f>
        <v>3.5</v>
      </c>
      <c r="I348" s="74">
        <f ca="1">IFERROR(__xludf.DUMMYFUNCTION("""COMPUTED_VALUE"""),20)</f>
        <v>20</v>
      </c>
    </row>
    <row r="349" spans="2:9" ht="27" customHeight="1">
      <c r="B349" s="73" t="str">
        <f ca="1">IFERROR(__xludf.DUMMYFUNCTION("""COMPUTED_VALUE"""),"Sonda Foley 20 3 vias")</f>
        <v>Sonda Foley 20 3 vias</v>
      </c>
      <c r="C349" s="73" t="str">
        <f ca="1">IFERROR(__xludf.DUMMYFUNCTION("""COMPUTED_VALUE"""),"Unidad")</f>
        <v>Unidad</v>
      </c>
      <c r="D349" s="73"/>
      <c r="E349" s="73" t="str">
        <f ca="1">IFERROR(__xludf.DUMMYFUNCTION("""COMPUTED_VALUE"""),"H&amp;L")</f>
        <v>H&amp;L</v>
      </c>
      <c r="F349" s="75">
        <f ca="1">IFERROR(__xludf.DUMMYFUNCTION("""COMPUTED_VALUE"""),45803)</f>
        <v>45803</v>
      </c>
      <c r="G349" s="74">
        <f ca="1">IFERROR(__xludf.DUMMYFUNCTION("""COMPUTED_VALUE"""),8)</f>
        <v>8</v>
      </c>
      <c r="H349" s="74">
        <f ca="1">IFERROR(__xludf.DUMMYFUNCTION("""COMPUTED_VALUE"""),11.2)</f>
        <v>11.2</v>
      </c>
      <c r="I349" s="74">
        <f ca="1">IFERROR(__xludf.DUMMYFUNCTION("""COMPUTED_VALUE"""),20)</f>
        <v>20</v>
      </c>
    </row>
    <row r="350" spans="2:9" ht="27" customHeight="1">
      <c r="B350" s="73" t="str">
        <f ca="1">IFERROR(__xludf.DUMMYFUNCTION("""COMPUTED_VALUE"""),"Sonda Foley 22 3 vias")</f>
        <v>Sonda Foley 22 3 vias</v>
      </c>
      <c r="C350" s="73" t="str">
        <f ca="1">IFERROR(__xludf.DUMMYFUNCTION("""COMPUTED_VALUE"""),"Unidad")</f>
        <v>Unidad</v>
      </c>
      <c r="D350" s="73"/>
      <c r="E350" s="73" t="str">
        <f ca="1">IFERROR(__xludf.DUMMYFUNCTION("""COMPUTED_VALUE"""),"H&amp;L")</f>
        <v>H&amp;L</v>
      </c>
      <c r="F350" s="75">
        <f ca="1">IFERROR(__xludf.DUMMYFUNCTION("""COMPUTED_VALUE"""),46018)</f>
        <v>46018</v>
      </c>
      <c r="G350" s="74">
        <f ca="1">IFERROR(__xludf.DUMMYFUNCTION("""COMPUTED_VALUE"""),8)</f>
        <v>8</v>
      </c>
      <c r="H350" s="74">
        <f ca="1">IFERROR(__xludf.DUMMYFUNCTION("""COMPUTED_VALUE"""),11.2)</f>
        <v>11.2</v>
      </c>
      <c r="I350" s="74">
        <f ca="1">IFERROR(__xludf.DUMMYFUNCTION("""COMPUTED_VALUE"""),20)</f>
        <v>20</v>
      </c>
    </row>
    <row r="351" spans="2:9" ht="27" customHeight="1">
      <c r="B351" s="73" t="str">
        <f ca="1">IFERROR(__xludf.DUMMYFUNCTION("""COMPUTED_VALUE"""),"SONDA DE ALIMENTACIÓN #10")</f>
        <v>SONDA DE ALIMENTACIÓN #10</v>
      </c>
      <c r="C351" s="73" t="str">
        <f ca="1">IFERROR(__xludf.DUMMYFUNCTION("""COMPUTED_VALUE"""),"UNIDAD")</f>
        <v>UNIDAD</v>
      </c>
      <c r="D351" s="73"/>
      <c r="E351" s="73" t="str">
        <f ca="1">IFERROR(__xludf.DUMMYFUNCTION("""COMPUTED_VALUE"""),"H&amp;L")</f>
        <v>H&amp;L</v>
      </c>
      <c r="F351" s="75">
        <f ca="1">IFERROR(__xludf.DUMMYFUNCTION("""COMPUTED_VALUE"""),45774)</f>
        <v>45774</v>
      </c>
      <c r="G351" s="74">
        <f ca="1">IFERROR(__xludf.DUMMYFUNCTION("""COMPUTED_VALUE"""),46722)</f>
        <v>46722</v>
      </c>
      <c r="H351" s="74">
        <f ca="1">IFERROR(__xludf.DUMMYFUNCTION("""COMPUTED_VALUE"""),65410.8)</f>
        <v>65410.8</v>
      </c>
      <c r="I351" s="74">
        <f ca="1">IFERROR(__xludf.DUMMYFUNCTION("""COMPUTED_VALUE"""),25)</f>
        <v>25</v>
      </c>
    </row>
    <row r="352" spans="2:9" ht="27" customHeight="1">
      <c r="B352" s="73" t="str">
        <f ca="1">IFERROR(__xludf.DUMMYFUNCTION("""COMPUTED_VALUE"""),"SONDA DE ALIMENTACIÓN #5")</f>
        <v>SONDA DE ALIMENTACIÓN #5</v>
      </c>
      <c r="C352" s="73" t="str">
        <f ca="1">IFERROR(__xludf.DUMMYFUNCTION("""COMPUTED_VALUE"""),"UNIDAD")</f>
        <v>UNIDAD</v>
      </c>
      <c r="D352" s="73"/>
      <c r="E352" s="73" t="str">
        <f ca="1">IFERROR(__xludf.DUMMYFUNCTION("""COMPUTED_VALUE"""),"H&amp;L")</f>
        <v>H&amp;L</v>
      </c>
      <c r="F352" s="73" t="str">
        <f ca="1">IFERROR(__xludf.DUMMYFUNCTION("""COMPUTED_VALUE"""),"INSUMEDIC GT")</f>
        <v>INSUMEDIC GT</v>
      </c>
      <c r="G352" s="74">
        <f ca="1">IFERROR(__xludf.DUMMYFUNCTION("""COMPUTED_VALUE"""),47119)</f>
        <v>47119</v>
      </c>
      <c r="H352" s="74">
        <f ca="1">IFERROR(__xludf.DUMMYFUNCTION("""COMPUTED_VALUE"""),65966.6)</f>
        <v>65966.600000000006</v>
      </c>
      <c r="I352" s="74">
        <f ca="1">IFERROR(__xludf.DUMMYFUNCTION("""COMPUTED_VALUE"""),25)</f>
        <v>25</v>
      </c>
    </row>
    <row r="353" spans="2:9" ht="27" customHeight="1">
      <c r="B353" s="73" t="str">
        <f ca="1">IFERROR(__xludf.DUMMYFUNCTION("""COMPUTED_VALUE"""),"SONDA DE ALIMENTACIÓN #8")</f>
        <v>SONDA DE ALIMENTACIÓN #8</v>
      </c>
      <c r="C353" s="73" t="str">
        <f ca="1">IFERROR(__xludf.DUMMYFUNCTION("""COMPUTED_VALUE"""),"UNIDAD")</f>
        <v>UNIDAD</v>
      </c>
      <c r="D353" s="73"/>
      <c r="E353" s="73" t="str">
        <f ca="1">IFERROR(__xludf.DUMMYFUNCTION("""COMPUTED_VALUE"""),"H&amp;L")</f>
        <v>H&amp;L</v>
      </c>
      <c r="F353" s="73" t="str">
        <f ca="1">IFERROR(__xludf.DUMMYFUNCTION("""COMPUTED_VALUE"""),"INSUMEDIC GT")</f>
        <v>INSUMEDIC GT</v>
      </c>
      <c r="G353" s="74">
        <f ca="1">IFERROR(__xludf.DUMMYFUNCTION("""COMPUTED_VALUE"""),47119)</f>
        <v>47119</v>
      </c>
      <c r="H353" s="74">
        <f ca="1">IFERROR(__xludf.DUMMYFUNCTION("""COMPUTED_VALUE"""),65966.6)</f>
        <v>65966.600000000006</v>
      </c>
      <c r="I353" s="74">
        <f ca="1">IFERROR(__xludf.DUMMYFUNCTION("""COMPUTED_VALUE"""),25)</f>
        <v>25</v>
      </c>
    </row>
    <row r="354" spans="2:9" ht="27" customHeight="1">
      <c r="B354" s="73" t="str">
        <f ca="1">IFERROR(__xludf.DUMMYFUNCTION("""COMPUTED_VALUE"""),"SONDA DE SUCCIÓN #14")</f>
        <v>SONDA DE SUCCIÓN #14</v>
      </c>
      <c r="C354" s="73" t="str">
        <f ca="1">IFERROR(__xludf.DUMMYFUNCTION("""COMPUTED_VALUE"""),"UNIDAD")</f>
        <v>UNIDAD</v>
      </c>
      <c r="D354" s="73"/>
      <c r="E354" s="73" t="str">
        <f ca="1">IFERROR(__xludf.DUMMYFUNCTION("""COMPUTED_VALUE"""),"H&amp;L")</f>
        <v>H&amp;L</v>
      </c>
      <c r="F354" s="73" t="str">
        <f ca="1">IFERROR(__xludf.DUMMYFUNCTION("""COMPUTED_VALUE"""),"INSUMEDIC GT")</f>
        <v>INSUMEDIC GT</v>
      </c>
      <c r="G354" s="74">
        <f ca="1">IFERROR(__xludf.DUMMYFUNCTION("""COMPUTED_VALUE"""),46327)</f>
        <v>46327</v>
      </c>
      <c r="H354" s="74">
        <f ca="1">IFERROR(__xludf.DUMMYFUNCTION("""COMPUTED_VALUE"""),64857.8)</f>
        <v>64857.8</v>
      </c>
      <c r="I354" s="74">
        <f ca="1">IFERROR(__xludf.DUMMYFUNCTION("""COMPUTED_VALUE"""),25)</f>
        <v>25</v>
      </c>
    </row>
    <row r="355" spans="2:9" ht="27" customHeight="1">
      <c r="B355" s="73" t="str">
        <f ca="1">IFERROR(__xludf.DUMMYFUNCTION("""COMPUTED_VALUE"""),"SONDA DE SUCCIÓN #18")</f>
        <v>SONDA DE SUCCIÓN #18</v>
      </c>
      <c r="C355" s="73" t="str">
        <f ca="1">IFERROR(__xludf.DUMMYFUNCTION("""COMPUTED_VALUE"""),"UNIDAD")</f>
        <v>UNIDAD</v>
      </c>
      <c r="D355" s="73"/>
      <c r="E355" s="73" t="str">
        <f ca="1">IFERROR(__xludf.DUMMYFUNCTION("""COMPUTED_VALUE"""),"H&amp;L")</f>
        <v>H&amp;L</v>
      </c>
      <c r="F355" s="73" t="str">
        <f ca="1">IFERROR(__xludf.DUMMYFUNCTION("""COMPUTED_VALUE"""),"INSUMEDIC GT")</f>
        <v>INSUMEDIC GT</v>
      </c>
      <c r="G355" s="74">
        <f ca="1">IFERROR(__xludf.DUMMYFUNCTION("""COMPUTED_VALUE"""),46204)</f>
        <v>46204</v>
      </c>
      <c r="H355" s="74">
        <f ca="1">IFERROR(__xludf.DUMMYFUNCTION("""COMPUTED_VALUE"""),64685.6)</f>
        <v>64685.599999999999</v>
      </c>
      <c r="I355" s="74">
        <f ca="1">IFERROR(__xludf.DUMMYFUNCTION("""COMPUTED_VALUE"""),25)</f>
        <v>25</v>
      </c>
    </row>
    <row r="356" spans="2:9" ht="27" customHeight="1">
      <c r="B356" s="73" t="str">
        <f ca="1">IFERROR(__xludf.DUMMYFUNCTION("""COMPUTED_VALUE"""),"SONDA DE SUCCIÓN #6")</f>
        <v>SONDA DE SUCCIÓN #6</v>
      </c>
      <c r="C356" s="73" t="str">
        <f ca="1">IFERROR(__xludf.DUMMYFUNCTION("""COMPUTED_VALUE"""),"UNIDAD")</f>
        <v>UNIDAD</v>
      </c>
      <c r="D356" s="73"/>
      <c r="E356" s="73" t="str">
        <f ca="1">IFERROR(__xludf.DUMMYFUNCTION("""COMPUTED_VALUE"""),"H&amp;L")</f>
        <v>H&amp;L</v>
      </c>
      <c r="F356" s="73" t="str">
        <f ca="1">IFERROR(__xludf.DUMMYFUNCTION("""COMPUTED_VALUE"""),"INSUMEDIC GT")</f>
        <v>INSUMEDIC GT</v>
      </c>
      <c r="G356" s="74">
        <f ca="1">IFERROR(__xludf.DUMMYFUNCTION("""COMPUTED_VALUE"""),46539)</f>
        <v>46539</v>
      </c>
      <c r="H356" s="74">
        <f ca="1">IFERROR(__xludf.DUMMYFUNCTION("""COMPUTED_VALUE"""),65154.6)</f>
        <v>65154.6</v>
      </c>
      <c r="I356" s="74">
        <f ca="1">IFERROR(__xludf.DUMMYFUNCTION("""COMPUTED_VALUE"""),25)</f>
        <v>25</v>
      </c>
    </row>
    <row r="357" spans="2:9" ht="27" customHeight="1">
      <c r="B357" s="73" t="str">
        <f ca="1">IFERROR(__xludf.DUMMYFUNCTION("""COMPUTED_VALUE"""),"Sellos de heparina")</f>
        <v>Sellos de heparina</v>
      </c>
      <c r="C357" s="73" t="str">
        <f ca="1">IFERROR(__xludf.DUMMYFUNCTION("""COMPUTED_VALUE"""),"caja 100 u,.")</f>
        <v>caja 100 u,.</v>
      </c>
      <c r="D357" s="73"/>
      <c r="E357" s="73" t="str">
        <f ca="1">IFERROR(__xludf.DUMMYFUNCTION("""COMPUTED_VALUE"""),"H&amp;L")</f>
        <v>H&amp;L</v>
      </c>
      <c r="F357" s="73" t="str">
        <f ca="1">IFERROR(__xludf.DUMMYFUNCTION("""COMPUTED_VALUE"""),"INSUMEDIC GT")</f>
        <v>INSUMEDIC GT</v>
      </c>
      <c r="G357" s="74">
        <f ca="1">IFERROR(__xludf.DUMMYFUNCTION("""COMPUTED_VALUE"""),1)</f>
        <v>1</v>
      </c>
      <c r="H357" s="74">
        <f ca="1">IFERROR(__xludf.DUMMYFUNCTION("""COMPUTED_VALUE"""),1.4)</f>
        <v>1.4</v>
      </c>
      <c r="I357" s="74">
        <f ca="1">IFERROR(__xludf.DUMMYFUNCTION("""COMPUTED_VALUE"""),5)</f>
        <v>5</v>
      </c>
    </row>
    <row r="358" spans="2:9" ht="27" customHeight="1">
      <c r="B358" s="73" t="str">
        <f ca="1">IFERROR(__xludf.DUMMYFUNCTION("""COMPUTED_VALUE"""),"Tiras para Glucómetro")</f>
        <v>Tiras para Glucómetro</v>
      </c>
      <c r="C358" s="73" t="str">
        <f ca="1">IFERROR(__xludf.DUMMYFUNCTION("""COMPUTED_VALUE"""),"caja 50 tiras")</f>
        <v>caja 50 tiras</v>
      </c>
      <c r="D358" s="73"/>
      <c r="E358" s="73" t="str">
        <f ca="1">IFERROR(__xludf.DUMMYFUNCTION("""COMPUTED_VALUE"""),"H&amp;L")</f>
        <v>H&amp;L</v>
      </c>
      <c r="F358" s="75">
        <f ca="1">IFERROR(__xludf.DUMMYFUNCTION("""COMPUTED_VALUE"""),45803)</f>
        <v>45803</v>
      </c>
      <c r="G358" s="74">
        <f ca="1">IFERROR(__xludf.DUMMYFUNCTION("""COMPUTED_VALUE"""),110)</f>
        <v>110</v>
      </c>
      <c r="H358" s="74">
        <f ca="1">IFERROR(__xludf.DUMMYFUNCTION("""COMPUTED_VALUE"""),154)</f>
        <v>154</v>
      </c>
      <c r="I358" s="74">
        <f ca="1">IFERROR(__xludf.DUMMYFUNCTION("""COMPUTED_VALUE"""),155)</f>
        <v>155</v>
      </c>
    </row>
    <row r="359" spans="2:9" ht="27" customHeight="1">
      <c r="B359" s="73" t="str">
        <f ca="1">IFERROR(__xludf.DUMMYFUNCTION("""COMPUTED_VALUE"""),"Termòmetros Orales")</f>
        <v>Termòmetros Orales</v>
      </c>
      <c r="C359" s="73" t="str">
        <f ca="1">IFERROR(__xludf.DUMMYFUNCTION("""COMPUTED_VALUE"""),"Unidad")</f>
        <v>Unidad</v>
      </c>
      <c r="D359" s="73"/>
      <c r="E359" s="73" t="str">
        <f ca="1">IFERROR(__xludf.DUMMYFUNCTION("""COMPUTED_VALUE"""),"H&amp;L")</f>
        <v>H&amp;L</v>
      </c>
      <c r="F359" s="75">
        <f ca="1">IFERROR(__xludf.DUMMYFUNCTION("""COMPUTED_VALUE"""),45926)</f>
        <v>45926</v>
      </c>
      <c r="G359" s="74">
        <f ca="1">IFERROR(__xludf.DUMMYFUNCTION("""COMPUTED_VALUE"""),70)</f>
        <v>70</v>
      </c>
      <c r="H359" s="74">
        <f ca="1">IFERROR(__xludf.DUMMYFUNCTION("""COMPUTED_VALUE"""),98)</f>
        <v>98</v>
      </c>
      <c r="I359" s="74">
        <f ca="1">IFERROR(__xludf.DUMMYFUNCTION("""COMPUTED_VALUE"""),100)</f>
        <v>100</v>
      </c>
    </row>
    <row r="360" spans="2:9" ht="27" customHeight="1">
      <c r="B360" s="73" t="str">
        <f ca="1">IFERROR(__xludf.DUMMYFUNCTION("""COMPUTED_VALUE"""),"TUBO DE ASPIRACIÓN")</f>
        <v>TUBO DE ASPIRACIÓN</v>
      </c>
      <c r="C360" s="73" t="str">
        <f ca="1">IFERROR(__xludf.DUMMYFUNCTION("""COMPUTED_VALUE"""),"UNIDAD")</f>
        <v>UNIDAD</v>
      </c>
      <c r="D360" s="73"/>
      <c r="E360" s="73" t="str">
        <f ca="1">IFERROR(__xludf.DUMMYFUNCTION("""COMPUTED_VALUE"""),"INSUMEDIC GT")</f>
        <v>INSUMEDIC GT</v>
      </c>
      <c r="F360" s="75">
        <f ca="1">IFERROR(__xludf.DUMMYFUNCTION("""COMPUTED_VALUE"""),45864)</f>
        <v>45864</v>
      </c>
      <c r="G360" s="74">
        <f ca="1">IFERROR(__xludf.DUMMYFUNCTION("""COMPUTED_VALUE"""),35)</f>
        <v>35</v>
      </c>
      <c r="H360" s="74">
        <f ca="1">IFERROR(__xludf.DUMMYFUNCTION("""COMPUTED_VALUE"""),49)</f>
        <v>49</v>
      </c>
      <c r="I360" s="74">
        <f ca="1">IFERROR(__xludf.DUMMYFUNCTION("""COMPUTED_VALUE"""),50)</f>
        <v>50</v>
      </c>
    </row>
    <row r="361" spans="2:9" ht="27" customHeight="1">
      <c r="B361" s="73" t="str">
        <f ca="1">IFERROR(__xludf.DUMMYFUNCTION("""COMPUTED_VALUE"""),"Tubo de Penros de 1/2")</f>
        <v>Tubo de Penros de 1/2</v>
      </c>
      <c r="C361" s="73" t="str">
        <f ca="1">IFERROR(__xludf.DUMMYFUNCTION("""COMPUTED_VALUE"""),"Unidad")</f>
        <v>Unidad</v>
      </c>
      <c r="D361" s="73"/>
      <c r="E361" s="73" t="str">
        <f ca="1">IFERROR(__xludf.DUMMYFUNCTION("""COMPUTED_VALUE"""),"H&amp;L")</f>
        <v>H&amp;L</v>
      </c>
      <c r="F361" s="75">
        <f ca="1">IFERROR(__xludf.DUMMYFUNCTION("""COMPUTED_VALUE"""),45775)</f>
        <v>45775</v>
      </c>
      <c r="G361" s="74">
        <f ca="1">IFERROR(__xludf.DUMMYFUNCTION("""COMPUTED_VALUE"""),65)</f>
        <v>65</v>
      </c>
      <c r="H361" s="74">
        <f ca="1">IFERROR(__xludf.DUMMYFUNCTION("""COMPUTED_VALUE"""),91)</f>
        <v>91</v>
      </c>
      <c r="I361" s="74">
        <f ca="1">IFERROR(__xludf.DUMMYFUNCTION("""COMPUTED_VALUE"""),109.76)</f>
        <v>109.76</v>
      </c>
    </row>
    <row r="362" spans="2:9" ht="27" customHeight="1">
      <c r="B362" s="73" t="str">
        <f ca="1">IFERROR(__xludf.DUMMYFUNCTION("""COMPUTED_VALUE"""),"Tubo de Penros de 1 Pulg.")</f>
        <v>Tubo de Penros de 1 Pulg.</v>
      </c>
      <c r="C362" s="73" t="str">
        <f ca="1">IFERROR(__xludf.DUMMYFUNCTION("""COMPUTED_VALUE"""),"fco.")</f>
        <v>fco.</v>
      </c>
      <c r="D362" s="73"/>
      <c r="E362" s="73" t="str">
        <f ca="1">IFERROR(__xludf.DUMMYFUNCTION("""COMPUTED_VALUE"""),"H&amp;L")</f>
        <v>H&amp;L</v>
      </c>
      <c r="F362" s="75">
        <f ca="1">IFERROR(__xludf.DUMMYFUNCTION("""COMPUTED_VALUE"""),45742)</f>
        <v>45742</v>
      </c>
      <c r="G362" s="74">
        <f ca="1">IFERROR(__xludf.DUMMYFUNCTION("""COMPUTED_VALUE"""),275.06)</f>
        <v>275.06</v>
      </c>
      <c r="H362" s="74">
        <f ca="1">IFERROR(__xludf.DUMMYFUNCTION("""COMPUTED_VALUE"""),385.084)</f>
        <v>385.084</v>
      </c>
      <c r="I362" s="74">
        <f ca="1">IFERROR(__xludf.DUMMYFUNCTION("""COMPUTED_VALUE"""),109.94)</f>
        <v>109.94</v>
      </c>
    </row>
    <row r="363" spans="2:9" ht="27" customHeight="1">
      <c r="B363" s="73" t="str">
        <f ca="1">IFERROR(__xludf.DUMMYFUNCTION("""COMPUTED_VALUE"""),"Vaselina solida")</f>
        <v>Vaselina solida</v>
      </c>
      <c r="C363" s="73" t="str">
        <f ca="1">IFERROR(__xludf.DUMMYFUNCTION("""COMPUTED_VALUE"""),"Unidad")</f>
        <v>Unidad</v>
      </c>
      <c r="D363" s="73"/>
      <c r="E363" s="73" t="str">
        <f ca="1">IFERROR(__xludf.DUMMYFUNCTION("""COMPUTED_VALUE"""),"H&amp;L")</f>
        <v>H&amp;L</v>
      </c>
      <c r="F363" s="75">
        <f ca="1">IFERROR(__xludf.DUMMYFUNCTION("""COMPUTED_VALUE"""),45988)</f>
        <v>45988</v>
      </c>
      <c r="G363" s="74">
        <f ca="1">IFERROR(__xludf.DUMMYFUNCTION("""COMPUTED_VALUE"""),128.58)</f>
        <v>128.58000000000001</v>
      </c>
      <c r="H363" s="74">
        <f ca="1">IFERROR(__xludf.DUMMYFUNCTION("""COMPUTED_VALUE"""),180.012)</f>
        <v>180.012</v>
      </c>
      <c r="I363" s="74">
        <f ca="1">IFERROR(__xludf.DUMMYFUNCTION("""COMPUTED_VALUE"""),94.7)</f>
        <v>94.7</v>
      </c>
    </row>
    <row r="364" spans="2:9" ht="27" customHeight="1">
      <c r="B364" s="73" t="str">
        <f ca="1">IFERROR(__xludf.DUMMYFUNCTION("""COMPUTED_VALUE"""),"Venda de gaza 4 pulg.")</f>
        <v>Venda de gaza 4 pulg.</v>
      </c>
      <c r="C364" s="73" t="str">
        <f ca="1">IFERROR(__xludf.DUMMYFUNCTION("""COMPUTED_VALUE"""),"Unidad")</f>
        <v>Unidad</v>
      </c>
      <c r="D364" s="73"/>
      <c r="E364" s="73" t="str">
        <f ca="1">IFERROR(__xludf.DUMMYFUNCTION("""COMPUTED_VALUE"""),"H&amp;L")</f>
        <v>H&amp;L</v>
      </c>
      <c r="F364" s="75">
        <f ca="1">IFERROR(__xludf.DUMMYFUNCTION("""COMPUTED_VALUE"""),45956)</f>
        <v>45956</v>
      </c>
      <c r="G364" s="74">
        <f ca="1">IFERROR(__xludf.DUMMYFUNCTION("""COMPUTED_VALUE"""),15.75)</f>
        <v>15.75</v>
      </c>
      <c r="H364" s="74">
        <f ca="1">IFERROR(__xludf.DUMMYFUNCTION("""COMPUTED_VALUE"""),22.05)</f>
        <v>22.05</v>
      </c>
      <c r="I364" s="74">
        <f ca="1">IFERROR(__xludf.DUMMYFUNCTION("""COMPUTED_VALUE"""),25)</f>
        <v>25</v>
      </c>
    </row>
    <row r="365" spans="2:9" ht="27" customHeight="1">
      <c r="B365" s="73" t="str">
        <f ca="1">IFERROR(__xludf.DUMMYFUNCTION("""COMPUTED_VALUE"""),"Venda de guata 4 Pulg.")</f>
        <v>Venda de guata 4 Pulg.</v>
      </c>
      <c r="C365" s="73" t="str">
        <f ca="1">IFERROR(__xludf.DUMMYFUNCTION("""COMPUTED_VALUE"""),"Unidad")</f>
        <v>Unidad</v>
      </c>
      <c r="D365" s="73"/>
      <c r="E365" s="73" t="str">
        <f ca="1">IFERROR(__xludf.DUMMYFUNCTION("""COMPUTED_VALUE"""),"H&amp;L")</f>
        <v>H&amp;L</v>
      </c>
      <c r="F365" s="75">
        <f ca="1">IFERROR(__xludf.DUMMYFUNCTION("""COMPUTED_VALUE"""),45773)</f>
        <v>45773</v>
      </c>
      <c r="G365" s="74">
        <f ca="1">IFERROR(__xludf.DUMMYFUNCTION("""COMPUTED_VALUE"""),15)</f>
        <v>15</v>
      </c>
      <c r="H365" s="74">
        <f ca="1">IFERROR(__xludf.DUMMYFUNCTION("""COMPUTED_VALUE"""),21)</f>
        <v>21</v>
      </c>
      <c r="I365" s="74">
        <f ca="1">IFERROR(__xludf.DUMMYFUNCTION("""COMPUTED_VALUE"""),242.03)</f>
        <v>242.03</v>
      </c>
    </row>
    <row r="366" spans="2:9" ht="27" customHeight="1">
      <c r="B366" s="73" t="str">
        <f ca="1">IFERROR(__xludf.DUMMYFUNCTION("""COMPUTED_VALUE"""),"Venda de yeso 4 pulg.")</f>
        <v>Venda de yeso 4 pulg.</v>
      </c>
      <c r="C366" s="73" t="str">
        <f ca="1">IFERROR(__xludf.DUMMYFUNCTION("""COMPUTED_VALUE"""),"Unidad")</f>
        <v>Unidad</v>
      </c>
      <c r="D366" s="73"/>
      <c r="E366" s="73" t="str">
        <f ca="1">IFERROR(__xludf.DUMMYFUNCTION("""COMPUTED_VALUE"""),"H&amp;L")</f>
        <v>H&amp;L</v>
      </c>
      <c r="F366" s="75">
        <f ca="1">IFERROR(__xludf.DUMMYFUNCTION("""COMPUTED_VALUE"""),45683)</f>
        <v>45683</v>
      </c>
      <c r="G366" s="74">
        <f ca="1">IFERROR(__xludf.DUMMYFUNCTION("""COMPUTED_VALUE"""),52.5)</f>
        <v>52.5</v>
      </c>
      <c r="H366" s="74">
        <f ca="1">IFERROR(__xludf.DUMMYFUNCTION("""COMPUTED_VALUE"""),73.5)</f>
        <v>73.5</v>
      </c>
      <c r="I366" s="74">
        <f ca="1">IFERROR(__xludf.DUMMYFUNCTION("""COMPUTED_VALUE"""),159.66)</f>
        <v>159.66</v>
      </c>
    </row>
    <row r="367" spans="2:9" ht="27" customHeight="1">
      <c r="B367" s="73" t="str">
        <f ca="1">IFERROR(__xludf.DUMMYFUNCTION("""COMPUTED_VALUE"""),"Venda de yeso 6 pulg.")</f>
        <v>Venda de yeso 6 pulg.</v>
      </c>
      <c r="C367" s="73" t="str">
        <f ca="1">IFERROR(__xludf.DUMMYFUNCTION("""COMPUTED_VALUE"""),"Unidad")</f>
        <v>Unidad</v>
      </c>
      <c r="D367" s="73"/>
      <c r="E367" s="73" t="str">
        <f ca="1">IFERROR(__xludf.DUMMYFUNCTION("""COMPUTED_VALUE"""),"H&amp;L")</f>
        <v>H&amp;L</v>
      </c>
      <c r="F367" s="75">
        <f ca="1">IFERROR(__xludf.DUMMYFUNCTION("""COMPUTED_VALUE"""),45686)</f>
        <v>45686</v>
      </c>
      <c r="G367" s="74">
        <f ca="1">IFERROR(__xludf.DUMMYFUNCTION("""COMPUTED_VALUE"""),75)</f>
        <v>75</v>
      </c>
      <c r="H367" s="74">
        <f ca="1">IFERROR(__xludf.DUMMYFUNCTION("""COMPUTED_VALUE"""),105)</f>
        <v>105</v>
      </c>
      <c r="I367" s="74">
        <f ca="1">IFERROR(__xludf.DUMMYFUNCTION("""COMPUTED_VALUE"""),110.11)</f>
        <v>110.11</v>
      </c>
    </row>
    <row r="368" spans="2:9" ht="27" customHeight="1">
      <c r="B368" s="73" t="str">
        <f ca="1">IFERROR(__xludf.DUMMYFUNCTION("""COMPUTED_VALUE"""),"Venda Elastica 4 Pulg. Don.")</f>
        <v>Venda Elastica 4 Pulg. Don.</v>
      </c>
      <c r="C368" s="73" t="str">
        <f ca="1">IFERROR(__xludf.DUMMYFUNCTION("""COMPUTED_VALUE"""),"Unidad")</f>
        <v>Unidad</v>
      </c>
      <c r="D368" s="73"/>
      <c r="E368" s="73" t="str">
        <f ca="1">IFERROR(__xludf.DUMMYFUNCTION("""COMPUTED_VALUE"""),"H&amp;L")</f>
        <v>H&amp;L</v>
      </c>
      <c r="F368" s="75">
        <f ca="1">IFERROR(__xludf.DUMMYFUNCTION("""COMPUTED_VALUE"""),45835)</f>
        <v>45835</v>
      </c>
      <c r="G368" s="74">
        <f ca="1">IFERROR(__xludf.DUMMYFUNCTION("""COMPUTED_VALUE"""),86.5)</f>
        <v>86.5</v>
      </c>
      <c r="H368" s="74">
        <f ca="1">IFERROR(__xludf.DUMMYFUNCTION("""COMPUTED_VALUE"""),121.1)</f>
        <v>121.1</v>
      </c>
      <c r="I368" s="74">
        <f ca="1">IFERROR(__xludf.DUMMYFUNCTION("""COMPUTED_VALUE"""),271.4)</f>
        <v>271.39999999999998</v>
      </c>
    </row>
    <row r="369" spans="2:9" ht="27" customHeight="1">
      <c r="B369" s="73" t="str">
        <f ca="1">IFERROR(__xludf.DUMMYFUNCTION("""COMPUTED_VALUE"""),"Venda Elastica 6 Pulg")</f>
        <v>Venda Elastica 6 Pulg</v>
      </c>
      <c r="C369" s="73" t="str">
        <f ca="1">IFERROR(__xludf.DUMMYFUNCTION("""COMPUTED_VALUE"""),"Unidad")</f>
        <v>Unidad</v>
      </c>
      <c r="D369" s="73"/>
      <c r="E369" s="73" t="str">
        <f ca="1">IFERROR(__xludf.DUMMYFUNCTION("""COMPUTED_VALUE"""),"H&amp;L")</f>
        <v>H&amp;L</v>
      </c>
      <c r="F369" s="75">
        <f ca="1">IFERROR(__xludf.DUMMYFUNCTION("""COMPUTED_VALUE"""),45713)</f>
        <v>45713</v>
      </c>
      <c r="G369" s="74">
        <f ca="1">IFERROR(__xludf.DUMMYFUNCTION("""COMPUTED_VALUE"""),135)</f>
        <v>135</v>
      </c>
      <c r="H369" s="74">
        <f ca="1">IFERROR(__xludf.DUMMYFUNCTION("""COMPUTED_VALUE"""),189)</f>
        <v>189</v>
      </c>
      <c r="I369" s="74">
        <f ca="1">IFERROR(__xludf.DUMMYFUNCTION("""COMPUTED_VALUE"""),87.5)</f>
        <v>87.5</v>
      </c>
    </row>
    <row r="370" spans="2:9" ht="27" customHeight="1">
      <c r="B370" s="73" t="str">
        <f ca="1">IFERROR(__xludf.DUMMYFUNCTION("""COMPUTED_VALUE"""),"peras de succion")</f>
        <v>peras de succion</v>
      </c>
      <c r="C370" s="73" t="str">
        <f ca="1">IFERROR(__xludf.DUMMYFUNCTION("""COMPUTED_VALUE"""),"UNIDAD")</f>
        <v>UNIDAD</v>
      </c>
      <c r="D370" s="73"/>
      <c r="E370" s="73" t="str">
        <f ca="1">IFERROR(__xludf.DUMMYFUNCTION("""COMPUTED_VALUE"""),"H&amp;L")</f>
        <v>H&amp;L</v>
      </c>
      <c r="F370" s="75">
        <f ca="1">IFERROR(__xludf.DUMMYFUNCTION("""COMPUTED_VALUE"""),45958)</f>
        <v>45958</v>
      </c>
      <c r="G370" s="74">
        <f ca="1">IFERROR(__xludf.DUMMYFUNCTION("""COMPUTED_VALUE"""),10)</f>
        <v>10</v>
      </c>
      <c r="H370" s="74">
        <f ca="1">IFERROR(__xludf.DUMMYFUNCTION("""COMPUTED_VALUE"""),14)</f>
        <v>14</v>
      </c>
      <c r="I370" s="74">
        <f ca="1">IFERROR(__xludf.DUMMYFUNCTION("""COMPUTED_VALUE"""),25)</f>
        <v>25</v>
      </c>
    </row>
    <row r="371" spans="2:9" ht="27" customHeight="1">
      <c r="B371" s="59"/>
      <c r="C371" s="59"/>
      <c r="D371" s="59"/>
      <c r="E371" s="59"/>
      <c r="F371" s="59"/>
      <c r="G371" s="59"/>
      <c r="H371" s="59"/>
      <c r="I371" s="59"/>
    </row>
    <row r="372" spans="2:9" ht="27" customHeight="1">
      <c r="B372" s="59"/>
      <c r="C372" s="59"/>
      <c r="D372" s="59"/>
      <c r="E372" s="59"/>
      <c r="F372" s="59"/>
      <c r="G372" s="59"/>
      <c r="H372" s="59"/>
      <c r="I372" s="59"/>
    </row>
    <row r="373" spans="2:9" ht="27" customHeight="1">
      <c r="B373" s="59"/>
      <c r="C373" s="59"/>
      <c r="D373" s="59"/>
      <c r="E373" s="59"/>
      <c r="F373" s="59"/>
      <c r="G373" s="59"/>
      <c r="H373" s="59"/>
      <c r="I373" s="59"/>
    </row>
    <row r="374" spans="2:9" ht="27" customHeight="1">
      <c r="B374" s="59"/>
      <c r="C374" s="59"/>
      <c r="D374" s="59"/>
      <c r="E374" s="59"/>
      <c r="F374" s="59"/>
      <c r="G374" s="59"/>
      <c r="H374" s="59"/>
      <c r="I374" s="59"/>
    </row>
    <row r="375" spans="2:9" ht="27" customHeight="1">
      <c r="B375" s="59"/>
      <c r="C375" s="59"/>
      <c r="D375" s="59"/>
      <c r="E375" s="59"/>
      <c r="F375" s="59"/>
      <c r="G375" s="59"/>
      <c r="H375" s="59"/>
      <c r="I375" s="59"/>
    </row>
    <row r="376" spans="2:9" ht="27" customHeight="1">
      <c r="B376" s="59"/>
      <c r="C376" s="59"/>
      <c r="D376" s="59"/>
      <c r="E376" s="59"/>
      <c r="F376" s="59"/>
      <c r="G376" s="59"/>
      <c r="H376" s="59"/>
      <c r="I376" s="59"/>
    </row>
    <row r="377" spans="2:9" ht="27" customHeight="1">
      <c r="B377" s="59"/>
      <c r="C377" s="59"/>
      <c r="D377" s="59"/>
      <c r="E377" s="59"/>
      <c r="F377" s="59"/>
      <c r="G377" s="59"/>
      <c r="H377" s="59"/>
      <c r="I377" s="59"/>
    </row>
    <row r="378" spans="2:9" ht="27" customHeight="1">
      <c r="B378" s="59"/>
      <c r="C378" s="59"/>
      <c r="D378" s="59"/>
      <c r="E378" s="59"/>
      <c r="F378" s="59"/>
      <c r="G378" s="59"/>
      <c r="H378" s="59"/>
      <c r="I378" s="59"/>
    </row>
    <row r="379" spans="2:9" ht="27" customHeight="1">
      <c r="B379" s="59"/>
      <c r="C379" s="59"/>
      <c r="D379" s="59"/>
      <c r="E379" s="59"/>
      <c r="F379" s="59"/>
      <c r="G379" s="59"/>
      <c r="H379" s="59"/>
      <c r="I379" s="59"/>
    </row>
    <row r="380" spans="2:9" ht="27" customHeight="1">
      <c r="B380" s="59"/>
      <c r="C380" s="59"/>
      <c r="D380" s="59"/>
      <c r="E380" s="59"/>
      <c r="F380" s="59"/>
      <c r="G380" s="59"/>
      <c r="H380" s="59"/>
      <c r="I380" s="59"/>
    </row>
    <row r="381" spans="2:9" ht="27" customHeight="1">
      <c r="B381" s="59"/>
      <c r="C381" s="59"/>
      <c r="D381" s="59"/>
      <c r="E381" s="59"/>
      <c r="F381" s="59"/>
      <c r="G381" s="59"/>
      <c r="H381" s="59"/>
      <c r="I381" s="59"/>
    </row>
    <row r="382" spans="2:9" ht="27" customHeight="1">
      <c r="B382" s="59"/>
      <c r="C382" s="59"/>
      <c r="D382" s="59"/>
      <c r="E382" s="59"/>
      <c r="F382" s="59"/>
      <c r="G382" s="59"/>
      <c r="H382" s="59"/>
      <c r="I382" s="59"/>
    </row>
    <row r="383" spans="2:9" ht="27" customHeight="1">
      <c r="B383" s="59"/>
      <c r="C383" s="59"/>
      <c r="D383" s="59"/>
      <c r="E383" s="59"/>
      <c r="F383" s="59"/>
      <c r="G383" s="59"/>
      <c r="H383" s="59"/>
      <c r="I383" s="59"/>
    </row>
    <row r="384" spans="2:9" ht="27" customHeight="1">
      <c r="B384" s="59"/>
      <c r="C384" s="59"/>
      <c r="D384" s="59"/>
      <c r="E384" s="59"/>
      <c r="F384" s="59"/>
      <c r="G384" s="59"/>
      <c r="H384" s="59"/>
      <c r="I384" s="59"/>
    </row>
    <row r="385" spans="2:9" ht="27" customHeight="1">
      <c r="B385" s="59"/>
      <c r="C385" s="59"/>
      <c r="D385" s="59"/>
      <c r="E385" s="59"/>
      <c r="F385" s="59"/>
      <c r="G385" s="59"/>
      <c r="H385" s="59"/>
      <c r="I385" s="59"/>
    </row>
    <row r="386" spans="2:9" ht="27" customHeight="1">
      <c r="B386" s="59"/>
      <c r="C386" s="59"/>
      <c r="D386" s="59"/>
      <c r="E386" s="59"/>
      <c r="F386" s="59"/>
      <c r="G386" s="59"/>
      <c r="H386" s="59"/>
      <c r="I386" s="59"/>
    </row>
    <row r="387" spans="2:9" ht="27" customHeight="1">
      <c r="B387" s="59"/>
      <c r="C387" s="59"/>
      <c r="D387" s="59"/>
      <c r="E387" s="59"/>
      <c r="F387" s="59"/>
      <c r="G387" s="59"/>
      <c r="H387" s="59"/>
      <c r="I387" s="59"/>
    </row>
    <row r="388" spans="2:9" ht="27" customHeight="1">
      <c r="B388" s="59"/>
      <c r="C388" s="59"/>
      <c r="D388" s="59"/>
      <c r="E388" s="59"/>
      <c r="F388" s="59"/>
      <c r="G388" s="59"/>
      <c r="H388" s="59"/>
      <c r="I388" s="59"/>
    </row>
    <row r="389" spans="2:9" ht="12.75">
      <c r="B389" s="59"/>
      <c r="C389" s="59"/>
      <c r="D389" s="59"/>
      <c r="E389" s="59"/>
      <c r="F389" s="59"/>
      <c r="G389" s="59"/>
      <c r="H389" s="59"/>
      <c r="I389" s="59"/>
    </row>
    <row r="390" spans="2:9" ht="12.75">
      <c r="B390" s="59"/>
      <c r="C390" s="59"/>
      <c r="D390" s="59"/>
      <c r="E390" s="59"/>
      <c r="F390" s="59"/>
      <c r="G390" s="59"/>
      <c r="H390" s="59"/>
      <c r="I390" s="59"/>
    </row>
    <row r="391" spans="2:9" ht="12.75">
      <c r="B391" s="59"/>
      <c r="C391" s="59"/>
      <c r="D391" s="59"/>
      <c r="E391" s="59"/>
      <c r="F391" s="59"/>
      <c r="G391" s="59"/>
      <c r="H391" s="59"/>
      <c r="I391" s="59"/>
    </row>
    <row r="392" spans="2:9" ht="12.75">
      <c r="B392" s="59"/>
      <c r="C392" s="59"/>
      <c r="D392" s="59"/>
      <c r="E392" s="59"/>
      <c r="F392" s="59"/>
      <c r="G392" s="59"/>
      <c r="H392" s="59"/>
      <c r="I392" s="59"/>
    </row>
    <row r="393" spans="2:9" ht="12.75">
      <c r="B393" s="59"/>
      <c r="C393" s="59"/>
      <c r="D393" s="59"/>
      <c r="E393" s="59"/>
      <c r="F393" s="59"/>
      <c r="G393" s="59"/>
      <c r="H393" s="59"/>
      <c r="I393" s="59"/>
    </row>
    <row r="394" spans="2:9" ht="12.75">
      <c r="B394" s="59"/>
      <c r="C394" s="59"/>
      <c r="D394" s="59"/>
      <c r="E394" s="59"/>
      <c r="F394" s="59"/>
      <c r="G394" s="59"/>
      <c r="H394" s="59"/>
      <c r="I394" s="59"/>
    </row>
    <row r="395" spans="2:9" ht="12.75">
      <c r="B395" s="59"/>
      <c r="C395" s="59"/>
      <c r="D395" s="59"/>
      <c r="E395" s="59"/>
      <c r="F395" s="59"/>
      <c r="G395" s="59"/>
      <c r="H395" s="59"/>
      <c r="I395" s="59"/>
    </row>
    <row r="396" spans="2:9" ht="12.75">
      <c r="B396" s="59"/>
      <c r="C396" s="59"/>
      <c r="D396" s="59"/>
      <c r="E396" s="59"/>
      <c r="F396" s="59"/>
      <c r="G396" s="59"/>
      <c r="H396" s="59"/>
      <c r="I396" s="59"/>
    </row>
    <row r="397" spans="2:9" ht="12.75">
      <c r="B397" s="59"/>
      <c r="C397" s="59"/>
      <c r="D397" s="59"/>
      <c r="E397" s="59"/>
      <c r="F397" s="59"/>
      <c r="G397" s="59"/>
      <c r="H397" s="59"/>
      <c r="I397" s="59"/>
    </row>
    <row r="398" spans="2:9" ht="12.75">
      <c r="B398" s="59"/>
      <c r="C398" s="59"/>
      <c r="D398" s="59"/>
      <c r="E398" s="59"/>
      <c r="F398" s="59"/>
      <c r="G398" s="59"/>
      <c r="H398" s="59"/>
      <c r="I398" s="59"/>
    </row>
    <row r="399" spans="2:9" ht="12.75">
      <c r="B399" s="59"/>
      <c r="C399" s="59"/>
      <c r="D399" s="59"/>
      <c r="E399" s="59"/>
      <c r="F399" s="59"/>
      <c r="G399" s="59"/>
      <c r="H399" s="59"/>
      <c r="I399" s="59"/>
    </row>
    <row r="400" spans="2:9" ht="12.75">
      <c r="B400" s="59"/>
      <c r="C400" s="59"/>
      <c r="D400" s="59"/>
      <c r="E400" s="59"/>
      <c r="F400" s="59"/>
      <c r="G400" s="59"/>
      <c r="H400" s="59"/>
      <c r="I400" s="59"/>
    </row>
    <row r="401" spans="2:9" ht="12.75">
      <c r="B401" s="59"/>
      <c r="C401" s="59"/>
      <c r="D401" s="59"/>
      <c r="E401" s="59"/>
      <c r="F401" s="59"/>
      <c r="G401" s="59"/>
      <c r="H401" s="59"/>
      <c r="I401" s="59"/>
    </row>
    <row r="402" spans="2:9" ht="12.75">
      <c r="B402" s="59"/>
      <c r="C402" s="59"/>
      <c r="D402" s="59"/>
      <c r="E402" s="59"/>
      <c r="F402" s="59"/>
      <c r="G402" s="59"/>
      <c r="H402" s="59"/>
      <c r="I402" s="59"/>
    </row>
    <row r="403" spans="2:9" ht="12.75">
      <c r="B403" s="59"/>
      <c r="C403" s="59"/>
      <c r="D403" s="59"/>
      <c r="E403" s="59"/>
      <c r="F403" s="59"/>
      <c r="G403" s="59"/>
      <c r="H403" s="59"/>
      <c r="I403" s="59"/>
    </row>
    <row r="404" spans="2:9" ht="12.75">
      <c r="B404" s="59"/>
      <c r="C404" s="59"/>
      <c r="D404" s="59"/>
      <c r="E404" s="59"/>
      <c r="F404" s="59"/>
      <c r="G404" s="59"/>
      <c r="H404" s="59"/>
      <c r="I404" s="59"/>
    </row>
    <row r="405" spans="2:9" ht="12.75">
      <c r="B405" s="59"/>
      <c r="C405" s="59"/>
      <c r="D405" s="59"/>
      <c r="E405" s="59"/>
      <c r="F405" s="59"/>
      <c r="G405" s="59"/>
      <c r="H405" s="59"/>
      <c r="I405" s="59"/>
    </row>
    <row r="406" spans="2:9" ht="12.75">
      <c r="B406" s="59"/>
      <c r="C406" s="59"/>
      <c r="D406" s="59"/>
      <c r="E406" s="59"/>
      <c r="F406" s="59"/>
      <c r="G406" s="59"/>
      <c r="H406" s="59"/>
      <c r="I406" s="59"/>
    </row>
    <row r="407" spans="2:9" ht="12.75">
      <c r="B407" s="59"/>
      <c r="C407" s="59"/>
      <c r="D407" s="59"/>
      <c r="E407" s="59"/>
      <c r="F407" s="59"/>
      <c r="G407" s="59"/>
      <c r="H407" s="59"/>
      <c r="I407" s="59"/>
    </row>
    <row r="408" spans="2:9" ht="12.75">
      <c r="B408" s="59"/>
      <c r="C408" s="59"/>
      <c r="D408" s="59"/>
      <c r="E408" s="59"/>
      <c r="F408" s="59"/>
      <c r="G408" s="59"/>
      <c r="H408" s="59"/>
      <c r="I408" s="59"/>
    </row>
    <row r="409" spans="2:9" ht="12.75">
      <c r="B409" s="59"/>
      <c r="C409" s="59"/>
      <c r="D409" s="59"/>
      <c r="E409" s="59"/>
      <c r="F409" s="59"/>
      <c r="G409" s="59"/>
      <c r="H409" s="59"/>
      <c r="I409" s="59"/>
    </row>
    <row r="410" spans="2:9" ht="12.75">
      <c r="B410" s="59"/>
      <c r="C410" s="59"/>
      <c r="D410" s="59"/>
      <c r="E410" s="59"/>
      <c r="F410" s="59"/>
      <c r="G410" s="59"/>
      <c r="H410" s="59"/>
      <c r="I410" s="59"/>
    </row>
    <row r="411" spans="2:9" ht="12.75">
      <c r="B411" s="59"/>
      <c r="C411" s="59"/>
      <c r="D411" s="59"/>
      <c r="E411" s="59"/>
      <c r="F411" s="59"/>
      <c r="G411" s="59"/>
      <c r="H411" s="59"/>
      <c r="I411" s="59"/>
    </row>
    <row r="412" spans="2:9" ht="12.75">
      <c r="B412" s="59"/>
      <c r="C412" s="59"/>
      <c r="D412" s="59"/>
      <c r="E412" s="59"/>
      <c r="F412" s="59"/>
      <c r="G412" s="59"/>
      <c r="H412" s="59"/>
      <c r="I412" s="59"/>
    </row>
    <row r="413" spans="2:9" ht="12.75">
      <c r="B413" s="59"/>
      <c r="C413" s="59"/>
      <c r="D413" s="59"/>
      <c r="E413" s="59"/>
      <c r="F413" s="59"/>
      <c r="G413" s="59"/>
      <c r="H413" s="59"/>
      <c r="I413" s="59"/>
    </row>
    <row r="414" spans="2:9" ht="12.75">
      <c r="B414" s="59"/>
      <c r="C414" s="59"/>
      <c r="D414" s="59"/>
      <c r="E414" s="59"/>
      <c r="F414" s="59"/>
      <c r="G414" s="59"/>
      <c r="H414" s="59"/>
      <c r="I414" s="59"/>
    </row>
    <row r="415" spans="2:9" ht="12.75">
      <c r="B415" s="59"/>
      <c r="C415" s="59"/>
      <c r="D415" s="59"/>
      <c r="E415" s="59"/>
      <c r="F415" s="59"/>
      <c r="G415" s="59"/>
      <c r="H415" s="59"/>
      <c r="I415" s="59"/>
    </row>
    <row r="416" spans="2:9" ht="12.75">
      <c r="B416" s="59"/>
      <c r="C416" s="59"/>
      <c r="D416" s="59"/>
      <c r="E416" s="59"/>
      <c r="F416" s="59"/>
      <c r="G416" s="59"/>
      <c r="H416" s="59"/>
      <c r="I416" s="59"/>
    </row>
    <row r="417" spans="2:9" ht="12.75">
      <c r="B417" s="59"/>
      <c r="C417" s="59"/>
      <c r="D417" s="59"/>
      <c r="E417" s="59"/>
      <c r="F417" s="59"/>
      <c r="G417" s="59"/>
      <c r="H417" s="59"/>
      <c r="I417" s="59"/>
    </row>
    <row r="418" spans="2:9" ht="12.75">
      <c r="B418" s="59"/>
      <c r="C418" s="59"/>
      <c r="D418" s="59"/>
      <c r="E418" s="59"/>
      <c r="F418" s="59"/>
      <c r="G418" s="59"/>
      <c r="H418" s="59"/>
      <c r="I418" s="59"/>
    </row>
    <row r="419" spans="2:9" ht="12.75">
      <c r="B419" s="59"/>
      <c r="C419" s="59"/>
      <c r="D419" s="59"/>
      <c r="E419" s="59"/>
      <c r="F419" s="59"/>
      <c r="G419" s="59"/>
      <c r="H419" s="59"/>
      <c r="I419" s="59"/>
    </row>
    <row r="420" spans="2:9" ht="12.75">
      <c r="B420" s="59"/>
      <c r="C420" s="59"/>
      <c r="D420" s="59"/>
      <c r="E420" s="59"/>
      <c r="F420" s="59"/>
      <c r="G420" s="59"/>
      <c r="H420" s="59"/>
      <c r="I420" s="59"/>
    </row>
    <row r="421" spans="2:9" ht="12.75">
      <c r="B421" s="59"/>
      <c r="C421" s="59"/>
      <c r="D421" s="59"/>
      <c r="E421" s="59"/>
      <c r="F421" s="59"/>
      <c r="G421" s="59"/>
      <c r="H421" s="59"/>
      <c r="I421" s="59"/>
    </row>
    <row r="422" spans="2:9" ht="12.75">
      <c r="B422" s="59"/>
      <c r="C422" s="59"/>
      <c r="D422" s="59"/>
      <c r="E422" s="59"/>
      <c r="F422" s="59"/>
      <c r="G422" s="59"/>
      <c r="H422" s="59"/>
      <c r="I422" s="59"/>
    </row>
    <row r="423" spans="2:9" ht="12.75">
      <c r="B423" s="59"/>
      <c r="C423" s="59"/>
      <c r="D423" s="59"/>
      <c r="E423" s="59"/>
      <c r="F423" s="59"/>
      <c r="G423" s="59"/>
      <c r="H423" s="59"/>
      <c r="I423" s="59"/>
    </row>
    <row r="424" spans="2:9" ht="12.75">
      <c r="B424" s="59"/>
      <c r="C424" s="59"/>
      <c r="D424" s="59"/>
      <c r="E424" s="59"/>
      <c r="F424" s="59"/>
      <c r="G424" s="59"/>
      <c r="H424" s="59"/>
      <c r="I424" s="59"/>
    </row>
    <row r="425" spans="2:9" ht="12.75">
      <c r="B425" s="59"/>
      <c r="C425" s="59"/>
      <c r="D425" s="59"/>
      <c r="E425" s="59"/>
      <c r="F425" s="59"/>
      <c r="G425" s="59"/>
      <c r="H425" s="59"/>
      <c r="I425" s="59"/>
    </row>
    <row r="426" spans="2:9" ht="12.75">
      <c r="B426" s="59"/>
      <c r="C426" s="59"/>
      <c r="D426" s="59"/>
      <c r="E426" s="59"/>
      <c r="F426" s="59"/>
      <c r="G426" s="59"/>
      <c r="H426" s="59"/>
      <c r="I426" s="59"/>
    </row>
    <row r="427" spans="2:9" ht="12.75">
      <c r="B427" s="59"/>
      <c r="C427" s="59"/>
      <c r="D427" s="59"/>
      <c r="E427" s="59"/>
      <c r="F427" s="59"/>
      <c r="G427" s="59"/>
      <c r="H427" s="59"/>
      <c r="I427" s="59"/>
    </row>
    <row r="428" spans="2:9" ht="12.75">
      <c r="B428" s="59"/>
      <c r="C428" s="59"/>
      <c r="D428" s="59"/>
      <c r="E428" s="59"/>
      <c r="F428" s="59"/>
      <c r="G428" s="59"/>
      <c r="H428" s="59"/>
      <c r="I428" s="59"/>
    </row>
    <row r="429" spans="2:9" ht="12.75">
      <c r="B429" s="59"/>
      <c r="C429" s="59"/>
      <c r="D429" s="59"/>
      <c r="E429" s="59"/>
      <c r="F429" s="59"/>
      <c r="G429" s="59"/>
      <c r="H429" s="59"/>
      <c r="I429" s="59"/>
    </row>
    <row r="430" spans="2:9" ht="12.75">
      <c r="B430" s="59"/>
      <c r="C430" s="59"/>
      <c r="D430" s="59"/>
      <c r="E430" s="59"/>
      <c r="F430" s="59"/>
      <c r="G430" s="59"/>
      <c r="H430" s="59"/>
      <c r="I430" s="59"/>
    </row>
    <row r="431" spans="2:9" ht="12.75">
      <c r="B431" s="59"/>
      <c r="C431" s="59"/>
      <c r="D431" s="59"/>
      <c r="E431" s="59"/>
      <c r="F431" s="59"/>
      <c r="G431" s="59"/>
      <c r="H431" s="59"/>
      <c r="I431" s="59"/>
    </row>
    <row r="432" spans="2:9" ht="12.75">
      <c r="B432" s="59"/>
      <c r="C432" s="59"/>
      <c r="D432" s="59"/>
      <c r="E432" s="59"/>
      <c r="F432" s="59"/>
      <c r="G432" s="59"/>
      <c r="H432" s="59"/>
      <c r="I432" s="59"/>
    </row>
    <row r="433" spans="2:9" ht="12.75">
      <c r="B433" s="59"/>
      <c r="C433" s="59"/>
      <c r="D433" s="59"/>
      <c r="E433" s="59"/>
      <c r="F433" s="59"/>
      <c r="G433" s="59"/>
      <c r="H433" s="59"/>
      <c r="I433" s="59"/>
    </row>
    <row r="434" spans="2:9" ht="12.75">
      <c r="B434" s="59"/>
      <c r="C434" s="59"/>
      <c r="D434" s="59"/>
      <c r="E434" s="59"/>
      <c r="F434" s="59"/>
      <c r="G434" s="59"/>
      <c r="H434" s="59"/>
      <c r="I434" s="59"/>
    </row>
    <row r="435" spans="2:9" ht="12.75">
      <c r="B435" s="59"/>
      <c r="C435" s="59"/>
      <c r="D435" s="59"/>
      <c r="E435" s="59"/>
      <c r="F435" s="59"/>
      <c r="G435" s="59"/>
      <c r="H435" s="59"/>
      <c r="I435" s="59"/>
    </row>
    <row r="436" spans="2:9" ht="12.75">
      <c r="B436" s="59"/>
      <c r="C436" s="59"/>
      <c r="D436" s="59"/>
      <c r="E436" s="59"/>
      <c r="F436" s="59"/>
      <c r="G436" s="59"/>
      <c r="H436" s="59"/>
      <c r="I436" s="59"/>
    </row>
    <row r="437" spans="2:9" ht="12.75">
      <c r="B437" s="59"/>
      <c r="C437" s="59"/>
      <c r="D437" s="59"/>
      <c r="E437" s="59"/>
      <c r="F437" s="59"/>
      <c r="G437" s="59"/>
      <c r="H437" s="59"/>
      <c r="I437" s="59"/>
    </row>
    <row r="438" spans="2:9" ht="12.75">
      <c r="B438" s="59"/>
      <c r="C438" s="59"/>
      <c r="D438" s="59"/>
      <c r="E438" s="59"/>
      <c r="F438" s="59"/>
      <c r="G438" s="59"/>
      <c r="H438" s="59"/>
      <c r="I438" s="59"/>
    </row>
    <row r="439" spans="2:9" ht="12.75">
      <c r="B439" s="59"/>
      <c r="C439" s="59"/>
      <c r="D439" s="59"/>
      <c r="E439" s="59"/>
      <c r="F439" s="59"/>
      <c r="G439" s="59"/>
      <c r="H439" s="59"/>
      <c r="I439" s="59"/>
    </row>
    <row r="440" spans="2:9" ht="12.75">
      <c r="B440" s="59"/>
      <c r="C440" s="59"/>
      <c r="D440" s="59"/>
      <c r="E440" s="59"/>
      <c r="F440" s="59"/>
      <c r="G440" s="59"/>
      <c r="H440" s="59"/>
      <c r="I440" s="59"/>
    </row>
    <row r="441" spans="2:9" ht="12.75">
      <c r="B441" s="59"/>
      <c r="C441" s="59"/>
      <c r="D441" s="59"/>
      <c r="E441" s="59"/>
      <c r="F441" s="59"/>
      <c r="G441" s="59"/>
      <c r="H441" s="59"/>
      <c r="I441" s="59"/>
    </row>
    <row r="442" spans="2:9" ht="12.75">
      <c r="B442" s="59"/>
      <c r="C442" s="59"/>
      <c r="D442" s="59"/>
      <c r="E442" s="59"/>
      <c r="F442" s="59"/>
      <c r="G442" s="59"/>
      <c r="H442" s="59"/>
      <c r="I442" s="59"/>
    </row>
    <row r="443" spans="2:9" ht="12.75">
      <c r="B443" s="59"/>
      <c r="C443" s="59"/>
      <c r="D443" s="59"/>
      <c r="E443" s="59"/>
      <c r="F443" s="59"/>
      <c r="G443" s="59"/>
      <c r="H443" s="59"/>
      <c r="I443" s="59"/>
    </row>
    <row r="444" spans="2:9" ht="12.75">
      <c r="B444" s="59"/>
      <c r="C444" s="59"/>
      <c r="D444" s="59"/>
      <c r="E444" s="59"/>
      <c r="F444" s="59"/>
      <c r="G444" s="59"/>
      <c r="H444" s="59"/>
      <c r="I444" s="59"/>
    </row>
    <row r="445" spans="2:9" ht="12.75">
      <c r="B445" s="59"/>
      <c r="C445" s="59"/>
      <c r="D445" s="59"/>
      <c r="E445" s="59"/>
      <c r="F445" s="59"/>
      <c r="G445" s="59"/>
      <c r="H445" s="59"/>
      <c r="I445" s="59"/>
    </row>
    <row r="446" spans="2:9" ht="12.75">
      <c r="B446" s="59"/>
      <c r="C446" s="59"/>
      <c r="D446" s="59"/>
      <c r="E446" s="59"/>
      <c r="F446" s="59"/>
      <c r="G446" s="59"/>
      <c r="H446" s="59"/>
      <c r="I446" s="59"/>
    </row>
    <row r="447" spans="2:9" ht="12.75">
      <c r="B447" s="59"/>
      <c r="C447" s="59"/>
      <c r="D447" s="59"/>
      <c r="E447" s="59"/>
      <c r="F447" s="59"/>
      <c r="G447" s="59"/>
      <c r="H447" s="59"/>
      <c r="I447" s="59"/>
    </row>
    <row r="448" spans="2:9" ht="12.75">
      <c r="B448" s="59"/>
      <c r="C448" s="59"/>
      <c r="D448" s="59"/>
      <c r="E448" s="59"/>
      <c r="F448" s="59"/>
      <c r="G448" s="59"/>
      <c r="H448" s="59"/>
      <c r="I448" s="59"/>
    </row>
    <row r="449" spans="2:9" ht="12.75">
      <c r="B449" s="59"/>
      <c r="C449" s="59"/>
      <c r="D449" s="59"/>
      <c r="E449" s="59"/>
      <c r="F449" s="59"/>
      <c r="G449" s="59"/>
      <c r="H449" s="59"/>
      <c r="I449" s="59"/>
    </row>
    <row r="450" spans="2:9" ht="12.75">
      <c r="B450" s="59"/>
      <c r="C450" s="59"/>
      <c r="D450" s="59"/>
      <c r="E450" s="59"/>
      <c r="F450" s="59"/>
      <c r="G450" s="59"/>
      <c r="H450" s="59"/>
      <c r="I450" s="59"/>
    </row>
    <row r="451" spans="2:9" ht="12.75">
      <c r="B451" s="59"/>
      <c r="C451" s="59"/>
      <c r="D451" s="59"/>
      <c r="E451" s="59"/>
      <c r="F451" s="59"/>
      <c r="G451" s="59"/>
      <c r="H451" s="59"/>
      <c r="I451" s="59"/>
    </row>
    <row r="452" spans="2:9" ht="12.75">
      <c r="B452" s="59"/>
      <c r="C452" s="59"/>
      <c r="D452" s="59"/>
      <c r="E452" s="59"/>
      <c r="F452" s="59"/>
      <c r="G452" s="59"/>
      <c r="H452" s="59"/>
      <c r="I452" s="59"/>
    </row>
    <row r="453" spans="2:9" ht="12.75">
      <c r="B453" s="59"/>
      <c r="C453" s="59"/>
      <c r="D453" s="59"/>
      <c r="E453" s="59"/>
      <c r="F453" s="59"/>
      <c r="G453" s="59"/>
      <c r="H453" s="59"/>
      <c r="I453" s="59"/>
    </row>
    <row r="454" spans="2:9" ht="12.75">
      <c r="B454" s="59"/>
      <c r="C454" s="59"/>
      <c r="D454" s="59"/>
      <c r="E454" s="59"/>
      <c r="F454" s="59"/>
      <c r="G454" s="59"/>
      <c r="H454" s="59"/>
      <c r="I454" s="59"/>
    </row>
    <row r="455" spans="2:9" ht="12.75">
      <c r="B455" s="59"/>
      <c r="C455" s="59"/>
      <c r="D455" s="59"/>
      <c r="E455" s="59"/>
      <c r="F455" s="59"/>
      <c r="G455" s="59"/>
      <c r="H455" s="59"/>
      <c r="I455" s="59"/>
    </row>
    <row r="456" spans="2:9" ht="12.75">
      <c r="B456" s="59"/>
      <c r="C456" s="59"/>
      <c r="D456" s="59"/>
      <c r="E456" s="59"/>
      <c r="F456" s="59"/>
      <c r="G456" s="59"/>
      <c r="H456" s="59"/>
      <c r="I456" s="59"/>
    </row>
    <row r="457" spans="2:9" ht="12.75">
      <c r="B457" s="59"/>
      <c r="C457" s="59"/>
      <c r="D457" s="59"/>
      <c r="E457" s="59"/>
      <c r="F457" s="59"/>
      <c r="G457" s="59"/>
      <c r="H457" s="59"/>
      <c r="I457" s="59"/>
    </row>
    <row r="458" spans="2:9" ht="12.75">
      <c r="B458" s="59"/>
      <c r="C458" s="59"/>
      <c r="D458" s="59"/>
      <c r="E458" s="59"/>
      <c r="F458" s="59"/>
      <c r="G458" s="59"/>
      <c r="H458" s="59"/>
      <c r="I458" s="59"/>
    </row>
    <row r="459" spans="2:9" ht="12.75">
      <c r="B459" s="59"/>
      <c r="C459" s="59"/>
      <c r="D459" s="59"/>
      <c r="E459" s="59"/>
      <c r="F459" s="59"/>
      <c r="G459" s="59"/>
      <c r="H459" s="59"/>
      <c r="I459" s="59"/>
    </row>
    <row r="460" spans="2:9" ht="12.75">
      <c r="B460" s="59"/>
      <c r="C460" s="59"/>
      <c r="D460" s="59"/>
      <c r="E460" s="59"/>
      <c r="F460" s="59"/>
      <c r="G460" s="59"/>
      <c r="H460" s="59"/>
      <c r="I460" s="59"/>
    </row>
    <row r="461" spans="2:9" ht="12.75">
      <c r="B461" s="59"/>
      <c r="C461" s="59"/>
      <c r="D461" s="59"/>
      <c r="E461" s="59"/>
      <c r="F461" s="59"/>
      <c r="G461" s="59"/>
      <c r="H461" s="59"/>
      <c r="I461" s="59"/>
    </row>
    <row r="462" spans="2:9" ht="12.75">
      <c r="B462" s="59"/>
      <c r="C462" s="59"/>
      <c r="D462" s="59"/>
      <c r="E462" s="59"/>
      <c r="F462" s="59"/>
      <c r="G462" s="59"/>
      <c r="H462" s="59"/>
      <c r="I462" s="59"/>
    </row>
    <row r="463" spans="2:9" ht="12.75">
      <c r="B463" s="59"/>
      <c r="C463" s="59"/>
      <c r="D463" s="59"/>
      <c r="E463" s="59"/>
      <c r="F463" s="59"/>
      <c r="G463" s="59"/>
      <c r="H463" s="59"/>
      <c r="I463" s="59"/>
    </row>
    <row r="464" spans="2:9" ht="12.75">
      <c r="B464" s="59"/>
      <c r="C464" s="59"/>
      <c r="D464" s="59"/>
      <c r="E464" s="59"/>
      <c r="F464" s="59"/>
      <c r="G464" s="59"/>
      <c r="H464" s="59"/>
      <c r="I464" s="59"/>
    </row>
    <row r="465" spans="2:9" ht="12.75">
      <c r="B465" s="59"/>
      <c r="C465" s="59"/>
      <c r="D465" s="59"/>
      <c r="E465" s="59"/>
      <c r="F465" s="59"/>
      <c r="G465" s="59"/>
      <c r="H465" s="59"/>
      <c r="I465" s="59"/>
    </row>
    <row r="466" spans="2:9" ht="12.75">
      <c r="B466" s="59"/>
      <c r="C466" s="59"/>
      <c r="D466" s="59"/>
      <c r="E466" s="59"/>
      <c r="F466" s="59"/>
      <c r="G466" s="59"/>
      <c r="H466" s="59"/>
      <c r="I466" s="59"/>
    </row>
    <row r="467" spans="2:9" ht="12.75">
      <c r="B467" s="59"/>
      <c r="C467" s="59"/>
      <c r="D467" s="59"/>
      <c r="E467" s="59"/>
      <c r="F467" s="59"/>
      <c r="G467" s="59"/>
      <c r="H467" s="59"/>
      <c r="I467" s="59"/>
    </row>
    <row r="468" spans="2:9" ht="12.75">
      <c r="B468" s="59"/>
      <c r="C468" s="59"/>
      <c r="D468" s="59"/>
      <c r="E468" s="59"/>
      <c r="F468" s="59"/>
      <c r="G468" s="59"/>
      <c r="H468" s="59"/>
      <c r="I468" s="59"/>
    </row>
    <row r="469" spans="2:9" ht="12.75">
      <c r="B469" s="59"/>
      <c r="C469" s="59"/>
      <c r="D469" s="59"/>
      <c r="E469" s="59"/>
      <c r="F469" s="59"/>
      <c r="G469" s="59"/>
      <c r="H469" s="59"/>
      <c r="I469" s="59"/>
    </row>
    <row r="470" spans="2:9" ht="12.75">
      <c r="B470" s="59"/>
      <c r="C470" s="59"/>
      <c r="D470" s="59"/>
      <c r="E470" s="59"/>
      <c r="F470" s="59"/>
      <c r="G470" s="59"/>
      <c r="H470" s="59"/>
      <c r="I470" s="59"/>
    </row>
    <row r="471" spans="2:9" ht="12.75">
      <c r="B471" s="59"/>
      <c r="C471" s="59"/>
      <c r="D471" s="59"/>
      <c r="E471" s="59"/>
      <c r="F471" s="59"/>
      <c r="G471" s="59"/>
      <c r="H471" s="59"/>
      <c r="I471" s="59"/>
    </row>
    <row r="472" spans="2:9" ht="12.75">
      <c r="B472" s="59"/>
      <c r="C472" s="59"/>
      <c r="D472" s="59"/>
      <c r="E472" s="59"/>
      <c r="F472" s="59"/>
      <c r="G472" s="59"/>
      <c r="H472" s="59"/>
      <c r="I472" s="59"/>
    </row>
    <row r="473" spans="2:9" ht="12.75">
      <c r="B473" s="59"/>
      <c r="C473" s="59"/>
      <c r="D473" s="59"/>
      <c r="E473" s="59"/>
      <c r="F473" s="59"/>
      <c r="G473" s="59"/>
      <c r="H473" s="59"/>
      <c r="I473" s="59"/>
    </row>
    <row r="474" spans="2:9" ht="12.75">
      <c r="B474" s="59"/>
      <c r="C474" s="59"/>
      <c r="D474" s="59"/>
      <c r="E474" s="59"/>
      <c r="F474" s="59"/>
      <c r="G474" s="59"/>
      <c r="H474" s="59"/>
      <c r="I474" s="59"/>
    </row>
    <row r="475" spans="2:9" ht="12.75">
      <c r="B475" s="59"/>
      <c r="C475" s="59"/>
      <c r="D475" s="59"/>
      <c r="E475" s="59"/>
      <c r="F475" s="59"/>
      <c r="G475" s="59"/>
      <c r="H475" s="59"/>
      <c r="I475" s="59"/>
    </row>
    <row r="476" spans="2:9" ht="12.75">
      <c r="B476" s="59"/>
      <c r="C476" s="59"/>
      <c r="D476" s="59"/>
      <c r="E476" s="59"/>
      <c r="F476" s="59"/>
      <c r="G476" s="59"/>
      <c r="H476" s="59"/>
      <c r="I476" s="59"/>
    </row>
    <row r="477" spans="2:9" ht="12.75">
      <c r="B477" s="59"/>
      <c r="C477" s="59"/>
      <c r="D477" s="59"/>
      <c r="E477" s="59"/>
      <c r="F477" s="59"/>
      <c r="G477" s="59"/>
      <c r="H477" s="59"/>
      <c r="I477" s="59"/>
    </row>
    <row r="478" spans="2:9" ht="12.75">
      <c r="B478" s="59"/>
      <c r="C478" s="59"/>
      <c r="D478" s="59"/>
      <c r="E478" s="59"/>
      <c r="F478" s="59"/>
      <c r="G478" s="59"/>
      <c r="H478" s="59"/>
      <c r="I478" s="59"/>
    </row>
    <row r="479" spans="2:9" ht="12.75">
      <c r="B479" s="59"/>
      <c r="C479" s="59"/>
      <c r="D479" s="59"/>
      <c r="E479" s="59"/>
      <c r="F479" s="59"/>
      <c r="G479" s="59"/>
      <c r="H479" s="59"/>
      <c r="I479" s="59"/>
    </row>
    <row r="480" spans="2:9" ht="12.75">
      <c r="B480" s="59"/>
      <c r="C480" s="59"/>
      <c r="D480" s="59"/>
      <c r="E480" s="59"/>
      <c r="F480" s="59"/>
      <c r="G480" s="59"/>
      <c r="H480" s="59"/>
      <c r="I480" s="59"/>
    </row>
    <row r="481" spans="2:9" ht="12.75">
      <c r="B481" s="59"/>
      <c r="C481" s="59"/>
      <c r="D481" s="59"/>
      <c r="E481" s="59"/>
      <c r="F481" s="59"/>
      <c r="G481" s="59"/>
      <c r="H481" s="59"/>
      <c r="I481" s="59"/>
    </row>
    <row r="482" spans="2:9" ht="12.75">
      <c r="B482" s="59"/>
      <c r="C482" s="59"/>
      <c r="D482" s="59"/>
      <c r="E482" s="59"/>
      <c r="F482" s="59"/>
      <c r="G482" s="59"/>
      <c r="H482" s="59"/>
      <c r="I482" s="59"/>
    </row>
    <row r="483" spans="2:9" ht="12.75">
      <c r="B483" s="59"/>
      <c r="C483" s="59"/>
      <c r="D483" s="59"/>
      <c r="E483" s="59"/>
      <c r="F483" s="59"/>
      <c r="G483" s="59"/>
      <c r="H483" s="59"/>
      <c r="I483" s="59"/>
    </row>
    <row r="484" spans="2:9" ht="12.75">
      <c r="B484" s="59"/>
      <c r="C484" s="59"/>
      <c r="D484" s="59"/>
      <c r="E484" s="59"/>
      <c r="F484" s="59"/>
      <c r="G484" s="59"/>
      <c r="H484" s="59"/>
      <c r="I484" s="59"/>
    </row>
    <row r="485" spans="2:9" ht="12.75">
      <c r="B485" s="59"/>
      <c r="C485" s="59"/>
      <c r="D485" s="59"/>
      <c r="E485" s="59"/>
      <c r="F485" s="59"/>
      <c r="G485" s="59"/>
      <c r="H485" s="59"/>
      <c r="I485" s="59"/>
    </row>
    <row r="486" spans="2:9" ht="12.75">
      <c r="B486" s="59"/>
      <c r="C486" s="59"/>
      <c r="D486" s="59"/>
      <c r="E486" s="59"/>
      <c r="F486" s="59"/>
      <c r="G486" s="59"/>
      <c r="H486" s="59"/>
      <c r="I486" s="59"/>
    </row>
    <row r="487" spans="2:9" ht="12.75">
      <c r="B487" s="59"/>
      <c r="C487" s="59"/>
      <c r="D487" s="59"/>
      <c r="E487" s="59"/>
      <c r="F487" s="59"/>
      <c r="G487" s="59"/>
      <c r="H487" s="59"/>
      <c r="I487" s="59"/>
    </row>
    <row r="488" spans="2:9" ht="12.75">
      <c r="B488" s="59"/>
      <c r="C488" s="59"/>
      <c r="D488" s="59"/>
      <c r="E488" s="59"/>
      <c r="F488" s="59"/>
      <c r="G488" s="59"/>
      <c r="H488" s="59"/>
      <c r="I488" s="59"/>
    </row>
    <row r="489" spans="2:9" ht="12.75">
      <c r="B489" s="59"/>
      <c r="C489" s="59"/>
      <c r="D489" s="59"/>
      <c r="E489" s="59"/>
      <c r="F489" s="59"/>
      <c r="G489" s="59"/>
      <c r="H489" s="59"/>
      <c r="I489" s="59"/>
    </row>
    <row r="490" spans="2:9" ht="12.75">
      <c r="B490" s="59"/>
      <c r="C490" s="59"/>
      <c r="D490" s="59"/>
      <c r="E490" s="59"/>
      <c r="F490" s="59"/>
      <c r="G490" s="59"/>
      <c r="H490" s="59"/>
      <c r="I490" s="59"/>
    </row>
    <row r="491" spans="2:9" ht="12.75">
      <c r="B491" s="59"/>
      <c r="C491" s="59"/>
      <c r="D491" s="59"/>
      <c r="E491" s="59"/>
      <c r="F491" s="59"/>
      <c r="G491" s="59"/>
      <c r="H491" s="59"/>
      <c r="I491" s="59"/>
    </row>
    <row r="492" spans="2:9" ht="12.75">
      <c r="B492" s="59"/>
      <c r="C492" s="59"/>
      <c r="D492" s="59"/>
      <c r="E492" s="59"/>
      <c r="F492" s="59"/>
      <c r="G492" s="59"/>
      <c r="H492" s="59"/>
      <c r="I492" s="59"/>
    </row>
    <row r="493" spans="2:9" ht="12.75">
      <c r="B493" s="59"/>
      <c r="C493" s="59"/>
      <c r="D493" s="59"/>
      <c r="E493" s="59"/>
      <c r="F493" s="59"/>
      <c r="G493" s="59"/>
      <c r="H493" s="59"/>
      <c r="I493" s="59"/>
    </row>
    <row r="494" spans="2:9" ht="12.75">
      <c r="B494" s="59"/>
      <c r="C494" s="59"/>
      <c r="D494" s="59"/>
      <c r="E494" s="59"/>
      <c r="F494" s="59"/>
      <c r="G494" s="59"/>
      <c r="H494" s="59"/>
      <c r="I494" s="59"/>
    </row>
    <row r="495" spans="2:9" ht="12.75">
      <c r="B495" s="59"/>
      <c r="C495" s="59"/>
      <c r="D495" s="59"/>
      <c r="E495" s="59"/>
      <c r="F495" s="59"/>
      <c r="G495" s="59"/>
      <c r="H495" s="59"/>
      <c r="I495" s="59"/>
    </row>
    <row r="496" spans="2:9" ht="12.75">
      <c r="B496" s="59"/>
      <c r="C496" s="59"/>
      <c r="D496" s="59"/>
      <c r="E496" s="59"/>
      <c r="F496" s="59"/>
      <c r="G496" s="59"/>
      <c r="H496" s="59"/>
      <c r="I496" s="59"/>
    </row>
    <row r="497" spans="2:9" ht="12.75">
      <c r="B497" s="59"/>
      <c r="C497" s="59"/>
      <c r="D497" s="59"/>
      <c r="E497" s="59"/>
      <c r="F497" s="59"/>
      <c r="G497" s="59"/>
      <c r="H497" s="59"/>
      <c r="I497" s="59"/>
    </row>
    <row r="498" spans="2:9" ht="12.75">
      <c r="B498" s="59"/>
      <c r="C498" s="59"/>
      <c r="D498" s="59"/>
      <c r="E498" s="59"/>
      <c r="F498" s="59"/>
      <c r="G498" s="59"/>
      <c r="H498" s="59"/>
      <c r="I498" s="59"/>
    </row>
    <row r="499" spans="2:9" ht="12.75">
      <c r="B499" s="59"/>
      <c r="C499" s="59"/>
      <c r="D499" s="59"/>
      <c r="E499" s="59"/>
      <c r="F499" s="59"/>
      <c r="G499" s="59"/>
      <c r="H499" s="59"/>
      <c r="I499" s="59"/>
    </row>
    <row r="500" spans="2:9" ht="12.75">
      <c r="B500" s="59"/>
      <c r="C500" s="59"/>
      <c r="D500" s="59"/>
      <c r="E500" s="59"/>
      <c r="F500" s="59"/>
      <c r="G500" s="59"/>
      <c r="H500" s="59"/>
      <c r="I500" s="59"/>
    </row>
    <row r="501" spans="2:9" ht="12.75">
      <c r="B501" s="59"/>
      <c r="C501" s="59"/>
      <c r="D501" s="59"/>
      <c r="E501" s="59"/>
      <c r="F501" s="59"/>
      <c r="G501" s="59"/>
      <c r="H501" s="59"/>
      <c r="I501" s="59"/>
    </row>
    <row r="502" spans="2:9" ht="12.75">
      <c r="B502" s="59"/>
      <c r="C502" s="59"/>
      <c r="D502" s="59"/>
      <c r="E502" s="59"/>
      <c r="F502" s="59"/>
      <c r="G502" s="59"/>
      <c r="H502" s="59"/>
      <c r="I502" s="59"/>
    </row>
    <row r="503" spans="2:9" ht="12.75">
      <c r="B503" s="59"/>
      <c r="C503" s="59"/>
      <c r="D503" s="59"/>
      <c r="E503" s="59"/>
      <c r="F503" s="59"/>
      <c r="G503" s="59"/>
      <c r="H503" s="59"/>
      <c r="I503" s="59"/>
    </row>
    <row r="504" spans="2:9" ht="12.75">
      <c r="B504" s="59"/>
      <c r="C504" s="59"/>
      <c r="D504" s="59"/>
      <c r="E504" s="59"/>
      <c r="F504" s="59"/>
      <c r="G504" s="59"/>
      <c r="H504" s="59"/>
      <c r="I504" s="59"/>
    </row>
    <row r="505" spans="2:9" ht="12.75">
      <c r="B505" s="59"/>
      <c r="C505" s="59"/>
      <c r="D505" s="59"/>
      <c r="E505" s="59"/>
      <c r="F505" s="59"/>
      <c r="G505" s="59"/>
      <c r="H505" s="59"/>
      <c r="I505" s="59"/>
    </row>
    <row r="506" spans="2:9" ht="12.75">
      <c r="B506" s="59"/>
      <c r="C506" s="59"/>
      <c r="D506" s="59"/>
      <c r="E506" s="59"/>
      <c r="F506" s="59"/>
      <c r="G506" s="59"/>
      <c r="H506" s="59"/>
      <c r="I506" s="59"/>
    </row>
    <row r="507" spans="2:9" ht="12.75">
      <c r="B507" s="59"/>
      <c r="C507" s="59"/>
      <c r="D507" s="59"/>
      <c r="E507" s="59"/>
      <c r="F507" s="59"/>
      <c r="G507" s="59"/>
      <c r="H507" s="59"/>
      <c r="I507" s="59"/>
    </row>
    <row r="508" spans="2:9" ht="12.75">
      <c r="B508" s="59"/>
      <c r="C508" s="59"/>
      <c r="D508" s="59"/>
      <c r="E508" s="59"/>
      <c r="F508" s="59"/>
      <c r="G508" s="59"/>
      <c r="H508" s="59"/>
      <c r="I508" s="59"/>
    </row>
    <row r="509" spans="2:9" ht="12.75">
      <c r="B509" s="59"/>
      <c r="C509" s="59"/>
      <c r="D509" s="59"/>
      <c r="E509" s="59"/>
      <c r="F509" s="59"/>
      <c r="G509" s="59"/>
      <c r="H509" s="59"/>
      <c r="I509" s="59"/>
    </row>
    <row r="510" spans="2:9" ht="12.75">
      <c r="B510" s="59"/>
      <c r="C510" s="59"/>
      <c r="D510" s="59"/>
      <c r="E510" s="59"/>
      <c r="F510" s="59"/>
      <c r="G510" s="59"/>
      <c r="H510" s="59"/>
      <c r="I510" s="59"/>
    </row>
    <row r="511" spans="2:9" ht="12.75">
      <c r="B511" s="59"/>
      <c r="C511" s="59"/>
      <c r="D511" s="59"/>
      <c r="E511" s="59"/>
      <c r="F511" s="59"/>
      <c r="G511" s="59"/>
      <c r="H511" s="59"/>
      <c r="I511" s="59"/>
    </row>
    <row r="512" spans="2:9" ht="12.75">
      <c r="B512" s="59"/>
      <c r="C512" s="59"/>
      <c r="D512" s="59"/>
      <c r="E512" s="59"/>
      <c r="F512" s="59"/>
      <c r="G512" s="59"/>
      <c r="H512" s="59"/>
      <c r="I512" s="59"/>
    </row>
    <row r="513" spans="2:9" ht="12.75">
      <c r="B513" s="59"/>
      <c r="C513" s="59"/>
      <c r="D513" s="59"/>
      <c r="E513" s="59"/>
      <c r="F513" s="59"/>
      <c r="G513" s="59"/>
      <c r="H513" s="59"/>
      <c r="I513" s="59"/>
    </row>
    <row r="514" spans="2:9" ht="12.75">
      <c r="B514" s="59"/>
      <c r="C514" s="59"/>
      <c r="D514" s="59"/>
      <c r="E514" s="59"/>
      <c r="F514" s="59"/>
      <c r="G514" s="59"/>
      <c r="H514" s="59"/>
      <c r="I514" s="59"/>
    </row>
    <row r="515" spans="2:9" ht="12.75">
      <c r="B515" s="59"/>
      <c r="C515" s="59"/>
      <c r="D515" s="59"/>
      <c r="E515" s="59"/>
      <c r="F515" s="59"/>
      <c r="G515" s="59"/>
      <c r="H515" s="59"/>
      <c r="I515" s="59"/>
    </row>
    <row r="516" spans="2:9" ht="12.75">
      <c r="B516" s="59"/>
      <c r="C516" s="59"/>
      <c r="D516" s="59"/>
      <c r="E516" s="59"/>
      <c r="F516" s="59"/>
      <c r="G516" s="59"/>
      <c r="H516" s="59"/>
      <c r="I516" s="59"/>
    </row>
    <row r="517" spans="2:9" ht="12.75">
      <c r="B517" s="59"/>
      <c r="C517" s="59"/>
      <c r="D517" s="59"/>
      <c r="E517" s="59"/>
      <c r="F517" s="59"/>
      <c r="G517" s="59"/>
      <c r="H517" s="59"/>
      <c r="I517" s="59"/>
    </row>
    <row r="518" spans="2:9" ht="12.75">
      <c r="B518" s="59"/>
      <c r="C518" s="59"/>
      <c r="D518" s="59"/>
      <c r="E518" s="59"/>
      <c r="F518" s="59"/>
      <c r="G518" s="59"/>
      <c r="H518" s="59"/>
      <c r="I518" s="59"/>
    </row>
    <row r="519" spans="2:9" ht="12.75">
      <c r="B519" s="59"/>
      <c r="C519" s="59"/>
      <c r="D519" s="59"/>
      <c r="E519" s="59"/>
      <c r="F519" s="59"/>
      <c r="G519" s="59"/>
      <c r="H519" s="59"/>
      <c r="I519" s="59"/>
    </row>
    <row r="520" spans="2:9" ht="12.75">
      <c r="B520" s="59"/>
      <c r="C520" s="59"/>
      <c r="D520" s="59"/>
      <c r="E520" s="59"/>
      <c r="F520" s="59"/>
      <c r="G520" s="59"/>
      <c r="H520" s="59"/>
      <c r="I520" s="59"/>
    </row>
    <row r="521" spans="2:9" ht="12.75">
      <c r="B521" s="59"/>
      <c r="C521" s="59"/>
      <c r="D521" s="59"/>
      <c r="E521" s="59"/>
      <c r="F521" s="59"/>
      <c r="G521" s="59"/>
      <c r="H521" s="59"/>
      <c r="I521" s="59"/>
    </row>
    <row r="522" spans="2:9" ht="12.75">
      <c r="B522" s="59"/>
      <c r="C522" s="59"/>
      <c r="D522" s="59"/>
      <c r="E522" s="59"/>
      <c r="F522" s="59"/>
      <c r="G522" s="59"/>
      <c r="H522" s="59"/>
      <c r="I522" s="59"/>
    </row>
    <row r="523" spans="2:9" ht="12.75">
      <c r="B523" s="59"/>
      <c r="C523" s="59"/>
      <c r="D523" s="59"/>
      <c r="E523" s="59"/>
      <c r="F523" s="59"/>
      <c r="G523" s="59"/>
      <c r="H523" s="59"/>
      <c r="I523" s="59"/>
    </row>
    <row r="524" spans="2:9" ht="12.75">
      <c r="B524" s="59"/>
      <c r="C524" s="59"/>
      <c r="D524" s="59"/>
      <c r="E524" s="59"/>
      <c r="F524" s="59"/>
      <c r="G524" s="59"/>
      <c r="H524" s="59"/>
      <c r="I524" s="59"/>
    </row>
    <row r="525" spans="2:9" ht="12.75">
      <c r="B525" s="59"/>
      <c r="C525" s="59"/>
      <c r="D525" s="59"/>
      <c r="E525" s="59"/>
      <c r="F525" s="59"/>
      <c r="G525" s="59"/>
      <c r="H525" s="59"/>
      <c r="I525" s="59"/>
    </row>
    <row r="526" spans="2:9" ht="12.75">
      <c r="B526" s="59"/>
      <c r="C526" s="59"/>
      <c r="D526" s="59"/>
      <c r="E526" s="59"/>
      <c r="F526" s="59"/>
      <c r="G526" s="59"/>
      <c r="H526" s="59"/>
      <c r="I526" s="59"/>
    </row>
    <row r="527" spans="2:9" ht="12.75">
      <c r="B527" s="59"/>
      <c r="C527" s="59"/>
      <c r="D527" s="59"/>
      <c r="E527" s="59"/>
      <c r="F527" s="59"/>
      <c r="G527" s="59"/>
      <c r="H527" s="59"/>
      <c r="I527" s="59"/>
    </row>
    <row r="528" spans="2:9" ht="12.75">
      <c r="B528" s="59"/>
      <c r="C528" s="59"/>
      <c r="D528" s="59"/>
      <c r="E528" s="59"/>
      <c r="F528" s="59"/>
      <c r="G528" s="59"/>
      <c r="H528" s="59"/>
      <c r="I528" s="59"/>
    </row>
    <row r="529" spans="2:9" ht="12.75">
      <c r="B529" s="59"/>
      <c r="C529" s="59"/>
      <c r="D529" s="59"/>
      <c r="E529" s="59"/>
      <c r="F529" s="59"/>
      <c r="G529" s="59"/>
      <c r="H529" s="59"/>
      <c r="I529" s="59"/>
    </row>
    <row r="530" spans="2:9" ht="12.75">
      <c r="B530" s="59"/>
      <c r="C530" s="59"/>
      <c r="D530" s="59"/>
      <c r="E530" s="59"/>
      <c r="F530" s="59"/>
      <c r="G530" s="59"/>
      <c r="H530" s="59"/>
      <c r="I530" s="59"/>
    </row>
    <row r="531" spans="2:9" ht="12.75">
      <c r="B531" s="59"/>
      <c r="C531" s="59"/>
      <c r="D531" s="59"/>
      <c r="E531" s="59"/>
      <c r="F531" s="59"/>
      <c r="G531" s="59"/>
      <c r="H531" s="59"/>
      <c r="I531" s="59"/>
    </row>
    <row r="532" spans="2:9" ht="12.75">
      <c r="B532" s="59"/>
      <c r="C532" s="59"/>
      <c r="D532" s="59"/>
      <c r="E532" s="59"/>
      <c r="F532" s="59"/>
      <c r="G532" s="59"/>
      <c r="H532" s="59"/>
      <c r="I532" s="59"/>
    </row>
    <row r="533" spans="2:9" ht="12.75">
      <c r="B533" s="59"/>
      <c r="C533" s="59"/>
      <c r="D533" s="59"/>
      <c r="E533" s="59"/>
      <c r="F533" s="59"/>
      <c r="G533" s="59"/>
      <c r="H533" s="59"/>
      <c r="I533" s="59"/>
    </row>
    <row r="534" spans="2:9" ht="12.75">
      <c r="B534" s="59"/>
      <c r="C534" s="59"/>
      <c r="D534" s="59"/>
      <c r="E534" s="59"/>
      <c r="F534" s="59"/>
      <c r="G534" s="59"/>
      <c r="H534" s="59"/>
      <c r="I534" s="59"/>
    </row>
    <row r="535" spans="2:9" ht="12.75">
      <c r="B535" s="59"/>
      <c r="C535" s="59"/>
      <c r="D535" s="59"/>
      <c r="E535" s="59"/>
      <c r="F535" s="59"/>
      <c r="G535" s="59"/>
      <c r="H535" s="59"/>
      <c r="I535" s="59"/>
    </row>
    <row r="536" spans="2:9" ht="12.75">
      <c r="B536" s="59"/>
      <c r="C536" s="59"/>
      <c r="D536" s="59"/>
      <c r="E536" s="59"/>
      <c r="F536" s="59"/>
      <c r="G536" s="59"/>
      <c r="H536" s="59"/>
      <c r="I536" s="59"/>
    </row>
    <row r="537" spans="2:9" ht="12.75">
      <c r="B537" s="59"/>
      <c r="C537" s="59"/>
      <c r="D537" s="59"/>
      <c r="E537" s="59"/>
      <c r="F537" s="59"/>
      <c r="G537" s="59"/>
      <c r="H537" s="59"/>
      <c r="I537" s="59"/>
    </row>
    <row r="538" spans="2:9" ht="12.75">
      <c r="B538" s="59"/>
      <c r="C538" s="59"/>
      <c r="D538" s="59"/>
      <c r="E538" s="59"/>
      <c r="F538" s="59"/>
      <c r="G538" s="59"/>
      <c r="H538" s="59"/>
      <c r="I538" s="59"/>
    </row>
    <row r="539" spans="2:9" ht="12.75">
      <c r="B539" s="59"/>
      <c r="C539" s="59"/>
      <c r="D539" s="59"/>
      <c r="E539" s="59"/>
      <c r="F539" s="59"/>
      <c r="G539" s="59"/>
      <c r="H539" s="59"/>
      <c r="I539" s="59"/>
    </row>
    <row r="540" spans="2:9" ht="12.75">
      <c r="B540" s="59"/>
      <c r="C540" s="59"/>
      <c r="D540" s="59"/>
      <c r="E540" s="59"/>
      <c r="F540" s="59"/>
      <c r="G540" s="59"/>
      <c r="H540" s="59"/>
      <c r="I540" s="59"/>
    </row>
    <row r="541" spans="2:9" ht="12.75">
      <c r="B541" s="59"/>
      <c r="C541" s="59"/>
      <c r="D541" s="59"/>
      <c r="E541" s="59"/>
      <c r="F541" s="59"/>
      <c r="G541" s="59"/>
      <c r="H541" s="59"/>
      <c r="I541" s="59"/>
    </row>
    <row r="542" spans="2:9" ht="12.75">
      <c r="B542" s="59"/>
      <c r="C542" s="59"/>
      <c r="D542" s="59"/>
      <c r="E542" s="59"/>
      <c r="F542" s="59"/>
      <c r="G542" s="59"/>
      <c r="H542" s="59"/>
      <c r="I542" s="59"/>
    </row>
    <row r="543" spans="2:9" ht="12.75">
      <c r="B543" s="59"/>
      <c r="C543" s="59"/>
      <c r="D543" s="59"/>
      <c r="E543" s="59"/>
      <c r="F543" s="59"/>
      <c r="G543" s="59"/>
      <c r="H543" s="59"/>
      <c r="I543" s="59"/>
    </row>
    <row r="544" spans="2:9" ht="12.75">
      <c r="B544" s="59"/>
      <c r="C544" s="59"/>
      <c r="D544" s="59"/>
      <c r="E544" s="59"/>
      <c r="F544" s="59"/>
      <c r="G544" s="59"/>
      <c r="H544" s="59"/>
      <c r="I544" s="59"/>
    </row>
    <row r="545" spans="2:9" ht="12.75">
      <c r="B545" s="59"/>
      <c r="C545" s="59"/>
      <c r="D545" s="59"/>
      <c r="E545" s="59"/>
      <c r="F545" s="59"/>
      <c r="G545" s="59"/>
      <c r="H545" s="59"/>
      <c r="I545" s="59"/>
    </row>
    <row r="546" spans="2:9" ht="12.75">
      <c r="B546" s="59"/>
      <c r="C546" s="59"/>
      <c r="D546" s="59"/>
      <c r="E546" s="59"/>
      <c r="F546" s="59"/>
      <c r="G546" s="59"/>
      <c r="H546" s="59"/>
      <c r="I546" s="59"/>
    </row>
    <row r="547" spans="2:9" ht="12.75">
      <c r="B547" s="59"/>
      <c r="C547" s="59"/>
      <c r="D547" s="59"/>
      <c r="E547" s="59"/>
      <c r="F547" s="59"/>
      <c r="G547" s="59"/>
      <c r="H547" s="59"/>
      <c r="I547" s="59"/>
    </row>
    <row r="548" spans="2:9" ht="12.75">
      <c r="B548" s="59"/>
      <c r="C548" s="59"/>
      <c r="D548" s="59"/>
      <c r="E548" s="59"/>
      <c r="F548" s="59"/>
      <c r="G548" s="59"/>
      <c r="H548" s="59"/>
      <c r="I548" s="59"/>
    </row>
    <row r="549" spans="2:9" ht="12.75">
      <c r="B549" s="59"/>
      <c r="C549" s="59"/>
      <c r="D549" s="59"/>
      <c r="E549" s="59"/>
      <c r="F549" s="59"/>
      <c r="G549" s="59"/>
      <c r="H549" s="59"/>
      <c r="I549" s="59"/>
    </row>
    <row r="550" spans="2:9" ht="12.75">
      <c r="B550" s="59"/>
      <c r="C550" s="59"/>
      <c r="D550" s="59"/>
      <c r="E550" s="59"/>
      <c r="F550" s="59"/>
      <c r="G550" s="59"/>
      <c r="H550" s="59"/>
      <c r="I550" s="59"/>
    </row>
    <row r="551" spans="2:9" ht="12.75">
      <c r="B551" s="59"/>
      <c r="C551" s="59"/>
      <c r="D551" s="59"/>
      <c r="E551" s="59"/>
      <c r="F551" s="59"/>
      <c r="G551" s="59"/>
      <c r="H551" s="59"/>
      <c r="I551" s="59"/>
    </row>
    <row r="552" spans="2:9" ht="12.75">
      <c r="B552" s="59"/>
      <c r="C552" s="59"/>
      <c r="D552" s="59"/>
      <c r="E552" s="59"/>
      <c r="F552" s="59"/>
      <c r="G552" s="59"/>
      <c r="H552" s="59"/>
      <c r="I552" s="59"/>
    </row>
    <row r="553" spans="2:9" ht="12.75">
      <c r="B553" s="59"/>
      <c r="C553" s="59"/>
      <c r="D553" s="59"/>
      <c r="E553" s="59"/>
      <c r="F553" s="59"/>
      <c r="G553" s="59"/>
      <c r="H553" s="59"/>
      <c r="I553" s="59"/>
    </row>
    <row r="554" spans="2:9" ht="12.75">
      <c r="B554" s="59"/>
      <c r="C554" s="59"/>
      <c r="D554" s="59"/>
      <c r="E554" s="59"/>
      <c r="F554" s="59"/>
      <c r="G554" s="59"/>
      <c r="H554" s="59"/>
      <c r="I554" s="59"/>
    </row>
    <row r="555" spans="2:9" ht="12.75">
      <c r="B555" s="59"/>
      <c r="C555" s="59"/>
      <c r="D555" s="59"/>
      <c r="E555" s="59"/>
      <c r="F555" s="59"/>
      <c r="G555" s="59"/>
      <c r="H555" s="59"/>
      <c r="I555" s="59"/>
    </row>
    <row r="556" spans="2:9" ht="12.75">
      <c r="B556" s="59"/>
      <c r="C556" s="59"/>
      <c r="D556" s="59"/>
      <c r="E556" s="59"/>
      <c r="F556" s="59"/>
      <c r="G556" s="59"/>
      <c r="H556" s="59"/>
      <c r="I556" s="59"/>
    </row>
    <row r="557" spans="2:9" ht="12.75">
      <c r="B557" s="59"/>
      <c r="C557" s="59"/>
      <c r="D557" s="59"/>
      <c r="E557" s="59"/>
      <c r="F557" s="59"/>
      <c r="G557" s="59"/>
      <c r="H557" s="59"/>
      <c r="I557" s="59"/>
    </row>
    <row r="558" spans="2:9" ht="12.75">
      <c r="B558" s="59"/>
      <c r="C558" s="59"/>
      <c r="D558" s="59"/>
      <c r="E558" s="59"/>
      <c r="F558" s="59"/>
      <c r="G558" s="59"/>
      <c r="H558" s="59"/>
      <c r="I558" s="59"/>
    </row>
    <row r="559" spans="2:9" ht="12.75">
      <c r="B559" s="59"/>
      <c r="C559" s="59"/>
      <c r="D559" s="59"/>
      <c r="E559" s="59"/>
      <c r="F559" s="59"/>
      <c r="G559" s="59"/>
      <c r="H559" s="59"/>
      <c r="I559" s="59"/>
    </row>
    <row r="560" spans="2:9" ht="12.75">
      <c r="B560" s="59"/>
      <c r="C560" s="59"/>
      <c r="D560" s="59"/>
      <c r="E560" s="59"/>
      <c r="F560" s="59"/>
      <c r="G560" s="59"/>
      <c r="H560" s="59"/>
      <c r="I560" s="59"/>
    </row>
    <row r="561" spans="2:9" ht="12.75">
      <c r="B561" s="59"/>
      <c r="C561" s="59"/>
      <c r="D561" s="59"/>
      <c r="E561" s="59"/>
      <c r="F561" s="59"/>
      <c r="G561" s="59"/>
      <c r="H561" s="59"/>
      <c r="I561" s="59"/>
    </row>
    <row r="562" spans="2:9" ht="12.75">
      <c r="B562" s="59"/>
      <c r="C562" s="59"/>
      <c r="D562" s="59"/>
      <c r="E562" s="59"/>
      <c r="F562" s="59"/>
      <c r="G562" s="59"/>
      <c r="H562" s="59"/>
      <c r="I562" s="59"/>
    </row>
    <row r="563" spans="2:9" ht="12.75">
      <c r="B563" s="59"/>
      <c r="C563" s="59"/>
      <c r="D563" s="59"/>
      <c r="E563" s="59"/>
      <c r="F563" s="59"/>
      <c r="G563" s="59"/>
      <c r="H563" s="59"/>
      <c r="I563" s="59"/>
    </row>
    <row r="564" spans="2:9" ht="12.75">
      <c r="B564" s="59"/>
      <c r="C564" s="59"/>
      <c r="D564" s="59"/>
      <c r="E564" s="59"/>
      <c r="F564" s="59"/>
      <c r="G564" s="59"/>
      <c r="H564" s="59"/>
      <c r="I564" s="59"/>
    </row>
    <row r="565" spans="2:9" ht="12.75">
      <c r="B565" s="59"/>
      <c r="C565" s="59"/>
      <c r="D565" s="59"/>
      <c r="E565" s="59"/>
      <c r="F565" s="59"/>
      <c r="G565" s="59"/>
      <c r="H565" s="59"/>
      <c r="I565" s="59"/>
    </row>
    <row r="566" spans="2:9" ht="12.75">
      <c r="B566" s="59"/>
      <c r="C566" s="59"/>
      <c r="D566" s="59"/>
      <c r="E566" s="59"/>
      <c r="F566" s="59"/>
      <c r="G566" s="59"/>
      <c r="H566" s="59"/>
      <c r="I566" s="59"/>
    </row>
    <row r="567" spans="2:9" ht="12.75">
      <c r="B567" s="59"/>
      <c r="C567" s="59"/>
      <c r="D567" s="59"/>
      <c r="E567" s="59"/>
      <c r="F567" s="59"/>
      <c r="G567" s="59"/>
      <c r="H567" s="59"/>
      <c r="I567" s="59"/>
    </row>
    <row r="568" spans="2:9" ht="12.75">
      <c r="B568" s="59"/>
      <c r="C568" s="59"/>
      <c r="D568" s="59"/>
      <c r="E568" s="59"/>
      <c r="F568" s="59"/>
      <c r="G568" s="59"/>
      <c r="H568" s="59"/>
      <c r="I568" s="59"/>
    </row>
    <row r="569" spans="2:9" ht="12.75">
      <c r="B569" s="59"/>
      <c r="C569" s="59"/>
      <c r="D569" s="59"/>
      <c r="E569" s="59"/>
      <c r="F569" s="59"/>
      <c r="G569" s="59"/>
      <c r="H569" s="59"/>
      <c r="I569" s="59"/>
    </row>
    <row r="570" spans="2:9" ht="12.75">
      <c r="B570" s="59"/>
      <c r="C570" s="59"/>
      <c r="D570" s="59"/>
      <c r="E570" s="59"/>
      <c r="F570" s="59"/>
      <c r="G570" s="59"/>
      <c r="H570" s="59"/>
      <c r="I570" s="59"/>
    </row>
    <row r="571" spans="2:9" ht="12.75">
      <c r="B571" s="59"/>
      <c r="C571" s="59"/>
      <c r="D571" s="59"/>
      <c r="E571" s="59"/>
      <c r="F571" s="59"/>
      <c r="G571" s="59"/>
      <c r="H571" s="59"/>
      <c r="I571" s="59"/>
    </row>
    <row r="572" spans="2:9" ht="12.75">
      <c r="B572" s="59"/>
      <c r="C572" s="59"/>
      <c r="D572" s="59"/>
      <c r="E572" s="59"/>
      <c r="F572" s="59"/>
      <c r="G572" s="59"/>
      <c r="H572" s="59"/>
      <c r="I572" s="59"/>
    </row>
    <row r="573" spans="2:9" ht="12.75">
      <c r="B573" s="59"/>
      <c r="C573" s="59"/>
      <c r="D573" s="59"/>
      <c r="E573" s="59"/>
      <c r="F573" s="59"/>
      <c r="G573" s="59"/>
      <c r="H573" s="59"/>
      <c r="I573" s="59"/>
    </row>
    <row r="574" spans="2:9" ht="12.75">
      <c r="B574" s="59"/>
      <c r="C574" s="59"/>
      <c r="D574" s="59"/>
      <c r="E574" s="59"/>
      <c r="F574" s="59"/>
      <c r="G574" s="59"/>
      <c r="H574" s="59"/>
      <c r="I574" s="59"/>
    </row>
    <row r="575" spans="2:9" ht="12.75">
      <c r="B575" s="59"/>
      <c r="C575" s="59"/>
      <c r="D575" s="59"/>
      <c r="E575" s="59"/>
      <c r="F575" s="59"/>
      <c r="G575" s="59"/>
      <c r="H575" s="59"/>
      <c r="I575" s="59"/>
    </row>
    <row r="576" spans="2:9" ht="12.75">
      <c r="B576" s="59"/>
      <c r="C576" s="59"/>
      <c r="D576" s="59"/>
      <c r="E576" s="59"/>
      <c r="F576" s="59"/>
      <c r="G576" s="59"/>
      <c r="H576" s="59"/>
      <c r="I576" s="59"/>
    </row>
    <row r="577" spans="2:9" ht="12.75">
      <c r="B577" s="59"/>
      <c r="C577" s="59"/>
      <c r="D577" s="59"/>
      <c r="E577" s="59"/>
      <c r="F577" s="59"/>
      <c r="G577" s="59"/>
      <c r="H577" s="59"/>
      <c r="I577" s="59"/>
    </row>
    <row r="578" spans="2:9" ht="12.75">
      <c r="B578" s="59"/>
      <c r="C578" s="59"/>
      <c r="D578" s="59"/>
      <c r="E578" s="59"/>
      <c r="F578" s="59"/>
      <c r="G578" s="59"/>
      <c r="H578" s="59"/>
      <c r="I578" s="59"/>
    </row>
    <row r="579" spans="2:9" ht="12.75">
      <c r="B579" s="59"/>
      <c r="C579" s="59"/>
      <c r="D579" s="59"/>
      <c r="E579" s="59"/>
      <c r="F579" s="59"/>
      <c r="G579" s="59"/>
      <c r="H579" s="59"/>
      <c r="I579" s="59"/>
    </row>
    <row r="580" spans="2:9" ht="12.75">
      <c r="B580" s="59"/>
      <c r="C580" s="59"/>
      <c r="D580" s="59"/>
      <c r="E580" s="59"/>
      <c r="F580" s="59"/>
      <c r="G580" s="59"/>
      <c r="H580" s="59"/>
      <c r="I580" s="59"/>
    </row>
    <row r="581" spans="2:9" ht="12.75">
      <c r="B581" s="59"/>
      <c r="C581" s="59"/>
      <c r="D581" s="59"/>
      <c r="E581" s="59"/>
      <c r="F581" s="59"/>
      <c r="G581" s="59"/>
      <c r="H581" s="59"/>
      <c r="I581" s="59"/>
    </row>
    <row r="582" spans="2:9" ht="12.75">
      <c r="B582" s="59"/>
      <c r="C582" s="59"/>
      <c r="D582" s="59"/>
      <c r="E582" s="59"/>
      <c r="F582" s="59"/>
      <c r="G582" s="59"/>
      <c r="H582" s="59"/>
      <c r="I582" s="59"/>
    </row>
    <row r="583" spans="2:9" ht="12.75">
      <c r="B583" s="59"/>
      <c r="C583" s="59"/>
      <c r="D583" s="59"/>
      <c r="E583" s="59"/>
      <c r="F583" s="59"/>
      <c r="G583" s="59"/>
      <c r="H583" s="59"/>
      <c r="I583" s="59"/>
    </row>
    <row r="584" spans="2:9" ht="12.75">
      <c r="B584" s="59"/>
      <c r="C584" s="59"/>
      <c r="D584" s="59"/>
      <c r="E584" s="59"/>
      <c r="F584" s="59"/>
      <c r="G584" s="59"/>
      <c r="H584" s="59"/>
      <c r="I584" s="59"/>
    </row>
    <row r="585" spans="2:9" ht="12.75">
      <c r="B585" s="59"/>
      <c r="C585" s="59"/>
      <c r="D585" s="59"/>
      <c r="E585" s="59"/>
      <c r="F585" s="59"/>
      <c r="G585" s="59"/>
      <c r="H585" s="59"/>
      <c r="I585" s="59"/>
    </row>
    <row r="586" spans="2:9" ht="12.75">
      <c r="B586" s="59"/>
      <c r="C586" s="59"/>
      <c r="D586" s="59"/>
      <c r="E586" s="59"/>
      <c r="F586" s="59"/>
      <c r="G586" s="59"/>
      <c r="H586" s="59"/>
      <c r="I586" s="59"/>
    </row>
    <row r="587" spans="2:9" ht="12.75">
      <c r="B587" s="59"/>
      <c r="C587" s="59"/>
      <c r="D587" s="59"/>
      <c r="E587" s="59"/>
      <c r="F587" s="59"/>
      <c r="G587" s="59"/>
      <c r="H587" s="59"/>
      <c r="I587" s="59"/>
    </row>
    <row r="588" spans="2:9" ht="12.75">
      <c r="B588" s="59"/>
      <c r="C588" s="59"/>
      <c r="D588" s="59"/>
      <c r="E588" s="59"/>
      <c r="F588" s="59"/>
      <c r="G588" s="59"/>
      <c r="H588" s="59"/>
      <c r="I588" s="59"/>
    </row>
    <row r="589" spans="2:9" ht="12.75">
      <c r="B589" s="59"/>
      <c r="C589" s="59"/>
      <c r="D589" s="59"/>
      <c r="E589" s="59"/>
      <c r="F589" s="59"/>
      <c r="G589" s="59"/>
      <c r="H589" s="59"/>
      <c r="I589" s="59"/>
    </row>
    <row r="590" spans="2:9" ht="12.75">
      <c r="B590" s="59"/>
      <c r="C590" s="59"/>
      <c r="D590" s="59"/>
      <c r="E590" s="59"/>
      <c r="F590" s="59"/>
      <c r="G590" s="59"/>
      <c r="H590" s="59"/>
      <c r="I590" s="59"/>
    </row>
    <row r="591" spans="2:9" ht="12.75">
      <c r="B591" s="59"/>
      <c r="C591" s="59"/>
      <c r="D591" s="59"/>
      <c r="E591" s="59"/>
      <c r="F591" s="59"/>
      <c r="G591" s="59"/>
      <c r="H591" s="59"/>
      <c r="I591" s="59"/>
    </row>
    <row r="592" spans="2:9" ht="12.75">
      <c r="B592" s="59"/>
      <c r="C592" s="59"/>
      <c r="D592" s="59"/>
      <c r="E592" s="59"/>
      <c r="F592" s="59"/>
      <c r="G592" s="59"/>
      <c r="H592" s="59"/>
      <c r="I592" s="59"/>
    </row>
    <row r="593" spans="2:9" ht="12.75">
      <c r="B593" s="59"/>
      <c r="C593" s="59"/>
      <c r="D593" s="59"/>
      <c r="E593" s="59"/>
      <c r="F593" s="59"/>
      <c r="G593" s="59"/>
      <c r="H593" s="59"/>
      <c r="I593" s="59"/>
    </row>
    <row r="594" spans="2:9" ht="12.75">
      <c r="B594" s="59"/>
      <c r="C594" s="59"/>
      <c r="D594" s="59"/>
      <c r="E594" s="59"/>
      <c r="F594" s="59"/>
      <c r="G594" s="59"/>
      <c r="H594" s="59"/>
      <c r="I594" s="59"/>
    </row>
    <row r="595" spans="2:9" ht="12.75">
      <c r="B595" s="59"/>
      <c r="C595" s="59"/>
      <c r="D595" s="59"/>
      <c r="E595" s="59"/>
      <c r="F595" s="59"/>
      <c r="G595" s="59"/>
      <c r="H595" s="59"/>
      <c r="I595" s="59"/>
    </row>
    <row r="596" spans="2:9" ht="12.75">
      <c r="B596" s="59"/>
      <c r="C596" s="59"/>
      <c r="D596" s="59"/>
      <c r="E596" s="59"/>
      <c r="F596" s="59"/>
      <c r="G596" s="59"/>
      <c r="H596" s="59"/>
      <c r="I596" s="59"/>
    </row>
    <row r="597" spans="2:9" ht="12.75">
      <c r="B597" s="59"/>
      <c r="C597" s="59"/>
      <c r="D597" s="59"/>
      <c r="E597" s="59"/>
      <c r="F597" s="59"/>
      <c r="G597" s="59"/>
      <c r="H597" s="59"/>
      <c r="I597" s="59"/>
    </row>
    <row r="598" spans="2:9" ht="12.75">
      <c r="B598" s="59"/>
      <c r="C598" s="59"/>
      <c r="D598" s="59"/>
      <c r="E598" s="59"/>
      <c r="F598" s="59"/>
      <c r="G598" s="59"/>
      <c r="H598" s="59"/>
      <c r="I598" s="59"/>
    </row>
    <row r="599" spans="2:9" ht="12.75">
      <c r="B599" s="59"/>
      <c r="C599" s="59"/>
      <c r="D599" s="59"/>
      <c r="E599" s="59"/>
      <c r="F599" s="59"/>
      <c r="G599" s="59"/>
      <c r="H599" s="59"/>
      <c r="I599" s="59"/>
    </row>
    <row r="600" spans="2:9" ht="12.75">
      <c r="B600" s="59"/>
      <c r="C600" s="59"/>
      <c r="D600" s="59"/>
      <c r="E600" s="59"/>
      <c r="F600" s="59"/>
      <c r="G600" s="59"/>
      <c r="H600" s="59"/>
      <c r="I600" s="59"/>
    </row>
    <row r="601" spans="2:9" ht="12.75">
      <c r="B601" s="59"/>
      <c r="C601" s="59"/>
      <c r="D601" s="59"/>
      <c r="E601" s="59"/>
      <c r="F601" s="59"/>
      <c r="G601" s="59"/>
      <c r="H601" s="59"/>
      <c r="I601" s="59"/>
    </row>
    <row r="602" spans="2:9" ht="12.75">
      <c r="B602" s="59"/>
      <c r="C602" s="59"/>
      <c r="D602" s="59"/>
      <c r="E602" s="59"/>
      <c r="F602" s="59"/>
      <c r="G602" s="59"/>
      <c r="H602" s="59"/>
      <c r="I602" s="59"/>
    </row>
    <row r="603" spans="2:9" ht="12.75">
      <c r="B603" s="59"/>
      <c r="C603" s="59"/>
      <c r="D603" s="59"/>
      <c r="E603" s="59"/>
      <c r="F603" s="59"/>
      <c r="G603" s="59"/>
      <c r="H603" s="59"/>
      <c r="I603" s="59"/>
    </row>
    <row r="604" spans="2:9" ht="12.75">
      <c r="B604" s="59"/>
      <c r="C604" s="59"/>
      <c r="D604" s="59"/>
      <c r="E604" s="59"/>
      <c r="F604" s="59"/>
      <c r="G604" s="59"/>
      <c r="H604" s="59"/>
      <c r="I604" s="59"/>
    </row>
    <row r="605" spans="2:9" ht="12.75">
      <c r="B605" s="59"/>
      <c r="C605" s="59"/>
      <c r="D605" s="59"/>
      <c r="E605" s="59"/>
      <c r="F605" s="59"/>
      <c r="G605" s="59"/>
      <c r="H605" s="59"/>
      <c r="I605" s="59"/>
    </row>
    <row r="606" spans="2:9" ht="12.75">
      <c r="B606" s="59"/>
      <c r="C606" s="59"/>
      <c r="D606" s="59"/>
      <c r="E606" s="59"/>
      <c r="F606" s="59"/>
      <c r="G606" s="59"/>
      <c r="H606" s="59"/>
      <c r="I606" s="59"/>
    </row>
    <row r="607" spans="2:9" ht="12.75">
      <c r="B607" s="59"/>
      <c r="C607" s="59"/>
      <c r="D607" s="59"/>
      <c r="E607" s="59"/>
      <c r="F607" s="59"/>
      <c r="G607" s="59"/>
      <c r="H607" s="59"/>
      <c r="I607" s="59"/>
    </row>
    <row r="608" spans="2:9" ht="12.75">
      <c r="B608" s="59"/>
      <c r="C608" s="59"/>
      <c r="D608" s="59"/>
      <c r="E608" s="59"/>
      <c r="F608" s="59"/>
      <c r="G608" s="59"/>
      <c r="H608" s="59"/>
      <c r="I608" s="59"/>
    </row>
    <row r="609" spans="2:9" ht="12.75">
      <c r="B609" s="59"/>
      <c r="C609" s="59"/>
      <c r="D609" s="59"/>
      <c r="E609" s="59"/>
      <c r="F609" s="59"/>
      <c r="G609" s="59"/>
      <c r="H609" s="59"/>
      <c r="I609" s="59"/>
    </row>
    <row r="610" spans="2:9" ht="12.75">
      <c r="B610" s="59"/>
      <c r="C610" s="59"/>
      <c r="D610" s="59"/>
      <c r="E610" s="59"/>
      <c r="F610" s="59"/>
      <c r="G610" s="59"/>
      <c r="H610" s="59"/>
      <c r="I610" s="59"/>
    </row>
    <row r="611" spans="2:9" ht="12.75">
      <c r="B611" s="59"/>
      <c r="C611" s="59"/>
      <c r="D611" s="59"/>
      <c r="E611" s="59"/>
      <c r="F611" s="59"/>
      <c r="G611" s="59"/>
      <c r="H611" s="59"/>
      <c r="I611" s="59"/>
    </row>
    <row r="612" spans="2:9" ht="12.75">
      <c r="B612" s="59"/>
      <c r="C612" s="59"/>
      <c r="D612" s="59"/>
      <c r="E612" s="59"/>
      <c r="F612" s="59"/>
      <c r="G612" s="59"/>
      <c r="H612" s="59"/>
      <c r="I612" s="59"/>
    </row>
    <row r="613" spans="2:9" ht="12.75">
      <c r="B613" s="59"/>
      <c r="C613" s="59"/>
      <c r="D613" s="59"/>
      <c r="E613" s="59"/>
      <c r="F613" s="59"/>
      <c r="G613" s="59"/>
      <c r="H613" s="59"/>
      <c r="I613" s="59"/>
    </row>
    <row r="614" spans="2:9" ht="12.75">
      <c r="B614" s="59"/>
      <c r="C614" s="59"/>
      <c r="D614" s="59"/>
      <c r="E614" s="59"/>
      <c r="F614" s="59"/>
      <c r="G614" s="59"/>
      <c r="H614" s="59"/>
      <c r="I614" s="59"/>
    </row>
    <row r="615" spans="2:9" ht="12.75">
      <c r="B615" s="59"/>
      <c r="C615" s="59"/>
      <c r="D615" s="59"/>
      <c r="E615" s="59"/>
      <c r="F615" s="59"/>
      <c r="G615" s="59"/>
      <c r="H615" s="59"/>
      <c r="I615" s="59"/>
    </row>
    <row r="616" spans="2:9" ht="12.75">
      <c r="B616" s="59"/>
      <c r="C616" s="59"/>
      <c r="D616" s="59"/>
      <c r="E616" s="59"/>
      <c r="F616" s="59"/>
      <c r="G616" s="59"/>
      <c r="H616" s="59"/>
      <c r="I616" s="59"/>
    </row>
    <row r="617" spans="2:9" ht="12.75">
      <c r="B617" s="59"/>
      <c r="C617" s="59"/>
      <c r="D617" s="59"/>
      <c r="E617" s="59"/>
      <c r="F617" s="59"/>
      <c r="G617" s="59"/>
      <c r="H617" s="59"/>
      <c r="I617" s="59"/>
    </row>
    <row r="618" spans="2:9" ht="12.75">
      <c r="B618" s="59"/>
      <c r="C618" s="59"/>
      <c r="D618" s="59"/>
      <c r="E618" s="59"/>
      <c r="F618" s="59"/>
      <c r="G618" s="59"/>
      <c r="H618" s="59"/>
      <c r="I618" s="59"/>
    </row>
    <row r="619" spans="2:9" ht="12.75">
      <c r="B619" s="59"/>
      <c r="C619" s="59"/>
      <c r="D619" s="59"/>
      <c r="E619" s="59"/>
      <c r="F619" s="59"/>
      <c r="G619" s="59"/>
      <c r="H619" s="59"/>
      <c r="I619" s="59"/>
    </row>
    <row r="620" spans="2:9" ht="12.75">
      <c r="B620" s="59"/>
      <c r="C620" s="59"/>
      <c r="D620" s="59"/>
      <c r="E620" s="59"/>
      <c r="F620" s="59"/>
      <c r="G620" s="59"/>
      <c r="H620" s="59"/>
      <c r="I620" s="59"/>
    </row>
    <row r="621" spans="2:9" ht="12.75">
      <c r="B621" s="59"/>
      <c r="C621" s="59"/>
      <c r="D621" s="59"/>
      <c r="E621" s="59"/>
      <c r="F621" s="59"/>
      <c r="G621" s="59"/>
      <c r="H621" s="59"/>
      <c r="I621" s="59"/>
    </row>
    <row r="622" spans="2:9" ht="12.75">
      <c r="B622" s="59"/>
      <c r="C622" s="59"/>
      <c r="D622" s="59"/>
      <c r="E622" s="59"/>
      <c r="F622" s="59"/>
      <c r="G622" s="59"/>
      <c r="H622" s="59"/>
      <c r="I622" s="59"/>
    </row>
    <row r="623" spans="2:9" ht="12.75">
      <c r="B623" s="59"/>
      <c r="C623" s="59"/>
      <c r="D623" s="59"/>
      <c r="E623" s="59"/>
      <c r="F623" s="59"/>
      <c r="G623" s="59"/>
      <c r="H623" s="59"/>
      <c r="I623" s="59"/>
    </row>
    <row r="624" spans="2:9" ht="12.75">
      <c r="B624" s="59"/>
      <c r="C624" s="59"/>
      <c r="D624" s="59"/>
      <c r="E624" s="59"/>
      <c r="F624" s="59"/>
      <c r="G624" s="59"/>
      <c r="H624" s="59"/>
      <c r="I624" s="59"/>
    </row>
    <row r="625" spans="2:9" ht="12.75">
      <c r="B625" s="59"/>
      <c r="C625" s="59"/>
      <c r="D625" s="59"/>
      <c r="E625" s="59"/>
      <c r="F625" s="59"/>
      <c r="G625" s="59"/>
      <c r="H625" s="59"/>
      <c r="I625" s="59"/>
    </row>
    <row r="626" spans="2:9" ht="12.75">
      <c r="B626" s="59"/>
      <c r="C626" s="59"/>
      <c r="D626" s="59"/>
      <c r="E626" s="59"/>
      <c r="F626" s="59"/>
      <c r="G626" s="59"/>
      <c r="H626" s="59"/>
      <c r="I626" s="59"/>
    </row>
    <row r="627" spans="2:9" ht="12.75">
      <c r="B627" s="59"/>
      <c r="C627" s="59"/>
      <c r="D627" s="59"/>
      <c r="E627" s="59"/>
      <c r="F627" s="59"/>
      <c r="G627" s="59"/>
      <c r="H627" s="59"/>
      <c r="I627" s="59"/>
    </row>
    <row r="628" spans="2:9" ht="12.75">
      <c r="B628" s="59"/>
      <c r="C628" s="59"/>
      <c r="D628" s="59"/>
      <c r="E628" s="59"/>
      <c r="F628" s="59"/>
      <c r="G628" s="59"/>
      <c r="H628" s="59"/>
      <c r="I628" s="59"/>
    </row>
    <row r="629" spans="2:9" ht="12.75">
      <c r="B629" s="59"/>
      <c r="C629" s="59"/>
      <c r="D629" s="59"/>
      <c r="E629" s="59"/>
      <c r="F629" s="59"/>
      <c r="G629" s="59"/>
      <c r="H629" s="59"/>
      <c r="I629" s="59"/>
    </row>
    <row r="630" spans="2:9" ht="12.75">
      <c r="B630" s="59"/>
      <c r="C630" s="59"/>
      <c r="D630" s="59"/>
      <c r="E630" s="59"/>
      <c r="F630" s="59"/>
      <c r="G630" s="59"/>
      <c r="H630" s="59"/>
      <c r="I630" s="59"/>
    </row>
    <row r="631" spans="2:9" ht="12.75">
      <c r="B631" s="59"/>
      <c r="C631" s="59"/>
      <c r="D631" s="59"/>
      <c r="E631" s="59"/>
      <c r="F631" s="59"/>
      <c r="G631" s="59"/>
      <c r="H631" s="59"/>
      <c r="I631" s="59"/>
    </row>
    <row r="632" spans="2:9" ht="12.75">
      <c r="B632" s="59"/>
      <c r="C632" s="59"/>
      <c r="D632" s="59"/>
      <c r="E632" s="59"/>
      <c r="F632" s="59"/>
      <c r="G632" s="59"/>
      <c r="H632" s="59"/>
      <c r="I632" s="59"/>
    </row>
    <row r="633" spans="2:9" ht="12.75">
      <c r="B633" s="59"/>
      <c r="C633" s="59"/>
      <c r="D633" s="59"/>
      <c r="E633" s="59"/>
      <c r="F633" s="59"/>
      <c r="G633" s="59"/>
      <c r="H633" s="59"/>
      <c r="I633" s="59"/>
    </row>
    <row r="634" spans="2:9" ht="12.75">
      <c r="B634" s="59"/>
      <c r="C634" s="59"/>
      <c r="D634" s="59"/>
      <c r="E634" s="59"/>
      <c r="F634" s="59"/>
      <c r="G634" s="59"/>
      <c r="H634" s="59"/>
      <c r="I634" s="59"/>
    </row>
    <row r="635" spans="2:9" ht="12.75">
      <c r="B635" s="59"/>
      <c r="C635" s="59"/>
      <c r="D635" s="59"/>
      <c r="E635" s="59"/>
      <c r="F635" s="59"/>
      <c r="G635" s="59"/>
      <c r="H635" s="59"/>
      <c r="I635" s="59"/>
    </row>
    <row r="636" spans="2:9" ht="12.75">
      <c r="B636" s="59"/>
      <c r="C636" s="59"/>
      <c r="D636" s="59"/>
      <c r="E636" s="59"/>
      <c r="F636" s="59"/>
      <c r="G636" s="59"/>
      <c r="H636" s="59"/>
      <c r="I636" s="59"/>
    </row>
    <row r="637" spans="2:9" ht="12.75">
      <c r="B637" s="59"/>
      <c r="C637" s="59"/>
      <c r="D637" s="59"/>
      <c r="E637" s="59"/>
      <c r="F637" s="59"/>
      <c r="G637" s="59"/>
      <c r="H637" s="59"/>
      <c r="I637" s="59"/>
    </row>
    <row r="638" spans="2:9" ht="12.75">
      <c r="B638" s="59"/>
      <c r="C638" s="59"/>
      <c r="D638" s="59"/>
      <c r="E638" s="59"/>
      <c r="F638" s="59"/>
      <c r="G638" s="59"/>
      <c r="H638" s="59"/>
      <c r="I638" s="59"/>
    </row>
    <row r="639" spans="2:9" ht="12.75">
      <c r="B639" s="59"/>
      <c r="C639" s="59"/>
      <c r="D639" s="59"/>
      <c r="E639" s="59"/>
      <c r="F639" s="59"/>
      <c r="G639" s="59"/>
      <c r="H639" s="59"/>
      <c r="I639" s="59"/>
    </row>
    <row r="640" spans="2:9" ht="12.75">
      <c r="B640" s="59"/>
      <c r="C640" s="59"/>
      <c r="D640" s="59"/>
      <c r="E640" s="59"/>
      <c r="F640" s="59"/>
      <c r="G640" s="59"/>
      <c r="H640" s="59"/>
      <c r="I640" s="59"/>
    </row>
    <row r="641" spans="2:9" ht="12.75">
      <c r="B641" s="59"/>
      <c r="C641" s="59"/>
      <c r="D641" s="59"/>
      <c r="E641" s="59"/>
      <c r="F641" s="59"/>
      <c r="G641" s="59"/>
      <c r="H641" s="59"/>
      <c r="I641" s="59"/>
    </row>
    <row r="642" spans="2:9" ht="12.75">
      <c r="B642" s="59"/>
      <c r="C642" s="59"/>
      <c r="D642" s="59"/>
      <c r="E642" s="59"/>
      <c r="F642" s="59"/>
      <c r="G642" s="59"/>
      <c r="H642" s="59"/>
      <c r="I642" s="59"/>
    </row>
    <row r="643" spans="2:9" ht="12.75">
      <c r="B643" s="59"/>
      <c r="C643" s="59"/>
      <c r="D643" s="59"/>
      <c r="E643" s="59"/>
      <c r="F643" s="59"/>
      <c r="G643" s="59"/>
      <c r="H643" s="59"/>
      <c r="I643" s="59"/>
    </row>
    <row r="644" spans="2:9" ht="12.75">
      <c r="B644" s="59"/>
      <c r="C644" s="59"/>
      <c r="D644" s="59"/>
      <c r="E644" s="59"/>
      <c r="F644" s="59"/>
      <c r="G644" s="59"/>
      <c r="H644" s="59"/>
      <c r="I644" s="59"/>
    </row>
    <row r="645" spans="2:9" ht="12.75">
      <c r="B645" s="59"/>
      <c r="C645" s="59"/>
      <c r="D645" s="59"/>
      <c r="E645" s="59"/>
      <c r="F645" s="59"/>
      <c r="G645" s="59"/>
      <c r="H645" s="59"/>
      <c r="I645" s="59"/>
    </row>
    <row r="646" spans="2:9" ht="12.75">
      <c r="B646" s="59"/>
      <c r="C646" s="59"/>
      <c r="D646" s="59"/>
      <c r="E646" s="59"/>
      <c r="F646" s="59"/>
      <c r="G646" s="59"/>
      <c r="H646" s="59"/>
      <c r="I646" s="59"/>
    </row>
    <row r="647" spans="2:9" ht="12.75">
      <c r="B647" s="59"/>
      <c r="C647" s="59"/>
      <c r="D647" s="59"/>
      <c r="E647" s="59"/>
      <c r="F647" s="59"/>
      <c r="G647" s="59"/>
      <c r="H647" s="59"/>
      <c r="I647" s="59"/>
    </row>
    <row r="648" spans="2:9" ht="12.75">
      <c r="B648" s="59"/>
      <c r="C648" s="59"/>
      <c r="D648" s="59"/>
      <c r="E648" s="59"/>
      <c r="F648" s="59"/>
      <c r="G648" s="59"/>
      <c r="H648" s="59"/>
      <c r="I648" s="59"/>
    </row>
    <row r="649" spans="2:9" ht="12.75">
      <c r="B649" s="59"/>
      <c r="C649" s="59"/>
      <c r="D649" s="59"/>
      <c r="E649" s="59"/>
      <c r="F649" s="59"/>
      <c r="G649" s="59"/>
      <c r="H649" s="59"/>
      <c r="I649" s="59"/>
    </row>
    <row r="650" spans="2:9" ht="12.75">
      <c r="B650" s="59"/>
      <c r="C650" s="59"/>
      <c r="D650" s="59"/>
      <c r="E650" s="59"/>
      <c r="F650" s="59"/>
      <c r="G650" s="59"/>
      <c r="H650" s="59"/>
      <c r="I650" s="59"/>
    </row>
    <row r="651" spans="2:9" ht="12.75">
      <c r="B651" s="59"/>
      <c r="C651" s="59"/>
      <c r="D651" s="59"/>
      <c r="E651" s="59"/>
      <c r="F651" s="59"/>
      <c r="G651" s="59"/>
      <c r="H651" s="59"/>
      <c r="I651" s="59"/>
    </row>
    <row r="652" spans="2:9" ht="12.75">
      <c r="B652" s="59"/>
      <c r="C652" s="59"/>
      <c r="D652" s="59"/>
      <c r="E652" s="59"/>
      <c r="F652" s="59"/>
      <c r="G652" s="59"/>
      <c r="H652" s="59"/>
      <c r="I652" s="59"/>
    </row>
    <row r="653" spans="2:9" ht="12.75">
      <c r="B653" s="59"/>
      <c r="C653" s="59"/>
      <c r="D653" s="59"/>
      <c r="E653" s="59"/>
      <c r="F653" s="59"/>
      <c r="G653" s="59"/>
      <c r="H653" s="59"/>
      <c r="I653" s="59"/>
    </row>
    <row r="654" spans="2:9" ht="12.75">
      <c r="B654" s="59"/>
      <c r="C654" s="59"/>
      <c r="D654" s="59"/>
      <c r="E654" s="59"/>
      <c r="F654" s="59"/>
      <c r="G654" s="59"/>
      <c r="H654" s="59"/>
      <c r="I654" s="59"/>
    </row>
    <row r="655" spans="2:9" ht="12.75">
      <c r="B655" s="59"/>
      <c r="C655" s="59"/>
      <c r="D655" s="59"/>
      <c r="E655" s="59"/>
      <c r="F655" s="59"/>
      <c r="G655" s="59"/>
      <c r="H655" s="59"/>
      <c r="I655" s="59"/>
    </row>
    <row r="656" spans="2:9" ht="12.75">
      <c r="B656" s="59"/>
      <c r="C656" s="59"/>
      <c r="D656" s="59"/>
      <c r="E656" s="59"/>
      <c r="F656" s="59"/>
      <c r="G656" s="59"/>
      <c r="H656" s="59"/>
      <c r="I656" s="59"/>
    </row>
    <row r="657" spans="2:9" ht="12.75">
      <c r="B657" s="59"/>
      <c r="C657" s="59"/>
      <c r="D657" s="59"/>
      <c r="E657" s="59"/>
      <c r="F657" s="59"/>
      <c r="G657" s="59"/>
      <c r="H657" s="59"/>
      <c r="I657" s="59"/>
    </row>
    <row r="658" spans="2:9" ht="12.75">
      <c r="B658" s="59"/>
      <c r="C658" s="59"/>
      <c r="D658" s="59"/>
      <c r="E658" s="59"/>
      <c r="F658" s="59"/>
      <c r="G658" s="59"/>
      <c r="H658" s="59"/>
      <c r="I658" s="59"/>
    </row>
    <row r="659" spans="2:9" ht="12.75">
      <c r="B659" s="59"/>
      <c r="C659" s="59"/>
      <c r="D659" s="59"/>
      <c r="E659" s="59"/>
      <c r="F659" s="59"/>
      <c r="G659" s="59"/>
      <c r="H659" s="59"/>
      <c r="I659" s="59"/>
    </row>
    <row r="660" spans="2:9" ht="12.75">
      <c r="B660" s="59"/>
      <c r="C660" s="59"/>
      <c r="D660" s="59"/>
      <c r="E660" s="59"/>
      <c r="F660" s="59"/>
      <c r="G660" s="59"/>
      <c r="H660" s="59"/>
      <c r="I660" s="59"/>
    </row>
    <row r="661" spans="2:9" ht="12.75">
      <c r="B661" s="59"/>
      <c r="C661" s="59"/>
      <c r="D661" s="59"/>
      <c r="E661" s="59"/>
      <c r="F661" s="59"/>
      <c r="G661" s="59"/>
      <c r="H661" s="59"/>
      <c r="I661" s="59"/>
    </row>
    <row r="662" spans="2:9" ht="12.75">
      <c r="B662" s="59"/>
      <c r="C662" s="59"/>
      <c r="D662" s="59"/>
      <c r="E662" s="59"/>
      <c r="F662" s="59"/>
      <c r="G662" s="59"/>
      <c r="H662" s="59"/>
      <c r="I662" s="59"/>
    </row>
    <row r="663" spans="2:9" ht="12.75">
      <c r="B663" s="59"/>
      <c r="C663" s="59"/>
      <c r="D663" s="59"/>
      <c r="E663" s="59"/>
      <c r="F663" s="59"/>
      <c r="G663" s="59"/>
      <c r="H663" s="59"/>
      <c r="I663" s="59"/>
    </row>
    <row r="664" spans="2:9" ht="12.75">
      <c r="B664" s="59"/>
      <c r="C664" s="59"/>
      <c r="D664" s="59"/>
      <c r="E664" s="59"/>
      <c r="F664" s="59"/>
      <c r="G664" s="59"/>
      <c r="H664" s="59"/>
      <c r="I664" s="59"/>
    </row>
    <row r="665" spans="2:9" ht="12.75">
      <c r="B665" s="59"/>
      <c r="C665" s="59"/>
      <c r="D665" s="59"/>
      <c r="E665" s="59"/>
      <c r="F665" s="59"/>
      <c r="G665" s="59"/>
      <c r="H665" s="59"/>
      <c r="I665" s="59"/>
    </row>
    <row r="666" spans="2:9" ht="12.75">
      <c r="B666" s="59"/>
      <c r="C666" s="59"/>
      <c r="D666" s="59"/>
      <c r="E666" s="59"/>
      <c r="F666" s="59"/>
      <c r="G666" s="59"/>
      <c r="H666" s="59"/>
      <c r="I666" s="59"/>
    </row>
    <row r="667" spans="2:9" ht="12.75">
      <c r="B667" s="59"/>
      <c r="C667" s="59"/>
      <c r="D667" s="59"/>
      <c r="E667" s="59"/>
      <c r="F667" s="59"/>
      <c r="G667" s="59"/>
      <c r="H667" s="59"/>
      <c r="I667" s="59"/>
    </row>
    <row r="668" spans="2:9" ht="12.75">
      <c r="B668" s="59"/>
      <c r="C668" s="59"/>
      <c r="D668" s="59"/>
      <c r="E668" s="59"/>
      <c r="F668" s="59"/>
      <c r="G668" s="59"/>
      <c r="H668" s="59"/>
      <c r="I668" s="59"/>
    </row>
    <row r="669" spans="2:9" ht="12.75">
      <c r="B669" s="59"/>
      <c r="C669" s="59"/>
      <c r="D669" s="59"/>
      <c r="E669" s="59"/>
      <c r="F669" s="59"/>
      <c r="G669" s="59"/>
      <c r="H669" s="59"/>
      <c r="I669" s="59"/>
    </row>
    <row r="670" spans="2:9" ht="12.75">
      <c r="B670" s="59"/>
      <c r="C670" s="59"/>
      <c r="D670" s="59"/>
      <c r="E670" s="59"/>
      <c r="F670" s="59"/>
      <c r="G670" s="59"/>
      <c r="H670" s="59"/>
      <c r="I670" s="59"/>
    </row>
    <row r="671" spans="2:9" ht="12.75">
      <c r="B671" s="59"/>
      <c r="C671" s="59"/>
      <c r="D671" s="59"/>
      <c r="E671" s="59"/>
      <c r="F671" s="59"/>
      <c r="G671" s="59"/>
      <c r="H671" s="59"/>
      <c r="I671" s="59"/>
    </row>
    <row r="672" spans="2:9" ht="12.75">
      <c r="B672" s="59"/>
      <c r="C672" s="59"/>
      <c r="D672" s="59"/>
      <c r="E672" s="59"/>
      <c r="F672" s="59"/>
      <c r="G672" s="59"/>
      <c r="H672" s="59"/>
      <c r="I672" s="59"/>
    </row>
    <row r="673" spans="2:9" ht="12.75">
      <c r="B673" s="59"/>
      <c r="C673" s="59"/>
      <c r="D673" s="59"/>
      <c r="E673" s="59"/>
      <c r="F673" s="59"/>
      <c r="G673" s="59"/>
      <c r="H673" s="59"/>
      <c r="I673" s="59"/>
    </row>
    <row r="674" spans="2:9" ht="12.75">
      <c r="B674" s="59"/>
      <c r="C674" s="59"/>
      <c r="D674" s="59"/>
      <c r="E674" s="59"/>
      <c r="F674" s="59"/>
      <c r="G674" s="59"/>
      <c r="H674" s="59"/>
      <c r="I674" s="59"/>
    </row>
    <row r="675" spans="2:9" ht="12.75">
      <c r="B675" s="59"/>
      <c r="C675" s="59"/>
      <c r="D675" s="59"/>
      <c r="E675" s="59"/>
      <c r="F675" s="59"/>
      <c r="G675" s="59"/>
      <c r="H675" s="59"/>
      <c r="I675" s="59"/>
    </row>
    <row r="676" spans="2:9" ht="12.75">
      <c r="B676" s="59"/>
      <c r="C676" s="59"/>
      <c r="D676" s="59"/>
      <c r="E676" s="59"/>
      <c r="F676" s="59"/>
      <c r="G676" s="59"/>
      <c r="H676" s="59"/>
      <c r="I676" s="59"/>
    </row>
    <row r="677" spans="2:9" ht="12.75">
      <c r="B677" s="59"/>
      <c r="C677" s="59"/>
      <c r="D677" s="59"/>
      <c r="E677" s="59"/>
      <c r="F677" s="59"/>
      <c r="G677" s="59"/>
      <c r="H677" s="59"/>
      <c r="I677" s="59"/>
    </row>
    <row r="678" spans="2:9" ht="12.75">
      <c r="B678" s="59"/>
      <c r="C678" s="59"/>
      <c r="D678" s="59"/>
      <c r="E678" s="59"/>
      <c r="F678" s="59"/>
      <c r="G678" s="59"/>
      <c r="H678" s="59"/>
      <c r="I678" s="59"/>
    </row>
    <row r="679" spans="2:9" ht="12.75">
      <c r="B679" s="59"/>
      <c r="C679" s="59"/>
      <c r="D679" s="59"/>
      <c r="E679" s="59"/>
      <c r="F679" s="59"/>
      <c r="G679" s="59"/>
      <c r="H679" s="59"/>
      <c r="I679" s="59"/>
    </row>
    <row r="680" spans="2:9" ht="12.75">
      <c r="B680" s="59"/>
      <c r="C680" s="59"/>
      <c r="D680" s="59"/>
      <c r="E680" s="59"/>
      <c r="F680" s="59"/>
      <c r="G680" s="59"/>
      <c r="H680" s="59"/>
      <c r="I680" s="59"/>
    </row>
    <row r="681" spans="2:9" ht="12.75">
      <c r="B681" s="59"/>
      <c r="C681" s="59"/>
      <c r="D681" s="59"/>
      <c r="E681" s="59"/>
      <c r="F681" s="59"/>
      <c r="G681" s="59"/>
      <c r="H681" s="59"/>
      <c r="I681" s="59"/>
    </row>
    <row r="682" spans="2:9" ht="12.75">
      <c r="B682" s="59"/>
      <c r="C682" s="59"/>
      <c r="D682" s="59"/>
      <c r="E682" s="59"/>
      <c r="F682" s="59"/>
      <c r="G682" s="59"/>
      <c r="H682" s="59"/>
      <c r="I682" s="59"/>
    </row>
    <row r="683" spans="2:9" ht="12.75">
      <c r="B683" s="59"/>
      <c r="C683" s="59"/>
      <c r="D683" s="59"/>
      <c r="E683" s="59"/>
      <c r="F683" s="59"/>
      <c r="G683" s="59"/>
      <c r="H683" s="59"/>
      <c r="I683" s="59"/>
    </row>
    <row r="684" spans="2:9" ht="12.75">
      <c r="B684" s="59"/>
      <c r="C684" s="59"/>
      <c r="D684" s="59"/>
      <c r="E684" s="59"/>
      <c r="F684" s="59"/>
      <c r="G684" s="59"/>
      <c r="H684" s="59"/>
      <c r="I684" s="59"/>
    </row>
    <row r="685" spans="2:9" ht="12.75">
      <c r="B685" s="59"/>
      <c r="C685" s="59"/>
      <c r="D685" s="59"/>
      <c r="E685" s="59"/>
      <c r="F685" s="59"/>
      <c r="G685" s="59"/>
      <c r="H685" s="59"/>
      <c r="I685" s="59"/>
    </row>
    <row r="686" spans="2:9" ht="12.75">
      <c r="B686" s="59"/>
      <c r="C686" s="59"/>
      <c r="D686" s="59"/>
      <c r="E686" s="59"/>
      <c r="F686" s="59"/>
      <c r="G686" s="59"/>
      <c r="H686" s="59"/>
      <c r="I686" s="59"/>
    </row>
    <row r="687" spans="2:9" ht="12.75">
      <c r="B687" s="59"/>
      <c r="C687" s="59"/>
      <c r="D687" s="59"/>
      <c r="E687" s="59"/>
      <c r="F687" s="59"/>
      <c r="G687" s="59"/>
      <c r="H687" s="59"/>
      <c r="I687" s="59"/>
    </row>
    <row r="688" spans="2:9" ht="12.75">
      <c r="B688" s="59"/>
      <c r="C688" s="59"/>
      <c r="D688" s="59"/>
      <c r="E688" s="59"/>
      <c r="F688" s="59"/>
      <c r="G688" s="59"/>
      <c r="H688" s="59"/>
      <c r="I688" s="59"/>
    </row>
    <row r="689" spans="2:9" ht="12.75">
      <c r="B689" s="59"/>
      <c r="C689" s="59"/>
      <c r="D689" s="59"/>
      <c r="E689" s="59"/>
      <c r="F689" s="59"/>
      <c r="G689" s="59"/>
      <c r="H689" s="59"/>
      <c r="I689" s="59"/>
    </row>
    <row r="690" spans="2:9" ht="12.75">
      <c r="B690" s="59"/>
      <c r="C690" s="59"/>
      <c r="D690" s="59"/>
      <c r="E690" s="59"/>
      <c r="F690" s="59"/>
      <c r="G690" s="59"/>
      <c r="H690" s="59"/>
      <c r="I690" s="59"/>
    </row>
    <row r="691" spans="2:9" ht="12.75">
      <c r="B691" s="59"/>
      <c r="C691" s="59"/>
      <c r="D691" s="59"/>
      <c r="E691" s="59"/>
      <c r="F691" s="59"/>
      <c r="G691" s="59"/>
      <c r="H691" s="59"/>
      <c r="I691" s="59"/>
    </row>
    <row r="692" spans="2:9" ht="12.75">
      <c r="B692" s="59"/>
      <c r="C692" s="59"/>
      <c r="D692" s="59"/>
      <c r="E692" s="59"/>
      <c r="F692" s="59"/>
      <c r="G692" s="59"/>
      <c r="H692" s="59"/>
      <c r="I692" s="59"/>
    </row>
    <row r="693" spans="2:9" ht="12.75">
      <c r="B693" s="59"/>
      <c r="C693" s="59"/>
      <c r="D693" s="59"/>
      <c r="E693" s="59"/>
      <c r="F693" s="59"/>
      <c r="G693" s="59"/>
      <c r="H693" s="59"/>
      <c r="I693" s="59"/>
    </row>
    <row r="694" spans="2:9" ht="12.75">
      <c r="B694" s="59"/>
      <c r="C694" s="59"/>
      <c r="D694" s="59"/>
      <c r="E694" s="59"/>
      <c r="F694" s="59"/>
      <c r="G694" s="59"/>
      <c r="H694" s="59"/>
      <c r="I694" s="59"/>
    </row>
    <row r="695" spans="2:9" ht="12.75">
      <c r="B695" s="59"/>
      <c r="C695" s="59"/>
      <c r="D695" s="59"/>
      <c r="E695" s="59"/>
      <c r="F695" s="59"/>
      <c r="G695" s="59"/>
      <c r="H695" s="59"/>
      <c r="I695" s="59"/>
    </row>
    <row r="696" spans="2:9" ht="12.75">
      <c r="B696" s="59"/>
      <c r="C696" s="59"/>
      <c r="D696" s="59"/>
      <c r="E696" s="59"/>
      <c r="F696" s="59"/>
      <c r="G696" s="59"/>
      <c r="H696" s="59"/>
      <c r="I696" s="59"/>
    </row>
    <row r="697" spans="2:9" ht="12.75">
      <c r="B697" s="59"/>
      <c r="C697" s="59"/>
      <c r="D697" s="59"/>
      <c r="E697" s="59"/>
      <c r="F697" s="59"/>
      <c r="G697" s="59"/>
      <c r="H697" s="59"/>
      <c r="I697" s="59"/>
    </row>
    <row r="698" spans="2:9" ht="12.75">
      <c r="B698" s="59"/>
      <c r="C698" s="59"/>
      <c r="D698" s="59"/>
      <c r="E698" s="59"/>
      <c r="F698" s="59"/>
      <c r="G698" s="59"/>
      <c r="H698" s="59"/>
      <c r="I698" s="59"/>
    </row>
    <row r="699" spans="2:9" ht="12.75">
      <c r="B699" s="59"/>
      <c r="C699" s="59"/>
      <c r="D699" s="59"/>
      <c r="E699" s="59"/>
      <c r="F699" s="59"/>
      <c r="G699" s="59"/>
      <c r="H699" s="59"/>
      <c r="I699" s="59"/>
    </row>
    <row r="700" spans="2:9" ht="12.75">
      <c r="B700" s="59"/>
      <c r="C700" s="59"/>
      <c r="D700" s="59"/>
      <c r="E700" s="59"/>
      <c r="F700" s="59"/>
      <c r="G700" s="59"/>
      <c r="H700" s="59"/>
      <c r="I700" s="59"/>
    </row>
    <row r="701" spans="2:9" ht="12.75">
      <c r="B701" s="59"/>
      <c r="C701" s="59"/>
      <c r="D701" s="59"/>
      <c r="E701" s="59"/>
      <c r="F701" s="59"/>
      <c r="G701" s="59"/>
      <c r="H701" s="59"/>
      <c r="I701" s="59"/>
    </row>
    <row r="702" spans="2:9" ht="12.75">
      <c r="B702" s="59"/>
      <c r="C702" s="59"/>
      <c r="D702" s="59"/>
      <c r="E702" s="59"/>
      <c r="F702" s="59"/>
      <c r="G702" s="59"/>
      <c r="H702" s="59"/>
      <c r="I702" s="59"/>
    </row>
    <row r="703" spans="2:9" ht="12.75">
      <c r="B703" s="59"/>
      <c r="C703" s="59"/>
      <c r="D703" s="59"/>
      <c r="E703" s="59"/>
      <c r="F703" s="59"/>
      <c r="G703" s="59"/>
      <c r="H703" s="59"/>
      <c r="I703" s="59"/>
    </row>
    <row r="704" spans="2:9" ht="12.75">
      <c r="B704" s="59"/>
      <c r="C704" s="59"/>
      <c r="D704" s="59"/>
      <c r="E704" s="59"/>
      <c r="F704" s="59"/>
      <c r="G704" s="59"/>
      <c r="H704" s="59"/>
      <c r="I704" s="59"/>
    </row>
    <row r="705" spans="2:9" ht="12.75">
      <c r="B705" s="59"/>
      <c r="C705" s="59"/>
      <c r="D705" s="59"/>
      <c r="E705" s="59"/>
      <c r="F705" s="59"/>
      <c r="G705" s="59"/>
      <c r="H705" s="59"/>
      <c r="I705" s="59"/>
    </row>
    <row r="706" spans="2:9" ht="12.75">
      <c r="B706" s="59"/>
      <c r="C706" s="59"/>
      <c r="D706" s="59"/>
      <c r="E706" s="59"/>
      <c r="F706" s="59"/>
      <c r="G706" s="59"/>
      <c r="H706" s="59"/>
      <c r="I706" s="59"/>
    </row>
    <row r="707" spans="2:9" ht="12.75">
      <c r="B707" s="59"/>
      <c r="C707" s="59"/>
      <c r="D707" s="59"/>
      <c r="E707" s="59"/>
      <c r="F707" s="59"/>
      <c r="G707" s="59"/>
      <c r="H707" s="59"/>
      <c r="I707" s="59"/>
    </row>
    <row r="708" spans="2:9" ht="12.75">
      <c r="B708" s="59"/>
      <c r="C708" s="59"/>
      <c r="D708" s="59"/>
      <c r="E708" s="59"/>
      <c r="F708" s="59"/>
      <c r="G708" s="59"/>
      <c r="H708" s="59"/>
      <c r="I708" s="59"/>
    </row>
    <row r="709" spans="2:9" ht="12.75">
      <c r="B709" s="59"/>
      <c r="C709" s="59"/>
      <c r="D709" s="59"/>
      <c r="E709" s="59"/>
      <c r="F709" s="59"/>
      <c r="G709" s="59"/>
      <c r="H709" s="59"/>
      <c r="I709" s="59"/>
    </row>
    <row r="710" spans="2:9" ht="12.75">
      <c r="B710" s="59"/>
      <c r="C710" s="59"/>
      <c r="D710" s="59"/>
      <c r="E710" s="59"/>
      <c r="F710" s="59"/>
      <c r="G710" s="59"/>
      <c r="H710" s="59"/>
      <c r="I710" s="59"/>
    </row>
    <row r="711" spans="2:9" ht="12.75">
      <c r="B711" s="59"/>
      <c r="C711" s="59"/>
      <c r="D711" s="59"/>
      <c r="E711" s="59"/>
      <c r="F711" s="59"/>
      <c r="G711" s="59"/>
      <c r="H711" s="59"/>
      <c r="I711" s="59"/>
    </row>
    <row r="712" spans="2:9" ht="12.75">
      <c r="B712" s="59"/>
      <c r="C712" s="59"/>
      <c r="D712" s="59"/>
      <c r="E712" s="59"/>
      <c r="F712" s="59"/>
      <c r="G712" s="59"/>
      <c r="H712" s="59"/>
      <c r="I712" s="59"/>
    </row>
    <row r="713" spans="2:9" ht="12.75">
      <c r="B713" s="59"/>
      <c r="C713" s="59"/>
      <c r="D713" s="59"/>
      <c r="E713" s="59"/>
      <c r="F713" s="59"/>
      <c r="G713" s="59"/>
      <c r="H713" s="59"/>
      <c r="I713" s="59"/>
    </row>
    <row r="714" spans="2:9" ht="12.75">
      <c r="B714" s="59"/>
      <c r="C714" s="59"/>
      <c r="D714" s="59"/>
      <c r="E714" s="59"/>
      <c r="F714" s="59"/>
      <c r="G714" s="59"/>
      <c r="H714" s="59"/>
      <c r="I714" s="59"/>
    </row>
    <row r="715" spans="2:9" ht="12.75">
      <c r="B715" s="59"/>
      <c r="C715" s="59"/>
      <c r="D715" s="59"/>
      <c r="E715" s="59"/>
      <c r="F715" s="59"/>
      <c r="G715" s="59"/>
      <c r="H715" s="59"/>
      <c r="I715" s="59"/>
    </row>
    <row r="716" spans="2:9" ht="12.75">
      <c r="B716" s="59"/>
      <c r="C716" s="59"/>
      <c r="D716" s="59"/>
      <c r="E716" s="59"/>
      <c r="F716" s="59"/>
      <c r="G716" s="59"/>
      <c r="H716" s="59"/>
      <c r="I716" s="59"/>
    </row>
    <row r="717" spans="2:9" ht="12.75">
      <c r="B717" s="59"/>
      <c r="C717" s="59"/>
      <c r="D717" s="59"/>
      <c r="E717" s="59"/>
      <c r="F717" s="59"/>
      <c r="G717" s="59"/>
      <c r="H717" s="59"/>
      <c r="I717" s="59"/>
    </row>
    <row r="718" spans="2:9" ht="12.75">
      <c r="B718" s="59"/>
      <c r="C718" s="59"/>
      <c r="D718" s="59"/>
      <c r="E718" s="59"/>
      <c r="F718" s="59"/>
      <c r="G718" s="59"/>
      <c r="H718" s="59"/>
      <c r="I718" s="59"/>
    </row>
    <row r="719" spans="2:9" ht="12.75">
      <c r="B719" s="59"/>
      <c r="C719" s="59"/>
      <c r="D719" s="59"/>
      <c r="E719" s="59"/>
      <c r="F719" s="59"/>
      <c r="G719" s="59"/>
      <c r="H719" s="59"/>
      <c r="I719" s="59"/>
    </row>
    <row r="720" spans="2:9" ht="12.75">
      <c r="B720" s="59"/>
      <c r="C720" s="59"/>
      <c r="D720" s="59"/>
      <c r="E720" s="59"/>
      <c r="F720" s="59"/>
      <c r="G720" s="59"/>
      <c r="H720" s="59"/>
      <c r="I720" s="59"/>
    </row>
    <row r="721" spans="2:9" ht="12.75">
      <c r="B721" s="59"/>
      <c r="C721" s="59"/>
      <c r="D721" s="59"/>
      <c r="E721" s="59"/>
      <c r="F721" s="59"/>
      <c r="G721" s="59"/>
      <c r="H721" s="59"/>
      <c r="I721" s="59"/>
    </row>
    <row r="722" spans="2:9" ht="12.75">
      <c r="B722" s="59"/>
      <c r="C722" s="59"/>
      <c r="D722" s="59"/>
      <c r="E722" s="59"/>
      <c r="F722" s="59"/>
      <c r="G722" s="59"/>
      <c r="H722" s="59"/>
      <c r="I722" s="59"/>
    </row>
    <row r="723" spans="2:9" ht="12.75">
      <c r="B723" s="59"/>
      <c r="C723" s="59"/>
      <c r="D723" s="59"/>
      <c r="E723" s="59"/>
      <c r="F723" s="59"/>
      <c r="G723" s="59"/>
      <c r="H723" s="59"/>
      <c r="I723" s="59"/>
    </row>
    <row r="724" spans="2:9" ht="12.75">
      <c r="B724" s="59"/>
      <c r="C724" s="59"/>
      <c r="D724" s="59"/>
      <c r="E724" s="59"/>
      <c r="F724" s="59"/>
      <c r="G724" s="59"/>
      <c r="H724" s="59"/>
      <c r="I724" s="59"/>
    </row>
    <row r="725" spans="2:9" ht="12.75">
      <c r="B725" s="59"/>
      <c r="C725" s="59"/>
      <c r="D725" s="59"/>
      <c r="E725" s="59"/>
      <c r="F725" s="59"/>
      <c r="G725" s="59"/>
      <c r="H725" s="59"/>
      <c r="I725" s="59"/>
    </row>
    <row r="726" spans="2:9" ht="12.75">
      <c r="B726" s="59"/>
      <c r="C726" s="59"/>
      <c r="D726" s="59"/>
      <c r="E726" s="59"/>
      <c r="F726" s="59"/>
      <c r="G726" s="59"/>
      <c r="H726" s="59"/>
      <c r="I726" s="59"/>
    </row>
    <row r="727" spans="2:9" ht="12.75">
      <c r="B727" s="59"/>
      <c r="C727" s="59"/>
      <c r="D727" s="59"/>
      <c r="E727" s="59"/>
      <c r="F727" s="59"/>
      <c r="G727" s="59"/>
      <c r="H727" s="59"/>
      <c r="I727" s="59"/>
    </row>
    <row r="728" spans="2:9" ht="12.75">
      <c r="B728" s="59"/>
      <c r="C728" s="59"/>
      <c r="D728" s="59"/>
      <c r="E728" s="59"/>
      <c r="F728" s="59"/>
      <c r="G728" s="59"/>
      <c r="H728" s="59"/>
      <c r="I728" s="59"/>
    </row>
    <row r="729" spans="2:9" ht="12.75">
      <c r="B729" s="59"/>
      <c r="C729" s="59"/>
      <c r="D729" s="59"/>
      <c r="E729" s="59"/>
      <c r="F729" s="59"/>
      <c r="G729" s="59"/>
      <c r="H729" s="59"/>
      <c r="I729" s="59"/>
    </row>
    <row r="730" spans="2:9" ht="12.75">
      <c r="B730" s="59"/>
      <c r="C730" s="59"/>
      <c r="D730" s="59"/>
      <c r="E730" s="59"/>
      <c r="F730" s="59"/>
      <c r="G730" s="59"/>
      <c r="H730" s="59"/>
      <c r="I730" s="59"/>
    </row>
    <row r="731" spans="2:9" ht="12.75">
      <c r="B731" s="59"/>
      <c r="C731" s="59"/>
      <c r="D731" s="59"/>
      <c r="E731" s="59"/>
      <c r="F731" s="59"/>
      <c r="G731" s="59"/>
      <c r="H731" s="59"/>
      <c r="I731" s="59"/>
    </row>
    <row r="732" spans="2:9" ht="12.75">
      <c r="B732" s="59"/>
      <c r="C732" s="59"/>
      <c r="D732" s="59"/>
      <c r="E732" s="59"/>
      <c r="F732" s="59"/>
      <c r="G732" s="59"/>
      <c r="H732" s="59"/>
      <c r="I732" s="59"/>
    </row>
    <row r="733" spans="2:9" ht="12.75">
      <c r="B733" s="59"/>
      <c r="C733" s="59"/>
      <c r="D733" s="59"/>
      <c r="E733" s="59"/>
      <c r="F733" s="59"/>
      <c r="G733" s="59"/>
      <c r="H733" s="59"/>
      <c r="I733" s="59"/>
    </row>
    <row r="734" spans="2:9" ht="12.75">
      <c r="B734" s="59"/>
      <c r="C734" s="59"/>
      <c r="D734" s="59"/>
      <c r="E734" s="59"/>
      <c r="F734" s="59"/>
      <c r="G734" s="59"/>
      <c r="H734" s="59"/>
      <c r="I734" s="59"/>
    </row>
    <row r="735" spans="2:9" ht="12.75">
      <c r="B735" s="59"/>
      <c r="C735" s="59"/>
      <c r="D735" s="59"/>
      <c r="E735" s="59"/>
      <c r="F735" s="59"/>
      <c r="G735" s="59"/>
      <c r="H735" s="59"/>
      <c r="I735" s="59"/>
    </row>
    <row r="736" spans="2:9" ht="12.75">
      <c r="B736" s="59"/>
      <c r="C736" s="59"/>
      <c r="D736" s="59"/>
      <c r="E736" s="59"/>
      <c r="F736" s="59"/>
      <c r="G736" s="59"/>
      <c r="H736" s="59"/>
      <c r="I736" s="59"/>
    </row>
    <row r="737" spans="2:9" ht="12.75">
      <c r="B737" s="59"/>
      <c r="C737" s="59"/>
      <c r="D737" s="59"/>
      <c r="E737" s="59"/>
      <c r="F737" s="59"/>
      <c r="G737" s="59"/>
      <c r="H737" s="59"/>
      <c r="I737" s="59"/>
    </row>
    <row r="738" spans="2:9" ht="12.75">
      <c r="B738" s="59"/>
      <c r="C738" s="59"/>
      <c r="D738" s="59"/>
      <c r="E738" s="59"/>
      <c r="F738" s="59"/>
      <c r="G738" s="59"/>
      <c r="H738" s="59"/>
      <c r="I738" s="59"/>
    </row>
    <row r="739" spans="2:9" ht="12.75">
      <c r="B739" s="59"/>
      <c r="C739" s="59"/>
      <c r="D739" s="59"/>
      <c r="E739" s="59"/>
      <c r="F739" s="59"/>
      <c r="G739" s="59"/>
      <c r="H739" s="59"/>
      <c r="I739" s="59"/>
    </row>
    <row r="740" spans="2:9" ht="12.75">
      <c r="B740" s="59"/>
      <c r="C740" s="59"/>
      <c r="D740" s="59"/>
      <c r="E740" s="59"/>
      <c r="F740" s="59"/>
      <c r="G740" s="59"/>
      <c r="H740" s="59"/>
      <c r="I740" s="59"/>
    </row>
    <row r="741" spans="2:9" ht="12.75">
      <c r="B741" s="59"/>
      <c r="C741" s="59"/>
      <c r="D741" s="59"/>
      <c r="E741" s="59"/>
      <c r="F741" s="59"/>
      <c r="G741" s="59"/>
      <c r="H741" s="59"/>
      <c r="I741" s="59"/>
    </row>
    <row r="742" spans="2:9" ht="12.75">
      <c r="B742" s="59"/>
      <c r="C742" s="59"/>
      <c r="D742" s="59"/>
      <c r="E742" s="59"/>
      <c r="F742" s="59"/>
      <c r="G742" s="59"/>
      <c r="H742" s="59"/>
      <c r="I742" s="59"/>
    </row>
    <row r="743" spans="2:9" ht="12.75">
      <c r="B743" s="59"/>
      <c r="C743" s="59"/>
      <c r="D743" s="59"/>
      <c r="E743" s="59"/>
      <c r="F743" s="59"/>
      <c r="G743" s="59"/>
      <c r="H743" s="59"/>
      <c r="I743" s="59"/>
    </row>
    <row r="744" spans="2:9" ht="12.75">
      <c r="B744" s="59"/>
      <c r="C744" s="59"/>
      <c r="D744" s="59"/>
      <c r="E744" s="59"/>
      <c r="F744" s="59"/>
      <c r="G744" s="59"/>
      <c r="H744" s="59"/>
      <c r="I744" s="59"/>
    </row>
    <row r="745" spans="2:9" ht="12.75">
      <c r="B745" s="59"/>
      <c r="C745" s="59"/>
      <c r="D745" s="59"/>
      <c r="E745" s="59"/>
      <c r="F745" s="59"/>
      <c r="G745" s="59"/>
      <c r="H745" s="59"/>
      <c r="I745" s="59"/>
    </row>
    <row r="746" spans="2:9" ht="12.75">
      <c r="B746" s="59"/>
      <c r="C746" s="59"/>
      <c r="D746" s="59"/>
      <c r="E746" s="59"/>
      <c r="F746" s="59"/>
      <c r="G746" s="59"/>
      <c r="H746" s="59"/>
      <c r="I746" s="59"/>
    </row>
    <row r="747" spans="2:9" ht="12.75">
      <c r="B747" s="59"/>
      <c r="C747" s="59"/>
      <c r="D747" s="59"/>
      <c r="E747" s="59"/>
      <c r="F747" s="59"/>
      <c r="G747" s="59"/>
      <c r="H747" s="59"/>
      <c r="I747" s="59"/>
    </row>
    <row r="748" spans="2:9" ht="12.75">
      <c r="B748" s="59"/>
      <c r="C748" s="59"/>
      <c r="D748" s="59"/>
      <c r="E748" s="59"/>
      <c r="F748" s="59"/>
      <c r="G748" s="59"/>
      <c r="H748" s="59"/>
      <c r="I748" s="59"/>
    </row>
    <row r="749" spans="2:9" ht="12.75">
      <c r="B749" s="59"/>
      <c r="C749" s="59"/>
      <c r="D749" s="59"/>
      <c r="E749" s="59"/>
      <c r="F749" s="59"/>
      <c r="G749" s="59"/>
      <c r="H749" s="59"/>
      <c r="I749" s="59"/>
    </row>
    <row r="750" spans="2:9" ht="12.75">
      <c r="B750" s="59"/>
      <c r="C750" s="59"/>
      <c r="D750" s="59"/>
      <c r="E750" s="59"/>
      <c r="F750" s="59"/>
      <c r="G750" s="59"/>
      <c r="H750" s="59"/>
      <c r="I750" s="59"/>
    </row>
    <row r="751" spans="2:9" ht="12.75">
      <c r="B751" s="59"/>
      <c r="C751" s="59"/>
      <c r="D751" s="59"/>
      <c r="E751" s="59"/>
      <c r="F751" s="59"/>
      <c r="G751" s="59"/>
      <c r="H751" s="59"/>
      <c r="I751" s="59"/>
    </row>
    <row r="752" spans="2:9" ht="12.75">
      <c r="B752" s="59"/>
      <c r="C752" s="59"/>
      <c r="D752" s="59"/>
      <c r="E752" s="59"/>
      <c r="F752" s="59"/>
      <c r="G752" s="59"/>
      <c r="H752" s="59"/>
      <c r="I752" s="59"/>
    </row>
    <row r="753" spans="2:9" ht="12.75">
      <c r="B753" s="59"/>
      <c r="C753" s="59"/>
      <c r="D753" s="59"/>
      <c r="E753" s="59"/>
      <c r="F753" s="59"/>
      <c r="G753" s="59"/>
      <c r="H753" s="59"/>
      <c r="I753" s="59"/>
    </row>
    <row r="754" spans="2:9" ht="12.75">
      <c r="B754" s="59"/>
      <c r="C754" s="59"/>
      <c r="D754" s="59"/>
      <c r="E754" s="59"/>
      <c r="F754" s="59"/>
      <c r="G754" s="59"/>
      <c r="H754" s="59"/>
      <c r="I754" s="59"/>
    </row>
    <row r="755" spans="2:9" ht="12.75">
      <c r="B755" s="59"/>
      <c r="C755" s="59"/>
      <c r="D755" s="59"/>
      <c r="E755" s="59"/>
      <c r="F755" s="59"/>
      <c r="G755" s="59"/>
      <c r="H755" s="59"/>
      <c r="I755" s="59"/>
    </row>
    <row r="756" spans="2:9" ht="12.75">
      <c r="B756" s="59"/>
      <c r="C756" s="59"/>
      <c r="D756" s="59"/>
      <c r="E756" s="59"/>
      <c r="F756" s="59"/>
      <c r="G756" s="59"/>
      <c r="H756" s="59"/>
      <c r="I756" s="59"/>
    </row>
    <row r="757" spans="2:9" ht="12.75">
      <c r="B757" s="59"/>
      <c r="C757" s="59"/>
      <c r="D757" s="59"/>
      <c r="E757" s="59"/>
      <c r="F757" s="59"/>
      <c r="G757" s="59"/>
      <c r="H757" s="59"/>
      <c r="I757" s="59"/>
    </row>
    <row r="758" spans="2:9" ht="12.75">
      <c r="B758" s="59"/>
      <c r="C758" s="59"/>
      <c r="D758" s="59"/>
      <c r="E758" s="59"/>
      <c r="F758" s="59"/>
      <c r="G758" s="59"/>
      <c r="H758" s="59"/>
      <c r="I758" s="59"/>
    </row>
    <row r="759" spans="2:9" ht="12.75">
      <c r="B759" s="59"/>
      <c r="C759" s="59"/>
      <c r="D759" s="59"/>
      <c r="E759" s="59"/>
      <c r="F759" s="59"/>
      <c r="G759" s="59"/>
      <c r="H759" s="59"/>
      <c r="I759" s="59"/>
    </row>
    <row r="760" spans="2:9" ht="12.75">
      <c r="B760" s="59"/>
      <c r="C760" s="59"/>
      <c r="D760" s="59"/>
      <c r="E760" s="59"/>
      <c r="F760" s="59"/>
      <c r="G760" s="59"/>
      <c r="H760" s="59"/>
      <c r="I760" s="59"/>
    </row>
    <row r="761" spans="2:9" ht="12.75">
      <c r="B761" s="59"/>
      <c r="C761" s="59"/>
      <c r="D761" s="59"/>
      <c r="E761" s="59"/>
      <c r="F761" s="59"/>
      <c r="G761" s="59"/>
      <c r="H761" s="59"/>
      <c r="I761" s="59"/>
    </row>
    <row r="762" spans="2:9" ht="12.75">
      <c r="B762" s="59"/>
      <c r="C762" s="59"/>
      <c r="D762" s="59"/>
      <c r="E762" s="59"/>
      <c r="F762" s="59"/>
      <c r="G762" s="59"/>
      <c r="H762" s="59"/>
      <c r="I762" s="59"/>
    </row>
    <row r="763" spans="2:9" ht="12.75">
      <c r="B763" s="59"/>
      <c r="C763" s="59"/>
      <c r="D763" s="59"/>
      <c r="E763" s="59"/>
      <c r="F763" s="59"/>
      <c r="G763" s="59"/>
      <c r="H763" s="59"/>
      <c r="I763" s="59"/>
    </row>
    <row r="764" spans="2:9" ht="12.75">
      <c r="B764" s="59"/>
      <c r="C764" s="59"/>
      <c r="D764" s="59"/>
      <c r="E764" s="59"/>
      <c r="F764" s="59"/>
      <c r="G764" s="59"/>
      <c r="H764" s="59"/>
      <c r="I764" s="59"/>
    </row>
    <row r="765" spans="2:9" ht="12.75">
      <c r="B765" s="59"/>
      <c r="C765" s="59"/>
      <c r="D765" s="59"/>
      <c r="E765" s="59"/>
      <c r="F765" s="59"/>
      <c r="G765" s="59"/>
      <c r="H765" s="59"/>
      <c r="I765" s="59"/>
    </row>
    <row r="766" spans="2:9" ht="12.75">
      <c r="B766" s="59"/>
      <c r="C766" s="59"/>
      <c r="D766" s="59"/>
      <c r="E766" s="59"/>
      <c r="F766" s="59"/>
      <c r="G766" s="59"/>
      <c r="H766" s="59"/>
      <c r="I766" s="59"/>
    </row>
    <row r="767" spans="2:9" ht="12.75">
      <c r="B767" s="59"/>
      <c r="C767" s="59"/>
      <c r="D767" s="59"/>
      <c r="E767" s="59"/>
      <c r="F767" s="59"/>
      <c r="G767" s="59"/>
      <c r="H767" s="59"/>
      <c r="I767" s="59"/>
    </row>
    <row r="768" spans="2:9" ht="12.75">
      <c r="B768" s="59"/>
      <c r="C768" s="59"/>
      <c r="D768" s="59"/>
      <c r="E768" s="59"/>
      <c r="F768" s="59"/>
      <c r="G768" s="59"/>
      <c r="H768" s="59"/>
      <c r="I768" s="59"/>
    </row>
    <row r="769" spans="2:9" ht="12.75">
      <c r="B769" s="59"/>
      <c r="C769" s="59"/>
      <c r="D769" s="59"/>
      <c r="E769" s="59"/>
      <c r="F769" s="59"/>
      <c r="G769" s="59"/>
      <c r="H769" s="59"/>
      <c r="I769" s="59"/>
    </row>
    <row r="770" spans="2:9" ht="12.75">
      <c r="B770" s="59"/>
      <c r="C770" s="59"/>
      <c r="D770" s="59"/>
      <c r="E770" s="59"/>
      <c r="F770" s="59"/>
      <c r="G770" s="59"/>
      <c r="H770" s="59"/>
      <c r="I770" s="59"/>
    </row>
    <row r="771" spans="2:9" ht="12.75">
      <c r="B771" s="59"/>
      <c r="C771" s="59"/>
      <c r="D771" s="59"/>
      <c r="E771" s="59"/>
      <c r="F771" s="59"/>
      <c r="G771" s="59"/>
      <c r="H771" s="59"/>
      <c r="I771" s="59"/>
    </row>
    <row r="772" spans="2:9" ht="12.75">
      <c r="B772" s="59"/>
      <c r="C772" s="59"/>
      <c r="D772" s="59"/>
      <c r="E772" s="59"/>
      <c r="F772" s="59"/>
      <c r="G772" s="59"/>
      <c r="H772" s="59"/>
      <c r="I772" s="59"/>
    </row>
    <row r="773" spans="2:9" ht="12.75">
      <c r="B773" s="59"/>
      <c r="C773" s="59"/>
      <c r="D773" s="59"/>
      <c r="E773" s="59"/>
      <c r="F773" s="59"/>
      <c r="G773" s="59"/>
      <c r="H773" s="59"/>
      <c r="I773" s="59"/>
    </row>
    <row r="774" spans="2:9" ht="12.75">
      <c r="B774" s="59"/>
      <c r="C774" s="59"/>
      <c r="D774" s="59"/>
      <c r="E774" s="59"/>
      <c r="F774" s="59"/>
      <c r="G774" s="59"/>
      <c r="H774" s="59"/>
      <c r="I774" s="59"/>
    </row>
    <row r="775" spans="2:9" ht="12.75">
      <c r="B775" s="59"/>
      <c r="C775" s="59"/>
      <c r="D775" s="59"/>
      <c r="E775" s="59"/>
      <c r="F775" s="59"/>
      <c r="G775" s="59"/>
      <c r="H775" s="59"/>
      <c r="I775" s="59"/>
    </row>
    <row r="776" spans="2:9" ht="12.75">
      <c r="B776" s="59"/>
      <c r="C776" s="59"/>
      <c r="D776" s="59"/>
      <c r="E776" s="59"/>
      <c r="F776" s="59"/>
      <c r="G776" s="59"/>
      <c r="H776" s="59"/>
      <c r="I776" s="59"/>
    </row>
    <row r="777" spans="2:9" ht="12.75">
      <c r="B777" s="59"/>
      <c r="C777" s="59"/>
      <c r="D777" s="59"/>
      <c r="E777" s="59"/>
      <c r="F777" s="59"/>
      <c r="G777" s="59"/>
      <c r="H777" s="59"/>
      <c r="I777" s="59"/>
    </row>
    <row r="778" spans="2:9" ht="12.75">
      <c r="B778" s="59"/>
      <c r="C778" s="59"/>
      <c r="D778" s="59"/>
      <c r="E778" s="59"/>
      <c r="F778" s="59"/>
      <c r="G778" s="59"/>
      <c r="H778" s="59"/>
      <c r="I778" s="59"/>
    </row>
    <row r="779" spans="2:9" ht="12.75">
      <c r="B779" s="59"/>
      <c r="C779" s="59"/>
      <c r="D779" s="59"/>
      <c r="E779" s="59"/>
      <c r="F779" s="59"/>
      <c r="G779" s="59"/>
      <c r="H779" s="59"/>
      <c r="I779" s="59"/>
    </row>
    <row r="780" spans="2:9" ht="12.75">
      <c r="B780" s="59"/>
      <c r="C780" s="59"/>
      <c r="D780" s="59"/>
      <c r="E780" s="59"/>
      <c r="F780" s="59"/>
      <c r="G780" s="59"/>
      <c r="H780" s="59"/>
      <c r="I780" s="59"/>
    </row>
    <row r="781" spans="2:9" ht="12.75">
      <c r="B781" s="59"/>
      <c r="C781" s="59"/>
      <c r="D781" s="59"/>
      <c r="E781" s="59"/>
      <c r="F781" s="59"/>
      <c r="G781" s="59"/>
      <c r="H781" s="59"/>
      <c r="I781" s="59"/>
    </row>
    <row r="782" spans="2:9" ht="12.75">
      <c r="B782" s="59"/>
      <c r="C782" s="59"/>
      <c r="D782" s="59"/>
      <c r="E782" s="59"/>
      <c r="F782" s="59"/>
      <c r="G782" s="59"/>
      <c r="H782" s="59"/>
      <c r="I782" s="59"/>
    </row>
    <row r="783" spans="2:9" ht="12.75">
      <c r="B783" s="59"/>
      <c r="C783" s="59"/>
      <c r="D783" s="59"/>
      <c r="E783" s="59"/>
      <c r="F783" s="59"/>
      <c r="G783" s="59"/>
      <c r="H783" s="59"/>
      <c r="I783" s="59"/>
    </row>
    <row r="784" spans="2:9" ht="12.75">
      <c r="B784" s="59"/>
      <c r="C784" s="59"/>
      <c r="D784" s="59"/>
      <c r="E784" s="59"/>
      <c r="F784" s="59"/>
      <c r="G784" s="59"/>
      <c r="H784" s="59"/>
      <c r="I784" s="59"/>
    </row>
    <row r="785" spans="2:9" ht="12.75">
      <c r="B785" s="59"/>
      <c r="C785" s="59"/>
      <c r="D785" s="59"/>
      <c r="E785" s="59"/>
      <c r="F785" s="59"/>
      <c r="G785" s="59"/>
      <c r="H785" s="59"/>
      <c r="I785" s="59"/>
    </row>
    <row r="786" spans="2:9" ht="12.75">
      <c r="B786" s="59"/>
      <c r="C786" s="59"/>
      <c r="D786" s="59"/>
      <c r="E786" s="59"/>
      <c r="F786" s="59"/>
      <c r="G786" s="59"/>
      <c r="H786" s="59"/>
      <c r="I786" s="59"/>
    </row>
    <row r="787" spans="2:9" ht="12.75">
      <c r="B787" s="59"/>
      <c r="C787" s="59"/>
      <c r="D787" s="59"/>
      <c r="E787" s="59"/>
      <c r="F787" s="59"/>
      <c r="G787" s="59"/>
      <c r="H787" s="59"/>
      <c r="I787" s="59"/>
    </row>
    <row r="788" spans="2:9" ht="12.75">
      <c r="B788" s="59"/>
      <c r="C788" s="59"/>
      <c r="D788" s="59"/>
      <c r="E788" s="59"/>
      <c r="F788" s="59"/>
      <c r="G788" s="59"/>
      <c r="H788" s="59"/>
      <c r="I788" s="59"/>
    </row>
    <row r="789" spans="2:9" ht="12.75">
      <c r="B789" s="59"/>
      <c r="C789" s="59"/>
      <c r="D789" s="59"/>
      <c r="E789" s="59"/>
      <c r="F789" s="59"/>
      <c r="G789" s="59"/>
      <c r="H789" s="59"/>
      <c r="I789" s="59"/>
    </row>
    <row r="790" spans="2:9" ht="12.75">
      <c r="B790" s="59"/>
      <c r="C790" s="59"/>
      <c r="D790" s="59"/>
      <c r="E790" s="59"/>
      <c r="F790" s="59"/>
      <c r="G790" s="59"/>
      <c r="H790" s="59"/>
      <c r="I790" s="59"/>
    </row>
    <row r="791" spans="2:9" ht="12.75">
      <c r="B791" s="59"/>
      <c r="C791" s="59"/>
      <c r="D791" s="59"/>
      <c r="E791" s="59"/>
      <c r="F791" s="59"/>
      <c r="G791" s="59"/>
      <c r="H791" s="59"/>
      <c r="I791" s="59"/>
    </row>
    <row r="792" spans="2:9" ht="12.75">
      <c r="B792" s="59"/>
      <c r="C792" s="59"/>
      <c r="D792" s="59"/>
      <c r="E792" s="59"/>
      <c r="F792" s="59"/>
      <c r="G792" s="59"/>
      <c r="H792" s="59"/>
      <c r="I792" s="59"/>
    </row>
    <row r="793" spans="2:9" ht="12.75">
      <c r="B793" s="59"/>
      <c r="C793" s="59"/>
      <c r="D793" s="59"/>
      <c r="E793" s="59"/>
      <c r="F793" s="59"/>
      <c r="G793" s="59"/>
      <c r="H793" s="59"/>
      <c r="I793" s="59"/>
    </row>
    <row r="794" spans="2:9" ht="12.75">
      <c r="B794" s="59"/>
      <c r="C794" s="59"/>
      <c r="D794" s="59"/>
      <c r="E794" s="59"/>
      <c r="F794" s="59"/>
      <c r="G794" s="59"/>
      <c r="H794" s="59"/>
      <c r="I794" s="59"/>
    </row>
    <row r="795" spans="2:9" ht="12.75">
      <c r="B795" s="59"/>
      <c r="C795" s="59"/>
      <c r="D795" s="59"/>
      <c r="E795" s="59"/>
      <c r="F795" s="59"/>
      <c r="G795" s="59"/>
      <c r="H795" s="59"/>
      <c r="I795" s="59"/>
    </row>
    <row r="796" spans="2:9" ht="12.75">
      <c r="B796" s="59"/>
      <c r="C796" s="59"/>
      <c r="D796" s="59"/>
      <c r="E796" s="59"/>
      <c r="F796" s="59"/>
      <c r="G796" s="59"/>
      <c r="H796" s="59"/>
      <c r="I796" s="59"/>
    </row>
    <row r="797" spans="2:9" ht="12.75">
      <c r="B797" s="59"/>
      <c r="C797" s="59"/>
      <c r="D797" s="59"/>
      <c r="E797" s="59"/>
      <c r="F797" s="59"/>
      <c r="G797" s="59"/>
      <c r="H797" s="59"/>
      <c r="I797" s="59"/>
    </row>
    <row r="798" spans="2:9" ht="12.75">
      <c r="B798" s="59"/>
      <c r="C798" s="59"/>
      <c r="D798" s="59"/>
      <c r="E798" s="59"/>
      <c r="F798" s="59"/>
      <c r="G798" s="59"/>
      <c r="H798" s="59"/>
      <c r="I798" s="59"/>
    </row>
    <row r="799" spans="2:9" ht="12.75">
      <c r="B799" s="59"/>
      <c r="C799" s="59"/>
      <c r="D799" s="59"/>
      <c r="E799" s="59"/>
      <c r="F799" s="59"/>
      <c r="G799" s="59"/>
      <c r="H799" s="59"/>
      <c r="I799" s="59"/>
    </row>
    <row r="800" spans="2:9" ht="12.75">
      <c r="B800" s="59"/>
      <c r="C800" s="59"/>
      <c r="D800" s="59"/>
      <c r="E800" s="59"/>
      <c r="F800" s="59"/>
      <c r="G800" s="59"/>
      <c r="H800" s="59"/>
      <c r="I800" s="59"/>
    </row>
    <row r="801" spans="2:9" ht="12.75">
      <c r="B801" s="59"/>
      <c r="C801" s="59"/>
      <c r="D801" s="59"/>
      <c r="E801" s="59"/>
      <c r="F801" s="59"/>
      <c r="G801" s="59"/>
      <c r="H801" s="59"/>
      <c r="I801" s="59"/>
    </row>
    <row r="802" spans="2:9" ht="12.75">
      <c r="B802" s="59"/>
      <c r="C802" s="59"/>
      <c r="D802" s="59"/>
      <c r="E802" s="59"/>
      <c r="F802" s="59"/>
      <c r="G802" s="59"/>
      <c r="H802" s="59"/>
      <c r="I802" s="59"/>
    </row>
    <row r="803" spans="2:9" ht="12.75">
      <c r="B803" s="59"/>
      <c r="C803" s="59"/>
      <c r="D803" s="59"/>
      <c r="E803" s="59"/>
      <c r="F803" s="59"/>
      <c r="G803" s="59"/>
      <c r="H803" s="59"/>
      <c r="I803" s="59"/>
    </row>
    <row r="804" spans="2:9" ht="12.75">
      <c r="B804" s="59"/>
      <c r="C804" s="59"/>
      <c r="D804" s="59"/>
      <c r="E804" s="59"/>
      <c r="F804" s="59"/>
      <c r="G804" s="59"/>
      <c r="H804" s="59"/>
      <c r="I804" s="59"/>
    </row>
    <row r="805" spans="2:9" ht="12.75">
      <c r="B805" s="59"/>
      <c r="C805" s="59"/>
      <c r="D805" s="59"/>
      <c r="E805" s="59"/>
      <c r="F805" s="59"/>
      <c r="G805" s="59"/>
      <c r="H805" s="59"/>
      <c r="I805" s="59"/>
    </row>
    <row r="806" spans="2:9" ht="12.75">
      <c r="B806" s="59"/>
      <c r="C806" s="59"/>
      <c r="D806" s="59"/>
      <c r="E806" s="59"/>
      <c r="F806" s="59"/>
      <c r="G806" s="59"/>
      <c r="H806" s="59"/>
      <c r="I806" s="59"/>
    </row>
    <row r="807" spans="2:9" ht="12.75">
      <c r="B807" s="59"/>
      <c r="C807" s="59"/>
      <c r="D807" s="59"/>
      <c r="E807" s="59"/>
      <c r="F807" s="59"/>
      <c r="G807" s="59"/>
      <c r="H807" s="59"/>
      <c r="I807" s="59"/>
    </row>
    <row r="808" spans="2:9" ht="12.75">
      <c r="B808" s="59"/>
      <c r="C808" s="59"/>
      <c r="D808" s="59"/>
      <c r="E808" s="59"/>
      <c r="F808" s="59"/>
      <c r="G808" s="59"/>
      <c r="H808" s="59"/>
      <c r="I808" s="59"/>
    </row>
    <row r="809" spans="2:9" ht="12.75">
      <c r="B809" s="59"/>
      <c r="C809" s="59"/>
      <c r="D809" s="59"/>
      <c r="E809" s="59"/>
      <c r="F809" s="59"/>
      <c r="G809" s="59"/>
      <c r="H809" s="59"/>
      <c r="I809" s="59"/>
    </row>
    <row r="810" spans="2:9" ht="12.75">
      <c r="B810" s="59"/>
      <c r="C810" s="59"/>
      <c r="D810" s="59"/>
      <c r="E810" s="59"/>
      <c r="F810" s="59"/>
      <c r="G810" s="59"/>
      <c r="H810" s="59"/>
      <c r="I810" s="59"/>
    </row>
    <row r="811" spans="2:9" ht="12.75">
      <c r="B811" s="59"/>
      <c r="C811" s="59"/>
      <c r="D811" s="59"/>
      <c r="E811" s="59"/>
      <c r="F811" s="59"/>
      <c r="G811" s="59"/>
      <c r="H811" s="59"/>
      <c r="I811" s="59"/>
    </row>
    <row r="812" spans="2:9" ht="12.75">
      <c r="B812" s="59"/>
      <c r="C812" s="59"/>
      <c r="D812" s="59"/>
      <c r="E812" s="59"/>
      <c r="F812" s="59"/>
      <c r="G812" s="59"/>
      <c r="H812" s="59"/>
      <c r="I812" s="59"/>
    </row>
    <row r="813" spans="2:9" ht="12.75">
      <c r="B813" s="59"/>
      <c r="C813" s="59"/>
      <c r="D813" s="59"/>
      <c r="E813" s="59"/>
      <c r="F813" s="59"/>
      <c r="G813" s="59"/>
      <c r="H813" s="59"/>
      <c r="I813" s="59"/>
    </row>
    <row r="814" spans="2:9" ht="12.75">
      <c r="B814" s="59"/>
      <c r="C814" s="59"/>
      <c r="D814" s="59"/>
      <c r="E814" s="59"/>
      <c r="F814" s="59"/>
      <c r="G814" s="59"/>
      <c r="H814" s="59"/>
      <c r="I814" s="59"/>
    </row>
    <row r="815" spans="2:9" ht="12.75">
      <c r="B815" s="59"/>
      <c r="C815" s="59"/>
      <c r="D815" s="59"/>
      <c r="E815" s="59"/>
      <c r="F815" s="59"/>
      <c r="G815" s="59"/>
      <c r="H815" s="59"/>
      <c r="I815" s="59"/>
    </row>
    <row r="816" spans="2:9" ht="12.75">
      <c r="B816" s="59"/>
      <c r="C816" s="59"/>
      <c r="D816" s="59"/>
      <c r="E816" s="59"/>
      <c r="F816" s="59"/>
      <c r="G816" s="59"/>
      <c r="H816" s="59"/>
      <c r="I816" s="59"/>
    </row>
    <row r="817" spans="2:9" ht="12.75">
      <c r="B817" s="59"/>
      <c r="C817" s="59"/>
      <c r="D817" s="59"/>
      <c r="E817" s="59"/>
      <c r="F817" s="59"/>
      <c r="G817" s="59"/>
      <c r="H817" s="59"/>
      <c r="I817" s="59"/>
    </row>
    <row r="818" spans="2:9" ht="12.75">
      <c r="B818" s="59"/>
      <c r="C818" s="59"/>
      <c r="D818" s="59"/>
      <c r="E818" s="59"/>
      <c r="F818" s="59"/>
      <c r="G818" s="59"/>
      <c r="H818" s="59"/>
      <c r="I818" s="59"/>
    </row>
    <row r="819" spans="2:9" ht="12.75">
      <c r="B819" s="59"/>
      <c r="C819" s="59"/>
      <c r="D819" s="59"/>
      <c r="E819" s="59"/>
      <c r="F819" s="59"/>
      <c r="G819" s="59"/>
      <c r="H819" s="59"/>
      <c r="I819" s="59"/>
    </row>
    <row r="820" spans="2:9" ht="12.75">
      <c r="B820" s="59"/>
      <c r="C820" s="59"/>
      <c r="D820" s="59"/>
      <c r="E820" s="59"/>
      <c r="F820" s="59"/>
      <c r="G820" s="59"/>
      <c r="H820" s="59"/>
      <c r="I820" s="59"/>
    </row>
    <row r="821" spans="2:9" ht="12.75">
      <c r="B821" s="59"/>
      <c r="C821" s="59"/>
      <c r="D821" s="59"/>
      <c r="E821" s="59"/>
      <c r="F821" s="59"/>
      <c r="G821" s="59"/>
      <c r="H821" s="59"/>
      <c r="I821" s="59"/>
    </row>
    <row r="822" spans="2:9" ht="12.75">
      <c r="B822" s="59"/>
      <c r="C822" s="59"/>
      <c r="D822" s="59"/>
      <c r="E822" s="59"/>
      <c r="F822" s="59"/>
      <c r="G822" s="59"/>
      <c r="H822" s="59"/>
      <c r="I822" s="59"/>
    </row>
    <row r="823" spans="2:9" ht="12.75">
      <c r="B823" s="59"/>
      <c r="C823" s="59"/>
      <c r="D823" s="59"/>
      <c r="E823" s="59"/>
      <c r="F823" s="59"/>
      <c r="G823" s="59"/>
      <c r="H823" s="59"/>
      <c r="I823" s="59"/>
    </row>
    <row r="824" spans="2:9" ht="12.75">
      <c r="B824" s="59"/>
      <c r="C824" s="59"/>
      <c r="D824" s="59"/>
      <c r="E824" s="59"/>
      <c r="F824" s="59"/>
      <c r="G824" s="59"/>
      <c r="H824" s="59"/>
      <c r="I824" s="59"/>
    </row>
    <row r="825" spans="2:9" ht="12.75">
      <c r="B825" s="59"/>
      <c r="C825" s="59"/>
      <c r="D825" s="59"/>
      <c r="E825" s="59"/>
      <c r="F825" s="59"/>
      <c r="G825" s="59"/>
      <c r="H825" s="59"/>
      <c r="I825" s="59"/>
    </row>
    <row r="826" spans="2:9" ht="12.75">
      <c r="B826" s="59"/>
      <c r="C826" s="59"/>
      <c r="D826" s="59"/>
      <c r="E826" s="59"/>
      <c r="F826" s="59"/>
      <c r="G826" s="59"/>
      <c r="H826" s="59"/>
      <c r="I826" s="59"/>
    </row>
    <row r="827" spans="2:9" ht="12.75">
      <c r="B827" s="59"/>
      <c r="C827" s="59"/>
      <c r="D827" s="59"/>
      <c r="E827" s="59"/>
      <c r="F827" s="59"/>
      <c r="G827" s="59"/>
      <c r="H827" s="59"/>
      <c r="I827" s="59"/>
    </row>
    <row r="828" spans="2:9" ht="12.75">
      <c r="B828" s="59"/>
      <c r="C828" s="59"/>
      <c r="D828" s="59"/>
      <c r="E828" s="59"/>
      <c r="F828" s="59"/>
      <c r="G828" s="59"/>
      <c r="H828" s="59"/>
      <c r="I828" s="59"/>
    </row>
    <row r="829" spans="2:9" ht="12.75">
      <c r="B829" s="59"/>
      <c r="C829" s="59"/>
      <c r="D829" s="59"/>
      <c r="E829" s="59"/>
      <c r="F829" s="59"/>
      <c r="G829" s="59"/>
      <c r="H829" s="59"/>
      <c r="I829" s="59"/>
    </row>
    <row r="830" spans="2:9" ht="12.75">
      <c r="B830" s="59"/>
      <c r="C830" s="59"/>
      <c r="D830" s="59"/>
      <c r="E830" s="59"/>
      <c r="F830" s="59"/>
      <c r="G830" s="59"/>
      <c r="H830" s="59"/>
      <c r="I830" s="59"/>
    </row>
    <row r="831" spans="2:9" ht="12.75">
      <c r="B831" s="59"/>
      <c r="C831" s="59"/>
      <c r="D831" s="59"/>
      <c r="E831" s="59"/>
      <c r="F831" s="59"/>
      <c r="G831" s="59"/>
      <c r="H831" s="59"/>
      <c r="I831" s="59"/>
    </row>
    <row r="832" spans="2:9" ht="12.75">
      <c r="B832" s="59"/>
      <c r="C832" s="59"/>
      <c r="D832" s="59"/>
      <c r="E832" s="59"/>
      <c r="F832" s="59"/>
      <c r="G832" s="59"/>
      <c r="H832" s="59"/>
      <c r="I832" s="59"/>
    </row>
    <row r="833" spans="2:9" ht="12.75">
      <c r="B833" s="59"/>
      <c r="C833" s="59"/>
      <c r="D833" s="59"/>
      <c r="E833" s="59"/>
      <c r="F833" s="59"/>
      <c r="G833" s="59"/>
      <c r="H833" s="59"/>
      <c r="I833" s="59"/>
    </row>
    <row r="834" spans="2:9" ht="12.75">
      <c r="B834" s="59"/>
      <c r="C834" s="59"/>
      <c r="D834" s="59"/>
      <c r="E834" s="59"/>
      <c r="F834" s="59"/>
      <c r="G834" s="59"/>
      <c r="H834" s="59"/>
      <c r="I834" s="59"/>
    </row>
    <row r="835" spans="2:9" ht="12.75">
      <c r="B835" s="59"/>
      <c r="C835" s="59"/>
      <c r="D835" s="59"/>
      <c r="E835" s="59"/>
      <c r="F835" s="59"/>
      <c r="G835" s="59"/>
      <c r="H835" s="59"/>
      <c r="I835" s="59"/>
    </row>
    <row r="836" spans="2:9" ht="12.75">
      <c r="B836" s="59"/>
      <c r="C836" s="59"/>
      <c r="D836" s="59"/>
      <c r="E836" s="59"/>
      <c r="F836" s="59"/>
      <c r="G836" s="59"/>
      <c r="H836" s="59"/>
      <c r="I836" s="59"/>
    </row>
    <row r="837" spans="2:9" ht="12.75">
      <c r="B837" s="59"/>
      <c r="C837" s="59"/>
      <c r="D837" s="59"/>
      <c r="E837" s="59"/>
      <c r="F837" s="59"/>
      <c r="G837" s="59"/>
      <c r="H837" s="59"/>
      <c r="I837" s="59"/>
    </row>
    <row r="838" spans="2:9" ht="12.75">
      <c r="B838" s="59"/>
      <c r="C838" s="59"/>
      <c r="D838" s="59"/>
      <c r="E838" s="59"/>
      <c r="F838" s="59"/>
      <c r="G838" s="59"/>
      <c r="H838" s="59"/>
      <c r="I838" s="59"/>
    </row>
    <row r="839" spans="2:9" ht="12.75">
      <c r="B839" s="59"/>
      <c r="C839" s="59"/>
      <c r="D839" s="59"/>
      <c r="E839" s="59"/>
      <c r="F839" s="59"/>
      <c r="G839" s="59"/>
      <c r="H839" s="59"/>
      <c r="I839" s="59"/>
    </row>
    <row r="840" spans="2:9" ht="12.75">
      <c r="B840" s="59"/>
      <c r="C840" s="59"/>
      <c r="D840" s="59"/>
      <c r="E840" s="59"/>
      <c r="F840" s="59"/>
      <c r="G840" s="59"/>
      <c r="H840" s="59"/>
      <c r="I840" s="59"/>
    </row>
    <row r="841" spans="2:9" ht="12.75">
      <c r="B841" s="59"/>
      <c r="C841" s="59"/>
      <c r="D841" s="59"/>
      <c r="E841" s="59"/>
      <c r="F841" s="59"/>
      <c r="G841" s="59"/>
      <c r="H841" s="59"/>
      <c r="I841" s="59"/>
    </row>
    <row r="842" spans="2:9" ht="12.75">
      <c r="B842" s="59"/>
      <c r="C842" s="59"/>
      <c r="D842" s="59"/>
      <c r="E842" s="59"/>
      <c r="F842" s="59"/>
      <c r="G842" s="59"/>
      <c r="H842" s="59"/>
      <c r="I842" s="59"/>
    </row>
    <row r="843" spans="2:9" ht="12.75">
      <c r="B843" s="59"/>
      <c r="C843" s="59"/>
      <c r="D843" s="59"/>
      <c r="E843" s="59"/>
      <c r="F843" s="59"/>
      <c r="G843" s="59"/>
      <c r="H843" s="59"/>
      <c r="I843" s="59"/>
    </row>
    <row r="844" spans="2:9" ht="12.75">
      <c r="B844" s="59"/>
      <c r="C844" s="59"/>
      <c r="D844" s="59"/>
      <c r="E844" s="59"/>
      <c r="F844" s="59"/>
      <c r="G844" s="59"/>
      <c r="H844" s="59"/>
      <c r="I844" s="59"/>
    </row>
    <row r="845" spans="2:9" ht="12.75">
      <c r="B845" s="59"/>
      <c r="C845" s="59"/>
      <c r="D845" s="59"/>
      <c r="E845" s="59"/>
      <c r="F845" s="59"/>
      <c r="G845" s="59"/>
      <c r="H845" s="59"/>
      <c r="I845" s="59"/>
    </row>
    <row r="846" spans="2:9" ht="12.75">
      <c r="B846" s="59"/>
      <c r="C846" s="59"/>
      <c r="D846" s="59"/>
      <c r="E846" s="59"/>
      <c r="F846" s="59"/>
      <c r="G846" s="59"/>
      <c r="H846" s="59"/>
      <c r="I846" s="59"/>
    </row>
    <row r="847" spans="2:9" ht="12.75">
      <c r="B847" s="59"/>
      <c r="C847" s="59"/>
      <c r="D847" s="59"/>
      <c r="E847" s="59"/>
      <c r="F847" s="59"/>
      <c r="G847" s="59"/>
      <c r="H847" s="59"/>
      <c r="I847" s="59"/>
    </row>
    <row r="848" spans="2:9" ht="12.75">
      <c r="B848" s="59"/>
      <c r="C848" s="59"/>
      <c r="D848" s="59"/>
      <c r="E848" s="59"/>
      <c r="F848" s="59"/>
      <c r="G848" s="59"/>
      <c r="H848" s="59"/>
      <c r="I848" s="59"/>
    </row>
    <row r="849" spans="2:9" ht="12.75">
      <c r="B849" s="59"/>
      <c r="C849" s="59"/>
      <c r="D849" s="59"/>
      <c r="E849" s="59"/>
      <c r="F849" s="59"/>
      <c r="G849" s="59"/>
      <c r="H849" s="59"/>
      <c r="I849" s="59"/>
    </row>
    <row r="850" spans="2:9" ht="12.75">
      <c r="B850" s="59"/>
      <c r="C850" s="59"/>
      <c r="D850" s="59"/>
      <c r="E850" s="59"/>
      <c r="F850" s="59"/>
      <c r="G850" s="59"/>
      <c r="H850" s="59"/>
      <c r="I850" s="59"/>
    </row>
    <row r="851" spans="2:9" ht="12.75">
      <c r="B851" s="59"/>
      <c r="C851" s="59"/>
      <c r="D851" s="59"/>
      <c r="E851" s="59"/>
      <c r="F851" s="59"/>
      <c r="G851" s="59"/>
      <c r="H851" s="59"/>
      <c r="I851" s="59"/>
    </row>
    <row r="852" spans="2:9" ht="12.75">
      <c r="B852" s="59"/>
      <c r="C852" s="59"/>
      <c r="D852" s="59"/>
      <c r="E852" s="59"/>
      <c r="F852" s="59"/>
      <c r="G852" s="59"/>
      <c r="H852" s="59"/>
      <c r="I852" s="59"/>
    </row>
    <row r="853" spans="2:9" ht="12.75">
      <c r="B853" s="59"/>
      <c r="C853" s="59"/>
      <c r="D853" s="59"/>
      <c r="E853" s="59"/>
      <c r="F853" s="59"/>
      <c r="G853" s="59"/>
      <c r="H853" s="59"/>
      <c r="I853" s="59"/>
    </row>
    <row r="854" spans="2:9" ht="12.75">
      <c r="B854" s="59"/>
      <c r="C854" s="59"/>
      <c r="D854" s="59"/>
      <c r="E854" s="59"/>
      <c r="F854" s="59"/>
      <c r="G854" s="59"/>
      <c r="H854" s="59"/>
      <c r="I854" s="59"/>
    </row>
    <row r="855" spans="2:9" ht="12.75">
      <c r="B855" s="59"/>
      <c r="C855" s="59"/>
      <c r="D855" s="59"/>
      <c r="E855" s="59"/>
      <c r="F855" s="59"/>
      <c r="G855" s="59"/>
      <c r="H855" s="59"/>
      <c r="I855" s="59"/>
    </row>
    <row r="856" spans="2:9" ht="12.75">
      <c r="B856" s="59"/>
      <c r="C856" s="59"/>
      <c r="D856" s="59"/>
      <c r="E856" s="59"/>
      <c r="F856" s="59"/>
      <c r="G856" s="59"/>
      <c r="H856" s="59"/>
      <c r="I856" s="59"/>
    </row>
    <row r="857" spans="2:9" ht="12.75">
      <c r="B857" s="59"/>
      <c r="C857" s="59"/>
      <c r="D857" s="59"/>
      <c r="E857" s="59"/>
      <c r="F857" s="59"/>
      <c r="G857" s="59"/>
      <c r="H857" s="59"/>
      <c r="I857" s="59"/>
    </row>
    <row r="858" spans="2:9" ht="12.75">
      <c r="B858" s="59"/>
      <c r="C858" s="59"/>
      <c r="D858" s="59"/>
      <c r="E858" s="59"/>
      <c r="F858" s="59"/>
      <c r="G858" s="59"/>
      <c r="H858" s="59"/>
      <c r="I858" s="59"/>
    </row>
    <row r="859" spans="2:9" ht="12.75">
      <c r="B859" s="59"/>
      <c r="C859" s="59"/>
      <c r="D859" s="59"/>
      <c r="E859" s="59"/>
      <c r="F859" s="59"/>
      <c r="G859" s="59"/>
      <c r="H859" s="59"/>
      <c r="I859" s="59"/>
    </row>
    <row r="860" spans="2:9" ht="12.75">
      <c r="B860" s="59"/>
      <c r="C860" s="59"/>
      <c r="D860" s="59"/>
      <c r="E860" s="59"/>
      <c r="F860" s="59"/>
      <c r="G860" s="59"/>
      <c r="H860" s="59"/>
      <c r="I860" s="59"/>
    </row>
    <row r="861" spans="2:9" ht="12.75">
      <c r="B861" s="59"/>
      <c r="C861" s="59"/>
      <c r="D861" s="59"/>
      <c r="E861" s="59"/>
      <c r="F861" s="59"/>
      <c r="G861" s="59"/>
      <c r="H861" s="59"/>
      <c r="I861" s="59"/>
    </row>
    <row r="862" spans="2:9" ht="12.75">
      <c r="B862" s="59"/>
      <c r="C862" s="59"/>
      <c r="D862" s="59"/>
      <c r="E862" s="59"/>
      <c r="F862" s="59"/>
      <c r="G862" s="59"/>
      <c r="H862" s="59"/>
      <c r="I862" s="59"/>
    </row>
    <row r="863" spans="2:9" ht="12.75">
      <c r="B863" s="59"/>
      <c r="C863" s="59"/>
      <c r="D863" s="59"/>
      <c r="E863" s="59"/>
      <c r="F863" s="59"/>
      <c r="G863" s="59"/>
      <c r="H863" s="59"/>
      <c r="I863" s="59"/>
    </row>
    <row r="864" spans="2:9" ht="12.75">
      <c r="B864" s="59"/>
      <c r="C864" s="59"/>
      <c r="D864" s="59"/>
      <c r="E864" s="59"/>
      <c r="F864" s="59"/>
      <c r="G864" s="59"/>
      <c r="H864" s="59"/>
      <c r="I864" s="59"/>
    </row>
    <row r="865" spans="2:9" ht="12.75">
      <c r="B865" s="59"/>
      <c r="C865" s="59"/>
      <c r="D865" s="59"/>
      <c r="E865" s="59"/>
      <c r="F865" s="59"/>
      <c r="G865" s="59"/>
      <c r="H865" s="59"/>
      <c r="I865" s="59"/>
    </row>
    <row r="866" spans="2:9" ht="12.75">
      <c r="B866" s="59"/>
      <c r="C866" s="59"/>
      <c r="D866" s="59"/>
      <c r="E866" s="59"/>
      <c r="F866" s="59"/>
      <c r="G866" s="59"/>
      <c r="H866" s="59"/>
      <c r="I866" s="59"/>
    </row>
    <row r="867" spans="2:9" ht="12.75">
      <c r="B867" s="59"/>
      <c r="C867" s="59"/>
      <c r="D867" s="59"/>
      <c r="E867" s="59"/>
      <c r="F867" s="59"/>
      <c r="G867" s="59"/>
      <c r="H867" s="59"/>
      <c r="I867" s="59"/>
    </row>
    <row r="868" spans="2:9" ht="12.75">
      <c r="B868" s="59"/>
      <c r="C868" s="59"/>
      <c r="D868" s="59"/>
      <c r="E868" s="59"/>
      <c r="F868" s="59"/>
      <c r="G868" s="59"/>
      <c r="H868" s="59"/>
      <c r="I868" s="59"/>
    </row>
    <row r="869" spans="2:9" ht="12.75">
      <c r="B869" s="59"/>
      <c r="C869" s="59"/>
      <c r="D869" s="59"/>
      <c r="E869" s="59"/>
      <c r="F869" s="59"/>
      <c r="G869" s="59"/>
      <c r="H869" s="59"/>
      <c r="I869" s="59"/>
    </row>
    <row r="870" spans="2:9" ht="12.75">
      <c r="B870" s="59"/>
      <c r="C870" s="59"/>
      <c r="D870" s="59"/>
      <c r="E870" s="59"/>
      <c r="F870" s="59"/>
      <c r="G870" s="59"/>
      <c r="H870" s="59"/>
      <c r="I870" s="59"/>
    </row>
    <row r="871" spans="2:9" ht="12.75">
      <c r="B871" s="59"/>
      <c r="C871" s="59"/>
      <c r="D871" s="59"/>
      <c r="E871" s="59"/>
      <c r="F871" s="59"/>
      <c r="G871" s="59"/>
      <c r="H871" s="59"/>
      <c r="I871" s="59"/>
    </row>
    <row r="872" spans="2:9" ht="12.75">
      <c r="B872" s="59"/>
      <c r="C872" s="59"/>
      <c r="D872" s="59"/>
      <c r="E872" s="59"/>
      <c r="F872" s="59"/>
      <c r="G872" s="59"/>
      <c r="H872" s="59"/>
      <c r="I872" s="59"/>
    </row>
    <row r="873" spans="2:9" ht="12.75">
      <c r="B873" s="59"/>
      <c r="C873" s="59"/>
      <c r="D873" s="59"/>
      <c r="E873" s="59"/>
      <c r="F873" s="59"/>
      <c r="G873" s="59"/>
      <c r="H873" s="59"/>
      <c r="I873" s="59"/>
    </row>
    <row r="874" spans="2:9" ht="12.75">
      <c r="B874" s="59"/>
      <c r="C874" s="59"/>
      <c r="D874" s="59"/>
      <c r="E874" s="59"/>
      <c r="F874" s="59"/>
      <c r="G874" s="59"/>
      <c r="H874" s="59"/>
      <c r="I874" s="59"/>
    </row>
    <row r="875" spans="2:9" ht="12.75">
      <c r="B875" s="59"/>
      <c r="C875" s="59"/>
      <c r="D875" s="59"/>
      <c r="E875" s="59"/>
      <c r="F875" s="59"/>
      <c r="G875" s="59"/>
      <c r="H875" s="59"/>
      <c r="I875" s="59"/>
    </row>
    <row r="876" spans="2:9" ht="12.75">
      <c r="B876" s="59"/>
      <c r="C876" s="59"/>
      <c r="D876" s="59"/>
      <c r="E876" s="59"/>
      <c r="F876" s="59"/>
      <c r="G876" s="59"/>
      <c r="H876" s="59"/>
      <c r="I876" s="59"/>
    </row>
    <row r="877" spans="2:9" ht="12.75">
      <c r="B877" s="59"/>
      <c r="C877" s="59"/>
      <c r="D877" s="59"/>
      <c r="E877" s="59"/>
      <c r="F877" s="59"/>
      <c r="G877" s="59"/>
      <c r="H877" s="59"/>
      <c r="I877" s="59"/>
    </row>
    <row r="878" spans="2:9" ht="12.75">
      <c r="B878" s="59"/>
      <c r="C878" s="59"/>
      <c r="D878" s="59"/>
      <c r="E878" s="59"/>
      <c r="F878" s="59"/>
      <c r="G878" s="59"/>
      <c r="H878" s="59"/>
      <c r="I878" s="59"/>
    </row>
    <row r="879" spans="2:9" ht="12.75">
      <c r="B879" s="59"/>
      <c r="C879" s="59"/>
      <c r="D879" s="59"/>
      <c r="E879" s="59"/>
      <c r="F879" s="59"/>
      <c r="G879" s="59"/>
      <c r="H879" s="59"/>
      <c r="I879" s="59"/>
    </row>
    <row r="880" spans="2:9" ht="12.75">
      <c r="B880" s="59"/>
      <c r="C880" s="59"/>
      <c r="D880" s="59"/>
      <c r="E880" s="59"/>
      <c r="F880" s="59"/>
      <c r="G880" s="59"/>
      <c r="H880" s="59"/>
      <c r="I880" s="59"/>
    </row>
    <row r="881" spans="2:9" ht="12.75">
      <c r="B881" s="59"/>
      <c r="C881" s="59"/>
      <c r="D881" s="59"/>
      <c r="E881" s="59"/>
      <c r="F881" s="59"/>
      <c r="G881" s="59"/>
      <c r="H881" s="59"/>
      <c r="I881" s="59"/>
    </row>
    <row r="882" spans="2:9" ht="12.75">
      <c r="B882" s="59"/>
      <c r="C882" s="59"/>
      <c r="D882" s="59"/>
      <c r="E882" s="59"/>
      <c r="F882" s="59"/>
      <c r="G882" s="59"/>
      <c r="H882" s="59"/>
      <c r="I882" s="59"/>
    </row>
    <row r="883" spans="2:9" ht="12.75">
      <c r="B883" s="59"/>
      <c r="C883" s="59"/>
      <c r="D883" s="59"/>
      <c r="E883" s="59"/>
      <c r="F883" s="59"/>
      <c r="G883" s="59"/>
      <c r="H883" s="59"/>
      <c r="I883" s="59"/>
    </row>
    <row r="884" spans="2:9" ht="12.75">
      <c r="B884" s="59"/>
      <c r="C884" s="59"/>
      <c r="D884" s="59"/>
      <c r="E884" s="59"/>
      <c r="F884" s="59"/>
      <c r="G884" s="59"/>
      <c r="H884" s="59"/>
      <c r="I884" s="59"/>
    </row>
    <row r="885" spans="2:9" ht="12.75">
      <c r="B885" s="59"/>
      <c r="C885" s="59"/>
      <c r="D885" s="59"/>
      <c r="E885" s="59"/>
      <c r="F885" s="59"/>
      <c r="G885" s="59"/>
      <c r="H885" s="59"/>
      <c r="I885" s="59"/>
    </row>
    <row r="886" spans="2:9" ht="12.75">
      <c r="B886" s="59"/>
      <c r="C886" s="59"/>
      <c r="D886" s="59"/>
      <c r="E886" s="59"/>
      <c r="F886" s="59"/>
      <c r="G886" s="59"/>
      <c r="H886" s="59"/>
      <c r="I886" s="59"/>
    </row>
    <row r="887" spans="2:9" ht="12.75">
      <c r="B887" s="59"/>
      <c r="C887" s="59"/>
      <c r="D887" s="59"/>
      <c r="E887" s="59"/>
      <c r="F887" s="59"/>
      <c r="G887" s="59"/>
      <c r="H887" s="59"/>
      <c r="I887" s="59"/>
    </row>
    <row r="888" spans="2:9" ht="12.75">
      <c r="B888" s="59"/>
      <c r="C888" s="59"/>
      <c r="D888" s="59"/>
      <c r="E888" s="59"/>
      <c r="F888" s="59"/>
      <c r="G888" s="59"/>
      <c r="H888" s="59"/>
      <c r="I888" s="59"/>
    </row>
    <row r="889" spans="2:9" ht="12.75">
      <c r="B889" s="59"/>
      <c r="C889" s="59"/>
      <c r="D889" s="59"/>
      <c r="E889" s="59"/>
      <c r="F889" s="59"/>
      <c r="G889" s="59"/>
      <c r="H889" s="59"/>
      <c r="I889" s="59"/>
    </row>
    <row r="890" spans="2:9" ht="12.75">
      <c r="B890" s="59"/>
      <c r="C890" s="59"/>
      <c r="D890" s="59"/>
      <c r="E890" s="59"/>
      <c r="F890" s="59"/>
      <c r="G890" s="59"/>
      <c r="H890" s="59"/>
      <c r="I890" s="59"/>
    </row>
    <row r="891" spans="2:9" ht="12.75">
      <c r="B891" s="59"/>
      <c r="C891" s="59"/>
      <c r="D891" s="59"/>
      <c r="E891" s="59"/>
      <c r="F891" s="59"/>
      <c r="G891" s="59"/>
      <c r="H891" s="59"/>
      <c r="I891" s="59"/>
    </row>
    <row r="892" spans="2:9" ht="12.75">
      <c r="B892" s="59"/>
      <c r="C892" s="59"/>
      <c r="D892" s="59"/>
      <c r="E892" s="59"/>
      <c r="F892" s="59"/>
      <c r="G892" s="59"/>
      <c r="H892" s="59"/>
      <c r="I892" s="59"/>
    </row>
    <row r="893" spans="2:9" ht="12.75">
      <c r="B893" s="59"/>
      <c r="C893" s="59"/>
      <c r="D893" s="59"/>
      <c r="E893" s="59"/>
      <c r="F893" s="59"/>
      <c r="G893" s="59"/>
      <c r="H893" s="59"/>
      <c r="I893" s="59"/>
    </row>
    <row r="894" spans="2:9" ht="12.75">
      <c r="B894" s="59"/>
      <c r="C894" s="59"/>
      <c r="D894" s="59"/>
      <c r="E894" s="59"/>
      <c r="F894" s="59"/>
      <c r="G894" s="59"/>
      <c r="H894" s="59"/>
      <c r="I894" s="59"/>
    </row>
    <row r="895" spans="2:9" ht="12.75">
      <c r="B895" s="59"/>
      <c r="C895" s="59"/>
      <c r="D895" s="59"/>
      <c r="E895" s="59"/>
      <c r="F895" s="59"/>
      <c r="G895" s="59"/>
      <c r="H895" s="59"/>
      <c r="I895" s="59"/>
    </row>
    <row r="896" spans="2:9" ht="12.75">
      <c r="B896" s="59"/>
      <c r="C896" s="59"/>
      <c r="D896" s="59"/>
      <c r="E896" s="59"/>
      <c r="F896" s="59"/>
      <c r="G896" s="59"/>
      <c r="H896" s="59"/>
      <c r="I896" s="59"/>
    </row>
    <row r="897" spans="2:9" ht="12.75">
      <c r="B897" s="59"/>
      <c r="C897" s="59"/>
      <c r="D897" s="59"/>
      <c r="E897" s="59"/>
      <c r="F897" s="59"/>
      <c r="G897" s="59"/>
      <c r="H897" s="59"/>
      <c r="I897" s="59"/>
    </row>
    <row r="898" spans="2:9" ht="12.75">
      <c r="B898" s="59"/>
      <c r="C898" s="59"/>
      <c r="D898" s="59"/>
      <c r="E898" s="59"/>
      <c r="F898" s="59"/>
      <c r="G898" s="59"/>
      <c r="H898" s="59"/>
      <c r="I898" s="59"/>
    </row>
    <row r="899" spans="2:9" ht="12.75">
      <c r="B899" s="59"/>
      <c r="C899" s="59"/>
      <c r="D899" s="59"/>
      <c r="E899" s="59"/>
      <c r="F899" s="59"/>
      <c r="G899" s="59"/>
      <c r="H899" s="59"/>
      <c r="I899" s="59"/>
    </row>
    <row r="900" spans="2:9" ht="12.75">
      <c r="B900" s="59"/>
      <c r="C900" s="59"/>
      <c r="D900" s="59"/>
      <c r="E900" s="59"/>
      <c r="F900" s="59"/>
      <c r="G900" s="59"/>
      <c r="H900" s="59"/>
      <c r="I900" s="59"/>
    </row>
    <row r="901" spans="2:9" ht="12.75">
      <c r="B901" s="59"/>
      <c r="C901" s="59"/>
      <c r="D901" s="59"/>
      <c r="E901" s="59"/>
      <c r="F901" s="59"/>
      <c r="G901" s="59"/>
      <c r="H901" s="59"/>
      <c r="I901" s="59"/>
    </row>
    <row r="902" spans="2:9" ht="12.75">
      <c r="B902" s="59"/>
      <c r="C902" s="59"/>
      <c r="D902" s="59"/>
      <c r="E902" s="59"/>
      <c r="F902" s="59"/>
      <c r="G902" s="59"/>
      <c r="H902" s="59"/>
      <c r="I902" s="59"/>
    </row>
    <row r="903" spans="2:9" ht="12.75">
      <c r="B903" s="59"/>
      <c r="C903" s="59"/>
      <c r="D903" s="59"/>
      <c r="E903" s="59"/>
      <c r="F903" s="59"/>
      <c r="G903" s="59"/>
      <c r="H903" s="59"/>
      <c r="I903" s="59"/>
    </row>
    <row r="904" spans="2:9" ht="12.75">
      <c r="B904" s="59"/>
      <c r="C904" s="59"/>
      <c r="D904" s="59"/>
      <c r="E904" s="59"/>
      <c r="F904" s="59"/>
      <c r="G904" s="59"/>
      <c r="H904" s="59"/>
      <c r="I904" s="59"/>
    </row>
    <row r="905" spans="2:9" ht="12.75">
      <c r="B905" s="59"/>
      <c r="C905" s="59"/>
      <c r="D905" s="59"/>
      <c r="E905" s="59"/>
      <c r="F905" s="59"/>
      <c r="G905" s="59"/>
      <c r="H905" s="59"/>
      <c r="I905" s="59"/>
    </row>
    <row r="906" spans="2:9" ht="12.75">
      <c r="B906" s="59"/>
      <c r="C906" s="59"/>
      <c r="D906" s="59"/>
      <c r="E906" s="59"/>
      <c r="F906" s="59"/>
      <c r="G906" s="59"/>
      <c r="H906" s="59"/>
      <c r="I906" s="59"/>
    </row>
    <row r="907" spans="2:9" ht="12.75">
      <c r="B907" s="59"/>
      <c r="C907" s="59"/>
      <c r="D907" s="59"/>
      <c r="E907" s="59"/>
      <c r="F907" s="59"/>
      <c r="G907" s="59"/>
      <c r="H907" s="59"/>
      <c r="I907" s="59"/>
    </row>
    <row r="908" spans="2:9" ht="12.75">
      <c r="B908" s="59"/>
      <c r="C908" s="59"/>
      <c r="D908" s="59"/>
      <c r="E908" s="59"/>
      <c r="F908" s="59"/>
      <c r="G908" s="59"/>
      <c r="H908" s="59"/>
      <c r="I908" s="59"/>
    </row>
    <row r="909" spans="2:9" ht="12.75">
      <c r="B909" s="59"/>
      <c r="C909" s="59"/>
      <c r="D909" s="59"/>
      <c r="E909" s="59"/>
      <c r="F909" s="59"/>
      <c r="G909" s="59"/>
      <c r="H909" s="59"/>
      <c r="I909" s="59"/>
    </row>
    <row r="910" spans="2:9" ht="12.75">
      <c r="B910" s="59"/>
      <c r="C910" s="59"/>
      <c r="D910" s="59"/>
      <c r="E910" s="59"/>
      <c r="F910" s="59"/>
      <c r="G910" s="59"/>
      <c r="H910" s="59"/>
      <c r="I910" s="59"/>
    </row>
    <row r="911" spans="2:9" ht="12.75">
      <c r="B911" s="59"/>
      <c r="C911" s="59"/>
      <c r="D911" s="59"/>
      <c r="E911" s="59"/>
      <c r="F911" s="59"/>
      <c r="G911" s="59"/>
      <c r="H911" s="59"/>
      <c r="I911" s="59"/>
    </row>
    <row r="912" spans="2:9" ht="12.75">
      <c r="B912" s="59"/>
      <c r="C912" s="59"/>
      <c r="D912" s="59"/>
      <c r="E912" s="59"/>
      <c r="F912" s="59"/>
      <c r="G912" s="59"/>
      <c r="H912" s="59"/>
      <c r="I912" s="59"/>
    </row>
    <row r="913" spans="2:9" ht="12.75">
      <c r="B913" s="59"/>
      <c r="C913" s="59"/>
      <c r="D913" s="59"/>
      <c r="E913" s="59"/>
      <c r="F913" s="59"/>
      <c r="G913" s="59"/>
      <c r="H913" s="59"/>
      <c r="I913" s="59"/>
    </row>
    <row r="914" spans="2:9" ht="12.75">
      <c r="B914" s="59"/>
      <c r="C914" s="59"/>
      <c r="D914" s="59"/>
      <c r="E914" s="59"/>
      <c r="F914" s="59"/>
      <c r="G914" s="59"/>
      <c r="H914" s="59"/>
      <c r="I914" s="59"/>
    </row>
    <row r="915" spans="2:9" ht="12.75">
      <c r="B915" s="59"/>
      <c r="C915" s="59"/>
      <c r="D915" s="59"/>
      <c r="E915" s="59"/>
      <c r="F915" s="59"/>
      <c r="G915" s="59"/>
      <c r="H915" s="59"/>
      <c r="I915" s="59"/>
    </row>
    <row r="916" spans="2:9" ht="12.75">
      <c r="B916" s="59"/>
      <c r="C916" s="59"/>
      <c r="D916" s="59"/>
      <c r="E916" s="59"/>
      <c r="F916" s="59"/>
      <c r="G916" s="59"/>
      <c r="H916" s="59"/>
      <c r="I916" s="59"/>
    </row>
    <row r="917" spans="2:9" ht="12.75">
      <c r="B917" s="59"/>
      <c r="C917" s="59"/>
      <c r="D917" s="59"/>
      <c r="E917" s="59"/>
      <c r="F917" s="59"/>
      <c r="G917" s="59"/>
      <c r="H917" s="59"/>
      <c r="I917" s="59"/>
    </row>
    <row r="918" spans="2:9" ht="12.75">
      <c r="B918" s="59"/>
      <c r="C918" s="59"/>
      <c r="D918" s="59"/>
      <c r="E918" s="59"/>
      <c r="F918" s="59"/>
      <c r="G918" s="59"/>
      <c r="H918" s="59"/>
      <c r="I918" s="59"/>
    </row>
    <row r="919" spans="2:9" ht="12.75">
      <c r="B919" s="59"/>
      <c r="C919" s="59"/>
      <c r="D919" s="59"/>
      <c r="E919" s="59"/>
      <c r="F919" s="59"/>
      <c r="G919" s="59"/>
      <c r="H919" s="59"/>
      <c r="I919" s="59"/>
    </row>
    <row r="920" spans="2:9" ht="12.75">
      <c r="B920" s="59"/>
      <c r="C920" s="59"/>
      <c r="D920" s="59"/>
      <c r="E920" s="59"/>
      <c r="F920" s="59"/>
      <c r="G920" s="59"/>
      <c r="H920" s="59"/>
      <c r="I920" s="59"/>
    </row>
    <row r="921" spans="2:9" ht="12.75">
      <c r="B921" s="59"/>
      <c r="C921" s="59"/>
      <c r="D921" s="59"/>
      <c r="E921" s="59"/>
      <c r="F921" s="59"/>
      <c r="G921" s="59"/>
      <c r="H921" s="59"/>
      <c r="I921" s="59"/>
    </row>
    <row r="922" spans="2:9" ht="12.75">
      <c r="B922" s="59"/>
      <c r="C922" s="59"/>
      <c r="D922" s="59"/>
      <c r="E922" s="59"/>
      <c r="F922" s="59"/>
      <c r="G922" s="59"/>
      <c r="H922" s="59"/>
      <c r="I922" s="59"/>
    </row>
    <row r="923" spans="2:9" ht="12.75">
      <c r="B923" s="59"/>
      <c r="C923" s="59"/>
      <c r="D923" s="59"/>
      <c r="E923" s="59"/>
      <c r="F923" s="59"/>
      <c r="G923" s="59"/>
      <c r="H923" s="59"/>
      <c r="I923" s="59"/>
    </row>
    <row r="924" spans="2:9" ht="12.75">
      <c r="B924" s="59"/>
      <c r="C924" s="59"/>
      <c r="D924" s="59"/>
      <c r="E924" s="59"/>
      <c r="F924" s="59"/>
      <c r="G924" s="59"/>
      <c r="H924" s="59"/>
      <c r="I924" s="59"/>
    </row>
    <row r="925" spans="2:9" ht="12.75">
      <c r="B925" s="59"/>
      <c r="C925" s="59"/>
      <c r="D925" s="59"/>
      <c r="E925" s="59"/>
      <c r="F925" s="59"/>
      <c r="G925" s="59"/>
      <c r="H925" s="59"/>
      <c r="I925" s="59"/>
    </row>
    <row r="926" spans="2:9" ht="12.75">
      <c r="B926" s="59"/>
      <c r="C926" s="59"/>
      <c r="D926" s="59"/>
      <c r="E926" s="59"/>
      <c r="F926" s="59"/>
      <c r="G926" s="59"/>
      <c r="H926" s="59"/>
      <c r="I926" s="59"/>
    </row>
    <row r="927" spans="2:9" ht="12.75">
      <c r="B927" s="59"/>
      <c r="C927" s="59"/>
      <c r="D927" s="59"/>
      <c r="E927" s="59"/>
      <c r="F927" s="59"/>
      <c r="G927" s="59"/>
      <c r="H927" s="59"/>
      <c r="I927" s="59"/>
    </row>
    <row r="928" spans="2:9" ht="12.75">
      <c r="B928" s="59"/>
      <c r="C928" s="59"/>
      <c r="D928" s="59"/>
      <c r="E928" s="59"/>
      <c r="F928" s="59"/>
      <c r="G928" s="59"/>
      <c r="H928" s="59"/>
      <c r="I928" s="59"/>
    </row>
    <row r="929" spans="2:9" ht="12.75">
      <c r="B929" s="59"/>
      <c r="C929" s="59"/>
      <c r="D929" s="59"/>
      <c r="E929" s="59"/>
      <c r="F929" s="59"/>
      <c r="G929" s="59"/>
      <c r="H929" s="59"/>
      <c r="I929" s="59"/>
    </row>
    <row r="930" spans="2:9" ht="12.75">
      <c r="B930" s="59"/>
      <c r="C930" s="59"/>
      <c r="D930" s="59"/>
      <c r="E930" s="59"/>
      <c r="F930" s="59"/>
      <c r="G930" s="59"/>
      <c r="H930" s="59"/>
      <c r="I930" s="59"/>
    </row>
    <row r="931" spans="2:9" ht="12.75">
      <c r="B931" s="59"/>
      <c r="C931" s="59"/>
      <c r="D931" s="59"/>
      <c r="E931" s="59"/>
      <c r="F931" s="59"/>
      <c r="G931" s="59"/>
      <c r="H931" s="59"/>
      <c r="I931" s="59"/>
    </row>
    <row r="932" spans="2:9" ht="12.75">
      <c r="B932" s="59"/>
      <c r="C932" s="59"/>
      <c r="D932" s="59"/>
      <c r="E932" s="59"/>
      <c r="F932" s="59"/>
      <c r="G932" s="59"/>
      <c r="H932" s="59"/>
      <c r="I932" s="59"/>
    </row>
    <row r="933" spans="2:9" ht="12.75">
      <c r="B933" s="59"/>
      <c r="C933" s="59"/>
      <c r="D933" s="59"/>
      <c r="E933" s="59"/>
      <c r="F933" s="59"/>
      <c r="G933" s="59"/>
      <c r="H933" s="59"/>
      <c r="I933" s="59"/>
    </row>
    <row r="934" spans="2:9" ht="12.75">
      <c r="B934" s="59"/>
      <c r="C934" s="59"/>
      <c r="D934" s="59"/>
      <c r="E934" s="59"/>
      <c r="F934" s="59"/>
      <c r="G934" s="59"/>
      <c r="H934" s="59"/>
      <c r="I934" s="59"/>
    </row>
    <row r="935" spans="2:9" ht="12.75">
      <c r="B935" s="59"/>
      <c r="C935" s="59"/>
      <c r="D935" s="59"/>
      <c r="E935" s="59"/>
      <c r="F935" s="59"/>
      <c r="G935" s="59"/>
      <c r="H935" s="59"/>
      <c r="I935" s="59"/>
    </row>
    <row r="936" spans="2:9" ht="12.75">
      <c r="B936" s="59"/>
      <c r="C936" s="59"/>
      <c r="D936" s="59"/>
      <c r="E936" s="59"/>
      <c r="F936" s="59"/>
      <c r="G936" s="59"/>
      <c r="H936" s="59"/>
      <c r="I936" s="59"/>
    </row>
    <row r="937" spans="2:9" ht="12.75">
      <c r="B937" s="59"/>
      <c r="C937" s="59"/>
      <c r="D937" s="59"/>
      <c r="E937" s="59"/>
      <c r="F937" s="59"/>
      <c r="G937" s="59"/>
      <c r="H937" s="59"/>
      <c r="I937" s="59"/>
    </row>
    <row r="938" spans="2:9" ht="12.75">
      <c r="B938" s="59"/>
      <c r="C938" s="59"/>
      <c r="D938" s="59"/>
      <c r="E938" s="59"/>
      <c r="F938" s="59"/>
      <c r="G938" s="59"/>
      <c r="H938" s="59"/>
      <c r="I938" s="59"/>
    </row>
    <row r="939" spans="2:9" ht="12.75">
      <c r="B939" s="59"/>
      <c r="C939" s="59"/>
      <c r="D939" s="59"/>
      <c r="E939" s="59"/>
      <c r="F939" s="59"/>
      <c r="G939" s="59"/>
      <c r="H939" s="59"/>
      <c r="I939" s="59"/>
    </row>
    <row r="940" spans="2:9" ht="12.75">
      <c r="B940" s="59"/>
      <c r="C940" s="59"/>
      <c r="D940" s="59"/>
      <c r="E940" s="59"/>
      <c r="F940" s="59"/>
      <c r="G940" s="59"/>
      <c r="H940" s="59"/>
      <c r="I940" s="59"/>
    </row>
    <row r="941" spans="2:9" ht="12.75">
      <c r="B941" s="59"/>
      <c r="C941" s="59"/>
      <c r="D941" s="59"/>
      <c r="E941" s="59"/>
      <c r="F941" s="59"/>
      <c r="G941" s="59"/>
      <c r="H941" s="59"/>
      <c r="I941" s="59"/>
    </row>
    <row r="942" spans="2:9" ht="12.75">
      <c r="B942" s="59"/>
      <c r="C942" s="59"/>
      <c r="D942" s="59"/>
      <c r="E942" s="59"/>
      <c r="F942" s="59"/>
      <c r="G942" s="59"/>
      <c r="H942" s="59"/>
      <c r="I942" s="59"/>
    </row>
    <row r="943" spans="2:9" ht="12.75">
      <c r="B943" s="59"/>
      <c r="C943" s="59"/>
      <c r="D943" s="59"/>
      <c r="E943" s="59"/>
      <c r="F943" s="59"/>
      <c r="G943" s="59"/>
      <c r="H943" s="59"/>
      <c r="I943" s="59"/>
    </row>
    <row r="944" spans="2:9" ht="12.75">
      <c r="B944" s="59"/>
      <c r="C944" s="59"/>
      <c r="D944" s="59"/>
      <c r="E944" s="59"/>
      <c r="F944" s="59"/>
      <c r="G944" s="59"/>
      <c r="H944" s="59"/>
      <c r="I944" s="59"/>
    </row>
    <row r="945" spans="2:9" ht="12.75">
      <c r="B945" s="59"/>
      <c r="C945" s="59"/>
      <c r="D945" s="59"/>
      <c r="E945" s="59"/>
      <c r="F945" s="59"/>
      <c r="G945" s="59"/>
      <c r="H945" s="59"/>
      <c r="I945" s="59"/>
    </row>
    <row r="946" spans="2:9" ht="12.75">
      <c r="B946" s="59"/>
      <c r="C946" s="59"/>
      <c r="D946" s="59"/>
      <c r="E946" s="59"/>
      <c r="F946" s="59"/>
      <c r="G946" s="59"/>
      <c r="H946" s="59"/>
      <c r="I946" s="59"/>
    </row>
    <row r="947" spans="2:9" ht="12.75">
      <c r="B947" s="59"/>
      <c r="C947" s="59"/>
      <c r="D947" s="59"/>
      <c r="E947" s="59"/>
      <c r="F947" s="59"/>
      <c r="G947" s="59"/>
      <c r="H947" s="59"/>
      <c r="I947" s="59"/>
    </row>
    <row r="948" spans="2:9" ht="12.75">
      <c r="B948" s="59"/>
      <c r="C948" s="59"/>
      <c r="D948" s="59"/>
      <c r="E948" s="59"/>
      <c r="F948" s="59"/>
      <c r="G948" s="59"/>
      <c r="H948" s="59"/>
      <c r="I948" s="59"/>
    </row>
    <row r="949" spans="2:9" ht="12.75">
      <c r="B949" s="59"/>
      <c r="C949" s="59"/>
      <c r="D949" s="59"/>
      <c r="E949" s="59"/>
      <c r="F949" s="59"/>
      <c r="G949" s="59"/>
      <c r="H949" s="59"/>
      <c r="I949" s="59"/>
    </row>
    <row r="950" spans="2:9" ht="12.75">
      <c r="B950" s="59"/>
      <c r="C950" s="59"/>
      <c r="D950" s="59"/>
      <c r="E950" s="59"/>
      <c r="F950" s="59"/>
      <c r="G950" s="59"/>
      <c r="H950" s="59"/>
      <c r="I950" s="59"/>
    </row>
    <row r="951" spans="2:9" ht="12.75">
      <c r="B951" s="59"/>
      <c r="C951" s="59"/>
      <c r="D951" s="59"/>
      <c r="E951" s="59"/>
      <c r="F951" s="59"/>
      <c r="G951" s="59"/>
      <c r="H951" s="59"/>
      <c r="I951" s="59"/>
    </row>
    <row r="952" spans="2:9" ht="12.75">
      <c r="B952" s="59"/>
      <c r="C952" s="59"/>
      <c r="D952" s="59"/>
      <c r="E952" s="59"/>
      <c r="F952" s="59"/>
      <c r="G952" s="59"/>
      <c r="H952" s="59"/>
      <c r="I952" s="59"/>
    </row>
    <row r="953" spans="2:9" ht="12.75">
      <c r="B953" s="59"/>
      <c r="C953" s="59"/>
      <c r="D953" s="59"/>
      <c r="E953" s="59"/>
      <c r="F953" s="59"/>
      <c r="G953" s="59"/>
      <c r="H953" s="59"/>
      <c r="I953" s="59"/>
    </row>
    <row r="954" spans="2:9" ht="12.75">
      <c r="B954" s="59"/>
      <c r="C954" s="59"/>
      <c r="D954" s="59"/>
      <c r="E954" s="59"/>
      <c r="F954" s="59"/>
      <c r="G954" s="59"/>
      <c r="H954" s="59"/>
      <c r="I954" s="59"/>
    </row>
    <row r="955" spans="2:9" ht="12.75">
      <c r="B955" s="59"/>
      <c r="C955" s="59"/>
      <c r="D955" s="59"/>
      <c r="E955" s="59"/>
      <c r="F955" s="59"/>
      <c r="G955" s="59"/>
      <c r="H955" s="59"/>
      <c r="I955" s="59"/>
    </row>
    <row r="956" spans="2:9" ht="12.75">
      <c r="B956" s="59"/>
      <c r="C956" s="59"/>
      <c r="D956" s="59"/>
      <c r="E956" s="59"/>
      <c r="F956" s="59"/>
      <c r="G956" s="59"/>
      <c r="H956" s="59"/>
      <c r="I956" s="59"/>
    </row>
    <row r="957" spans="2:9" ht="12.75">
      <c r="B957" s="59"/>
      <c r="C957" s="59"/>
      <c r="D957" s="59"/>
      <c r="E957" s="59"/>
      <c r="F957" s="59"/>
      <c r="G957" s="59"/>
      <c r="H957" s="59"/>
      <c r="I957" s="59"/>
    </row>
    <row r="958" spans="2:9" ht="12.75">
      <c r="B958" s="59"/>
      <c r="C958" s="59"/>
      <c r="D958" s="59"/>
      <c r="E958" s="59"/>
      <c r="F958" s="59"/>
      <c r="G958" s="59"/>
      <c r="H958" s="59"/>
      <c r="I958" s="59"/>
    </row>
    <row r="959" spans="2:9" ht="12.75">
      <c r="B959" s="59"/>
      <c r="C959" s="59"/>
      <c r="D959" s="59"/>
      <c r="E959" s="59"/>
      <c r="F959" s="59"/>
      <c r="G959" s="59"/>
      <c r="H959" s="59"/>
      <c r="I959" s="59"/>
    </row>
    <row r="960" spans="2:9" ht="12.75">
      <c r="B960" s="59"/>
      <c r="C960" s="59"/>
      <c r="D960" s="59"/>
      <c r="E960" s="59"/>
      <c r="F960" s="59"/>
      <c r="G960" s="59"/>
      <c r="H960" s="59"/>
      <c r="I960" s="59"/>
    </row>
    <row r="961" spans="2:9" ht="12.75">
      <c r="B961" s="59"/>
      <c r="C961" s="59"/>
      <c r="D961" s="59"/>
      <c r="E961" s="59"/>
      <c r="F961" s="59"/>
      <c r="G961" s="59"/>
      <c r="H961" s="59"/>
      <c r="I961" s="59"/>
    </row>
    <row r="962" spans="2:9" ht="12.75">
      <c r="B962" s="59"/>
      <c r="C962" s="59"/>
      <c r="D962" s="59"/>
      <c r="E962" s="59"/>
      <c r="F962" s="59"/>
      <c r="G962" s="59"/>
      <c r="H962" s="59"/>
      <c r="I962" s="59"/>
    </row>
    <row r="963" spans="2:9" ht="12.75">
      <c r="B963" s="59"/>
      <c r="C963" s="59"/>
      <c r="D963" s="59"/>
      <c r="E963" s="59"/>
      <c r="F963" s="59"/>
      <c r="G963" s="59"/>
      <c r="H963" s="59"/>
      <c r="I963" s="59"/>
    </row>
    <row r="964" spans="2:9" ht="12.75">
      <c r="B964" s="59"/>
      <c r="C964" s="59"/>
      <c r="D964" s="59"/>
      <c r="E964" s="59"/>
      <c r="F964" s="59"/>
      <c r="G964" s="59"/>
      <c r="H964" s="59"/>
      <c r="I964" s="59"/>
    </row>
    <row r="965" spans="2:9" ht="12.75">
      <c r="B965" s="59"/>
      <c r="C965" s="59"/>
      <c r="D965" s="59"/>
      <c r="E965" s="59"/>
      <c r="F965" s="59"/>
      <c r="G965" s="59"/>
      <c r="H965" s="59"/>
      <c r="I965" s="59"/>
    </row>
    <row r="966" spans="2:9" ht="12.75">
      <c r="B966" s="59"/>
      <c r="C966" s="59"/>
      <c r="D966" s="59"/>
      <c r="E966" s="59"/>
      <c r="F966" s="59"/>
      <c r="G966" s="59"/>
      <c r="H966" s="59"/>
      <c r="I966" s="59"/>
    </row>
    <row r="967" spans="2:9" ht="12.75">
      <c r="B967" s="59"/>
      <c r="C967" s="59"/>
      <c r="D967" s="59"/>
      <c r="E967" s="59"/>
      <c r="F967" s="59"/>
      <c r="G967" s="59"/>
      <c r="H967" s="59"/>
      <c r="I967" s="59"/>
    </row>
    <row r="968" spans="2:9" ht="12.75">
      <c r="B968" s="59"/>
      <c r="C968" s="59"/>
      <c r="D968" s="59"/>
      <c r="E968" s="59"/>
      <c r="F968" s="59"/>
      <c r="G968" s="59"/>
      <c r="H968" s="59"/>
      <c r="I968" s="59"/>
    </row>
    <row r="969" spans="2:9" ht="12.75">
      <c r="B969" s="59"/>
      <c r="C969" s="59"/>
      <c r="D969" s="59"/>
      <c r="E969" s="59"/>
      <c r="F969" s="59"/>
      <c r="G969" s="59"/>
      <c r="H969" s="59"/>
      <c r="I969" s="59"/>
    </row>
    <row r="970" spans="2:9" ht="12.75">
      <c r="B970" s="59"/>
      <c r="C970" s="59"/>
      <c r="D970" s="59"/>
      <c r="E970" s="59"/>
      <c r="F970" s="59"/>
      <c r="G970" s="59"/>
      <c r="H970" s="59"/>
      <c r="I970" s="59"/>
    </row>
    <row r="971" spans="2:9" ht="12.75">
      <c r="B971" s="59"/>
      <c r="C971" s="59"/>
      <c r="D971" s="59"/>
      <c r="E971" s="59"/>
      <c r="F971" s="59"/>
      <c r="G971" s="59"/>
      <c r="H971" s="59"/>
      <c r="I971" s="59"/>
    </row>
    <row r="972" spans="2:9" ht="12.75">
      <c r="B972" s="59"/>
      <c r="C972" s="59"/>
      <c r="D972" s="59"/>
      <c r="E972" s="59"/>
      <c r="F972" s="59"/>
      <c r="G972" s="59"/>
      <c r="H972" s="59"/>
      <c r="I972" s="59"/>
    </row>
    <row r="973" spans="2:9" ht="12.75">
      <c r="B973" s="59"/>
      <c r="C973" s="59"/>
      <c r="D973" s="59"/>
      <c r="E973" s="59"/>
      <c r="F973" s="59"/>
      <c r="G973" s="59"/>
      <c r="H973" s="59"/>
      <c r="I973" s="59"/>
    </row>
    <row r="974" spans="2:9" ht="12.75">
      <c r="B974" s="59"/>
      <c r="C974" s="59"/>
      <c r="D974" s="59"/>
      <c r="E974" s="59"/>
      <c r="F974" s="59"/>
      <c r="G974" s="59"/>
      <c r="H974" s="59"/>
      <c r="I974" s="59"/>
    </row>
    <row r="975" spans="2:9" ht="12.75">
      <c r="B975" s="59"/>
      <c r="C975" s="59"/>
      <c r="D975" s="59"/>
      <c r="E975" s="59"/>
      <c r="F975" s="59"/>
      <c r="G975" s="59"/>
      <c r="H975" s="59"/>
      <c r="I975" s="59"/>
    </row>
    <row r="976" spans="2:9" ht="12.75">
      <c r="B976" s="59"/>
      <c r="C976" s="59"/>
      <c r="D976" s="59"/>
      <c r="E976" s="59"/>
      <c r="F976" s="59"/>
      <c r="G976" s="59"/>
      <c r="H976" s="59"/>
      <c r="I976" s="59"/>
    </row>
    <row r="977" spans="2:9" ht="12.75">
      <c r="B977" s="59"/>
      <c r="C977" s="59"/>
      <c r="D977" s="59"/>
      <c r="E977" s="59"/>
      <c r="F977" s="59"/>
      <c r="G977" s="59"/>
      <c r="H977" s="59"/>
      <c r="I977" s="59"/>
    </row>
    <row r="978" spans="2:9" ht="12.75">
      <c r="B978" s="59"/>
      <c r="C978" s="59"/>
      <c r="D978" s="59"/>
      <c r="E978" s="59"/>
      <c r="F978" s="59"/>
      <c r="G978" s="59"/>
      <c r="H978" s="59"/>
      <c r="I978" s="59"/>
    </row>
    <row r="979" spans="2:9" ht="12.75">
      <c r="B979" s="59"/>
      <c r="C979" s="59"/>
      <c r="D979" s="59"/>
      <c r="E979" s="59"/>
      <c r="F979" s="59"/>
      <c r="G979" s="59"/>
      <c r="H979" s="59"/>
      <c r="I979" s="59"/>
    </row>
    <row r="980" spans="2:9" ht="12.75">
      <c r="B980" s="59"/>
      <c r="C980" s="59"/>
      <c r="D980" s="59"/>
      <c r="E980" s="59"/>
      <c r="F980" s="59"/>
      <c r="G980" s="59"/>
      <c r="H980" s="59"/>
      <c r="I980" s="59"/>
    </row>
    <row r="981" spans="2:9" ht="12.75">
      <c r="B981" s="59"/>
      <c r="C981" s="59"/>
      <c r="D981" s="59"/>
      <c r="E981" s="59"/>
      <c r="F981" s="59"/>
      <c r="G981" s="59"/>
      <c r="H981" s="59"/>
      <c r="I981" s="59"/>
    </row>
    <row r="982" spans="2:9" ht="12.75">
      <c r="B982" s="59"/>
      <c r="C982" s="59"/>
      <c r="D982" s="59"/>
      <c r="E982" s="59"/>
      <c r="F982" s="59"/>
      <c r="G982" s="59"/>
      <c r="H982" s="59"/>
      <c r="I982" s="59"/>
    </row>
    <row r="983" spans="2:9" ht="12.75">
      <c r="B983" s="59"/>
      <c r="C983" s="59"/>
      <c r="D983" s="59"/>
      <c r="E983" s="59"/>
      <c r="F983" s="59"/>
      <c r="G983" s="59"/>
      <c r="H983" s="59"/>
      <c r="I983" s="59"/>
    </row>
    <row r="984" spans="2:9" ht="12.75">
      <c r="B984" s="59"/>
      <c r="C984" s="59"/>
      <c r="D984" s="59"/>
      <c r="E984" s="59"/>
      <c r="F984" s="59"/>
      <c r="G984" s="59"/>
      <c r="H984" s="59"/>
      <c r="I984" s="59"/>
    </row>
    <row r="985" spans="2:9" ht="12.75">
      <c r="B985" s="59"/>
      <c r="C985" s="59"/>
      <c r="D985" s="59"/>
      <c r="E985" s="59"/>
      <c r="F985" s="59"/>
      <c r="G985" s="59"/>
      <c r="H985" s="59"/>
      <c r="I985" s="59"/>
    </row>
    <row r="986" spans="2:9" ht="12.75">
      <c r="B986" s="59"/>
      <c r="C986" s="59"/>
      <c r="D986" s="59"/>
      <c r="E986" s="59"/>
      <c r="F986" s="59"/>
      <c r="G986" s="59"/>
      <c r="H986" s="59"/>
      <c r="I986" s="59"/>
    </row>
    <row r="987" spans="2:9" ht="12.75">
      <c r="B987" s="59"/>
      <c r="C987" s="59"/>
      <c r="D987" s="59"/>
      <c r="E987" s="59"/>
      <c r="F987" s="59"/>
      <c r="G987" s="59"/>
      <c r="H987" s="59"/>
      <c r="I987" s="59"/>
    </row>
    <row r="988" spans="2:9" ht="12.75">
      <c r="B988" s="59"/>
      <c r="C988" s="59"/>
      <c r="D988" s="59"/>
      <c r="E988" s="59"/>
      <c r="F988" s="59"/>
      <c r="G988" s="59"/>
      <c r="H988" s="59"/>
      <c r="I988" s="59"/>
    </row>
    <row r="989" spans="2:9" ht="12.75">
      <c r="B989" s="59"/>
      <c r="C989" s="59"/>
      <c r="D989" s="59"/>
      <c r="E989" s="59"/>
      <c r="F989" s="59"/>
      <c r="G989" s="59"/>
      <c r="H989" s="59"/>
      <c r="I989" s="59"/>
    </row>
    <row r="990" spans="2:9" ht="12.75">
      <c r="B990" s="59"/>
      <c r="C990" s="59"/>
      <c r="D990" s="59"/>
      <c r="E990" s="59"/>
      <c r="F990" s="59"/>
      <c r="G990" s="59"/>
      <c r="H990" s="59"/>
      <c r="I990" s="59"/>
    </row>
    <row r="991" spans="2:9" ht="12.75">
      <c r="B991" s="59"/>
      <c r="C991" s="59"/>
      <c r="D991" s="59"/>
      <c r="E991" s="59"/>
      <c r="F991" s="59"/>
      <c r="G991" s="59"/>
      <c r="H991" s="59"/>
      <c r="I991" s="59"/>
    </row>
    <row r="992" spans="2:9" ht="12.75">
      <c r="B992" s="59"/>
      <c r="C992" s="59"/>
      <c r="D992" s="59"/>
      <c r="E992" s="59"/>
      <c r="F992" s="59"/>
      <c r="G992" s="59"/>
      <c r="H992" s="59"/>
      <c r="I992" s="59"/>
    </row>
    <row r="993" spans="2:9" ht="12.75">
      <c r="B993" s="59"/>
      <c r="C993" s="59"/>
      <c r="D993" s="59"/>
      <c r="E993" s="59"/>
      <c r="F993" s="59"/>
      <c r="G993" s="59"/>
      <c r="H993" s="59"/>
      <c r="I993" s="59"/>
    </row>
    <row r="994" spans="2:9" ht="12.75">
      <c r="B994" s="59"/>
      <c r="C994" s="59"/>
      <c r="D994" s="59"/>
      <c r="E994" s="59"/>
      <c r="F994" s="59"/>
      <c r="G994" s="59"/>
      <c r="H994" s="59"/>
      <c r="I994" s="59"/>
    </row>
    <row r="995" spans="2:9" ht="12.75">
      <c r="B995" s="59"/>
      <c r="C995" s="59"/>
      <c r="D995" s="59"/>
      <c r="E995" s="59"/>
      <c r="F995" s="59"/>
      <c r="G995" s="59"/>
      <c r="H995" s="59"/>
      <c r="I995" s="59"/>
    </row>
    <row r="996" spans="2:9" ht="12.75">
      <c r="B996" s="59"/>
      <c r="C996" s="59"/>
      <c r="D996" s="59"/>
      <c r="E996" s="59"/>
      <c r="F996" s="59"/>
      <c r="G996" s="59"/>
      <c r="H996" s="59"/>
      <c r="I996" s="59"/>
    </row>
  </sheetData>
  <mergeCells count="2">
    <mergeCell ref="B2:I2"/>
    <mergeCell ref="C3:F3"/>
  </mergeCell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B1:I996"/>
  <sheetViews>
    <sheetView workbookViewId="0">
      <selection activeCell="C4" sqref="C4:F4"/>
    </sheetView>
  </sheetViews>
  <sheetFormatPr baseColWidth="10" defaultColWidth="12.5703125" defaultRowHeight="15.75" customHeight="1"/>
  <cols>
    <col min="1" max="1" width="7.42578125" customWidth="1"/>
    <col min="2" max="3" width="43.28515625" customWidth="1"/>
    <col min="4" max="4" width="43.28515625" hidden="1" customWidth="1"/>
    <col min="5" max="5" width="38.7109375" customWidth="1"/>
    <col min="6" max="6" width="20.42578125" customWidth="1"/>
    <col min="7" max="8" width="43.28515625" hidden="1" customWidth="1"/>
    <col min="9" max="9" width="43.28515625" customWidth="1"/>
  </cols>
  <sheetData>
    <row r="1" spans="2:9" ht="12.75">
      <c r="B1" s="59"/>
      <c r="C1" s="59"/>
      <c r="D1" s="59"/>
      <c r="E1" s="59"/>
      <c r="F1" s="59"/>
      <c r="G1" s="59"/>
      <c r="H1" s="59"/>
      <c r="I1" s="59"/>
    </row>
    <row r="2" spans="2:9" ht="23.25">
      <c r="B2" s="79" t="s">
        <v>832</v>
      </c>
      <c r="C2" s="78"/>
      <c r="D2" s="78"/>
      <c r="E2" s="78"/>
      <c r="F2" s="78"/>
      <c r="G2" s="78"/>
      <c r="H2" s="78"/>
      <c r="I2" s="78"/>
    </row>
    <row r="3" spans="2:9" ht="12.75">
      <c r="B3" s="69"/>
      <c r="C3" s="72"/>
      <c r="D3" s="72"/>
      <c r="E3" s="69"/>
      <c r="F3" s="69"/>
      <c r="G3" s="69"/>
      <c r="H3" s="69"/>
      <c r="I3" s="69"/>
    </row>
    <row r="4" spans="2:9" ht="20.25" customHeight="1">
      <c r="B4" s="70" t="s">
        <v>833</v>
      </c>
      <c r="C4" s="80"/>
      <c r="D4" s="78"/>
      <c r="E4" s="78"/>
      <c r="F4" s="78"/>
      <c r="G4" s="69"/>
      <c r="H4" s="69"/>
      <c r="I4" s="69"/>
    </row>
    <row r="5" spans="2:9" ht="12.75">
      <c r="B5" s="69"/>
      <c r="C5" s="72"/>
      <c r="D5" s="72"/>
      <c r="E5" s="69"/>
      <c r="F5" s="69"/>
      <c r="G5" s="69"/>
      <c r="H5" s="69"/>
      <c r="I5" s="69"/>
    </row>
    <row r="6" spans="2:9" ht="12.75">
      <c r="B6" s="59"/>
      <c r="C6" s="59"/>
      <c r="D6" s="59"/>
      <c r="E6" s="59"/>
      <c r="F6" s="59"/>
      <c r="G6" s="76"/>
      <c r="H6" s="76"/>
      <c r="I6" s="76"/>
    </row>
    <row r="7" spans="2:9" ht="26.25" customHeight="1">
      <c r="B7" s="73" t="s">
        <v>0</v>
      </c>
      <c r="C7" s="73" t="s">
        <v>1</v>
      </c>
      <c r="D7" s="73" t="s">
        <v>2</v>
      </c>
      <c r="E7" s="73" t="s">
        <v>3</v>
      </c>
      <c r="F7" s="73" t="s">
        <v>4</v>
      </c>
      <c r="G7" s="74" t="s">
        <v>5</v>
      </c>
      <c r="H7" s="74" t="s">
        <v>6</v>
      </c>
      <c r="I7" s="74" t="s">
        <v>7</v>
      </c>
    </row>
    <row r="8" spans="2:9" ht="27" customHeight="1">
      <c r="B8" s="73" t="str">
        <f ca="1">IFERROR(__xludf.DUMMYFUNCTION("FILTER(Arancel,(REGEXMATCH(Arancel[PRESENTACIÓN], ""(?i)""&amp;C4))+(REGEXMATCH(Arancel[NOMBRE COMERCIAL], ""(?i)""&amp;C4)))"),"ACETAMINOFEN 120MG/5ML")</f>
        <v>ACETAMINOFEN 120MG/5ML</v>
      </c>
      <c r="C8" s="73" t="str">
        <f ca="1">IFERROR(__xludf.DUMMYFUNCTION("""COMPUTED_VALUE"""),"SUSPENCIÒN 60ML")</f>
        <v>SUSPENCIÒN 60ML</v>
      </c>
      <c r="D8" s="73" t="str">
        <f ca="1">IFERROR(__xludf.DUMMYFUNCTION("""COMPUTED_VALUE"""),"ACETAMINOFEN")</f>
        <v>ACETAMINOFEN</v>
      </c>
      <c r="E8" s="73" t="str">
        <f ca="1">IFERROR(__xludf.DUMMYFUNCTION("""COMPUTED_VALUE"""),"INFASA")</f>
        <v>INFASA</v>
      </c>
      <c r="F8" s="75">
        <f ca="1">IFERROR(__xludf.DUMMYFUNCTION("""COMPUTED_VALUE"""),45895)</f>
        <v>45895</v>
      </c>
      <c r="G8" s="74">
        <f ca="1">IFERROR(__xludf.DUMMYFUNCTION("""COMPUTED_VALUE"""),16.8)</f>
        <v>16.8</v>
      </c>
      <c r="H8" s="74">
        <f ca="1">IFERROR(__xludf.DUMMYFUNCTION("""COMPUTED_VALUE"""),23.52)</f>
        <v>23.52</v>
      </c>
      <c r="I8" s="74">
        <f ca="1">IFERROR(__xludf.DUMMYFUNCTION("""COMPUTED_VALUE"""),25)</f>
        <v>25</v>
      </c>
    </row>
    <row r="9" spans="2:9" ht="27" customHeight="1">
      <c r="B9" s="73" t="str">
        <f ca="1">IFERROR(__xludf.DUMMYFUNCTION("""COMPUTED_VALUE"""),"ADENURIC 80MG.")</f>
        <v>ADENURIC 80MG.</v>
      </c>
      <c r="C9" s="73" t="str">
        <f ca="1">IFERROR(__xludf.DUMMYFUNCTION("""COMPUTED_VALUE"""),"CAJA 20 TABLETAS")</f>
        <v>CAJA 20 TABLETAS</v>
      </c>
      <c r="D9" s="73" t="str">
        <f ca="1">IFERROR(__xludf.DUMMYFUNCTION("""COMPUTED_VALUE"""),"FEBUXOSTAT")</f>
        <v>FEBUXOSTAT</v>
      </c>
      <c r="E9" s="73" t="str">
        <f ca="1">IFERROR(__xludf.DUMMYFUNCTION("""COMPUTED_VALUE"""),"MENARINI")</f>
        <v>MENARINI</v>
      </c>
      <c r="F9" s="75">
        <f ca="1">IFERROR(__xludf.DUMMYFUNCTION("""COMPUTED_VALUE"""),46017)</f>
        <v>46017</v>
      </c>
      <c r="G9" s="74">
        <f ca="1">IFERROR(__xludf.DUMMYFUNCTION("""COMPUTED_VALUE"""),234.15)</f>
        <v>234.15</v>
      </c>
      <c r="H9" s="74">
        <f ca="1">IFERROR(__xludf.DUMMYFUNCTION("""COMPUTED_VALUE"""),327.81)</f>
        <v>327.81</v>
      </c>
      <c r="I9" s="74">
        <f ca="1">IFERROR(__xludf.DUMMYFUNCTION("""COMPUTED_VALUE"""),330)</f>
        <v>330</v>
      </c>
    </row>
    <row r="10" spans="2:9" ht="27" customHeight="1">
      <c r="B10" s="73" t="str">
        <f ca="1">IFERROR(__xludf.DUMMYFUNCTION("""COMPUTED_VALUE"""),"ADRENALINA /EPINEFRINA")</f>
        <v>ADRENALINA /EPINEFRINA</v>
      </c>
      <c r="C10" s="73" t="str">
        <f ca="1">IFERROR(__xludf.DUMMYFUNCTION("""COMPUTED_VALUE"""),"AMPOLLA")</f>
        <v>AMPOLLA</v>
      </c>
      <c r="D10" s="73" t="str">
        <f ca="1">IFERROR(__xludf.DUMMYFUNCTION("""COMPUTED_VALUE"""),"ADRENALINA C/EPINEFRINA")</f>
        <v>ADRENALINA C/EPINEFRINA</v>
      </c>
      <c r="E10" s="73" t="str">
        <f ca="1">IFERROR(__xludf.DUMMYFUNCTION("""COMPUTED_VALUE"""),"VIJOSA")</f>
        <v>VIJOSA</v>
      </c>
      <c r="F10" s="75">
        <f ca="1">IFERROR(__xludf.DUMMYFUNCTION("""COMPUTED_VALUE"""),45835)</f>
        <v>45835</v>
      </c>
      <c r="G10" s="74">
        <f ca="1">IFERROR(__xludf.DUMMYFUNCTION("""COMPUTED_VALUE"""),12.65)</f>
        <v>12.65</v>
      </c>
      <c r="H10" s="74">
        <f ca="1">IFERROR(__xludf.DUMMYFUNCTION("""COMPUTED_VALUE"""),17.71)</f>
        <v>17.71</v>
      </c>
      <c r="I10" s="74">
        <f ca="1">IFERROR(__xludf.DUMMYFUNCTION("""COMPUTED_VALUE"""),25)</f>
        <v>25</v>
      </c>
    </row>
    <row r="11" spans="2:9" ht="27" customHeight="1">
      <c r="B11" s="73" t="str">
        <f ca="1">IFERROR(__xludf.DUMMYFUNCTION("""COMPUTED_VALUE"""),"AERO OM")</f>
        <v>AERO OM</v>
      </c>
      <c r="C11" s="73" t="str">
        <f ca="1">IFERROR(__xludf.DUMMYFUNCTION("""COMPUTED_VALUE"""),"BLISTER 10 TABLETAS")</f>
        <v>BLISTER 10 TABLETAS</v>
      </c>
      <c r="D11" s="73" t="str">
        <f ca="1">IFERROR(__xludf.DUMMYFUNCTION("""COMPUTED_VALUE"""),"SIMETICONA 40MG.")</f>
        <v>SIMETICONA 40MG.</v>
      </c>
      <c r="E11" s="73" t="str">
        <f ca="1">IFERROR(__xludf.DUMMYFUNCTION("""COMPUTED_VALUE"""),"RESCO")</f>
        <v>RESCO</v>
      </c>
      <c r="F11" s="75">
        <f ca="1">IFERROR(__xludf.DUMMYFUNCTION("""COMPUTED_VALUE"""),45865)</f>
        <v>45865</v>
      </c>
      <c r="G11" s="74">
        <f ca="1">IFERROR(__xludf.DUMMYFUNCTION("""COMPUTED_VALUE"""),16.83)</f>
        <v>16.829999999999998</v>
      </c>
      <c r="H11" s="74">
        <f ca="1">IFERROR(__xludf.DUMMYFUNCTION("""COMPUTED_VALUE"""),23.5619999999999)</f>
        <v>23.561999999999902</v>
      </c>
      <c r="I11" s="74">
        <f ca="1">IFERROR(__xludf.DUMMYFUNCTION("""COMPUTED_VALUE"""),30)</f>
        <v>30</v>
      </c>
    </row>
    <row r="12" spans="2:9" ht="27" customHeight="1">
      <c r="B12" s="73" t="str">
        <f ca="1">IFERROR(__xludf.DUMMYFUNCTION("""COMPUTED_VALUE"""),"AERO OM ORAL")</f>
        <v>AERO OM ORAL</v>
      </c>
      <c r="C12" s="73" t="str">
        <f ca="1">IFERROR(__xludf.DUMMYFUNCTION("""COMPUTED_VALUE"""),"GOTAS")</f>
        <v>GOTAS</v>
      </c>
      <c r="D12" s="73" t="str">
        <f ca="1">IFERROR(__xludf.DUMMYFUNCTION("""COMPUTED_VALUE"""),"SIMETICONA 100MG/ML")</f>
        <v>SIMETICONA 100MG/ML</v>
      </c>
      <c r="E12" s="73" t="str">
        <f ca="1">IFERROR(__xludf.DUMMYFUNCTION("""COMPUTED_VALUE"""),"RESCO")</f>
        <v>RESCO</v>
      </c>
      <c r="F12" s="75">
        <f ca="1">IFERROR(__xludf.DUMMYFUNCTION("""COMPUTED_VALUE"""),45957)</f>
        <v>45957</v>
      </c>
      <c r="G12" s="74">
        <f ca="1">IFERROR(__xludf.DUMMYFUNCTION("""COMPUTED_VALUE"""),51.84)</f>
        <v>51.84</v>
      </c>
      <c r="H12" s="74">
        <f ca="1">IFERROR(__xludf.DUMMYFUNCTION("""COMPUTED_VALUE"""),72.576)</f>
        <v>72.575999999999993</v>
      </c>
      <c r="I12" s="74">
        <f ca="1">IFERROR(__xludf.DUMMYFUNCTION("""COMPUTED_VALUE"""),75)</f>
        <v>75</v>
      </c>
    </row>
    <row r="13" spans="2:9" ht="27" customHeight="1">
      <c r="B13" s="73" t="str">
        <f ca="1">IFERROR(__xludf.DUMMYFUNCTION("""COMPUTED_VALUE"""),"ALAMO 16")</f>
        <v>ALAMO 16</v>
      </c>
      <c r="C13" s="73" t="str">
        <f ca="1">IFERROR(__xludf.DUMMYFUNCTION("""COMPUTED_VALUE"""),"CAJA 30 TABLETAS")</f>
        <v>CAJA 30 TABLETAS</v>
      </c>
      <c r="D13" s="73" t="str">
        <f ca="1">IFERROR(__xludf.DUMMYFUNCTION("""COMPUTED_VALUE"""),"CANDESARTÀN")</f>
        <v>CANDESARTÀN</v>
      </c>
      <c r="E13" s="73" t="str">
        <f ca="1">IFERROR(__xludf.DUMMYFUNCTION("""COMPUTED_VALUE"""),"PHARMEDIC")</f>
        <v>PHARMEDIC</v>
      </c>
      <c r="F13" s="75">
        <f ca="1">IFERROR(__xludf.DUMMYFUNCTION("""COMPUTED_VALUE"""),45896)</f>
        <v>45896</v>
      </c>
      <c r="G13" s="74">
        <f ca="1">IFERROR(__xludf.DUMMYFUNCTION("""COMPUTED_VALUE"""),138)</f>
        <v>138</v>
      </c>
      <c r="H13" s="74">
        <f ca="1">IFERROR(__xludf.DUMMYFUNCTION("""COMPUTED_VALUE"""),193.2)</f>
        <v>193.2</v>
      </c>
      <c r="I13" s="74">
        <f ca="1">IFERROR(__xludf.DUMMYFUNCTION("""COMPUTED_VALUE"""),195)</f>
        <v>195</v>
      </c>
    </row>
    <row r="14" spans="2:9" ht="27" customHeight="1">
      <c r="B14" s="73" t="str">
        <f ca="1">IFERROR(__xludf.DUMMYFUNCTION("""COMPUTED_VALUE"""),"ALBUGENOL-TR")</f>
        <v>ALBUGENOL-TR</v>
      </c>
      <c r="C14" s="73" t="str">
        <f ca="1">IFERROR(__xludf.DUMMYFUNCTION("""COMPUTED_VALUE"""),"AEROSOL PARA INHALAR")</f>
        <v>AEROSOL PARA INHALAR</v>
      </c>
      <c r="D14" s="73" t="str">
        <f ca="1">IFERROR(__xludf.DUMMYFUNCTION("""COMPUTED_VALUE"""),"SALBUTAMOL 120 MCG./ BROMURO DE IPATROPIUM 20 MCG.")</f>
        <v>SALBUTAMOL 120 MCG./ BROMURO DE IPATROPIUM 20 MCG.</v>
      </c>
      <c r="E14" s="73" t="str">
        <f ca="1">IFERROR(__xludf.DUMMYFUNCTION("""COMPUTED_VALUE"""),"GENERIX Hadalabs")</f>
        <v>GENERIX Hadalabs</v>
      </c>
      <c r="F14" s="75">
        <f ca="1">IFERROR(__xludf.DUMMYFUNCTION("""COMPUTED_VALUE"""),45865)</f>
        <v>45865</v>
      </c>
      <c r="G14" s="74">
        <f ca="1">IFERROR(__xludf.DUMMYFUNCTION("""COMPUTED_VALUE"""),115.2)</f>
        <v>115.2</v>
      </c>
      <c r="H14" s="74">
        <f ca="1">IFERROR(__xludf.DUMMYFUNCTION("""COMPUTED_VALUE"""),161.28)</f>
        <v>161.28</v>
      </c>
      <c r="I14" s="74">
        <f ca="1">IFERROR(__xludf.DUMMYFUNCTION("""COMPUTED_VALUE"""),170)</f>
        <v>170</v>
      </c>
    </row>
    <row r="15" spans="2:9" ht="27" customHeight="1">
      <c r="B15" s="73" t="str">
        <f ca="1">IFERROR(__xludf.DUMMYFUNCTION("""COMPUTED_VALUE"""),"ALBUMINA HUMANA")</f>
        <v>ALBUMINA HUMANA</v>
      </c>
      <c r="C15" s="73" t="str">
        <f ca="1">IFERROR(__xludf.DUMMYFUNCTION("""COMPUTED_VALUE"""),"FRASCO IV 50ML")</f>
        <v>FRASCO IV 50ML</v>
      </c>
      <c r="D15" s="73" t="str">
        <f ca="1">IFERROR(__xludf.DUMMYFUNCTION("""COMPUTED_VALUE"""),"ALBUMINA HUMANA")</f>
        <v>ALBUMINA HUMANA</v>
      </c>
      <c r="E15" s="73" t="str">
        <f ca="1">IFERROR(__xludf.DUMMYFUNCTION("""COMPUTED_VALUE"""),"INSUMEDIC GT")</f>
        <v>INSUMEDIC GT</v>
      </c>
      <c r="F15" s="75">
        <f ca="1">IFERROR(__xludf.DUMMYFUNCTION("""COMPUTED_VALUE"""),46017)</f>
        <v>46017</v>
      </c>
      <c r="G15" s="74">
        <f ca="1">IFERROR(__xludf.DUMMYFUNCTION("""COMPUTED_VALUE"""),375)</f>
        <v>375</v>
      </c>
      <c r="H15" s="74">
        <f ca="1">IFERROR(__xludf.DUMMYFUNCTION("""COMPUTED_VALUE"""),525)</f>
        <v>525</v>
      </c>
      <c r="I15" s="74">
        <f ca="1">IFERROR(__xludf.DUMMYFUNCTION("""COMPUTED_VALUE"""),530)</f>
        <v>530</v>
      </c>
    </row>
    <row r="16" spans="2:9" ht="27" customHeight="1">
      <c r="B16" s="73" t="str">
        <f ca="1">IFERROR(__xludf.DUMMYFUNCTION("""COMPUTED_VALUE"""),"ALCET 5")</f>
        <v>ALCET 5</v>
      </c>
      <c r="C16" s="73" t="str">
        <f ca="1">IFERROR(__xludf.DUMMYFUNCTION("""COMPUTED_VALUE"""),"CAJA 10 TAB.")</f>
        <v>CAJA 10 TAB.</v>
      </c>
      <c r="D16" s="73" t="str">
        <f ca="1">IFERROR(__xludf.DUMMYFUNCTION("""COMPUTED_VALUE"""),"LEVOCETIRIZINA 5MG.")</f>
        <v>LEVOCETIRIZINA 5MG.</v>
      </c>
      <c r="E16" s="73" t="str">
        <f ca="1">IFERROR(__xludf.DUMMYFUNCTION("""COMPUTED_VALUE"""),"PRISM")</f>
        <v>PRISM</v>
      </c>
      <c r="F16" s="75">
        <f ca="1">IFERROR(__xludf.DUMMYFUNCTION("""COMPUTED_VALUE"""),45956)</f>
        <v>45956</v>
      </c>
      <c r="G16" s="74">
        <f ca="1">IFERROR(__xludf.DUMMYFUNCTION("""COMPUTED_VALUE"""),75.09)</f>
        <v>75.09</v>
      </c>
      <c r="H16" s="74">
        <f ca="1">IFERROR(__xludf.DUMMYFUNCTION("""COMPUTED_VALUE"""),105.126)</f>
        <v>105.126</v>
      </c>
      <c r="I16" s="74">
        <f ca="1">IFERROR(__xludf.DUMMYFUNCTION("""COMPUTED_VALUE"""),105)</f>
        <v>105</v>
      </c>
    </row>
    <row r="17" spans="2:9" ht="27" customHeight="1">
      <c r="B17" s="73" t="str">
        <f ca="1">IFERROR(__xludf.DUMMYFUNCTION("""COMPUTED_VALUE"""),"AMIKASINA")</f>
        <v>AMIKASINA</v>
      </c>
      <c r="C17" s="73" t="str">
        <f ca="1">IFERROR(__xludf.DUMMYFUNCTION("""COMPUTED_VALUE"""),"AMPOLLA")</f>
        <v>AMPOLLA</v>
      </c>
      <c r="D17" s="73" t="str">
        <f ca="1">IFERROR(__xludf.DUMMYFUNCTION("""COMPUTED_VALUE"""),"AMIKASINA 500MG")</f>
        <v>AMIKASINA 500MG</v>
      </c>
      <c r="E17" s="73" t="str">
        <f ca="1">IFERROR(__xludf.DUMMYFUNCTION("""COMPUTED_VALUE"""),"VITALIS")</f>
        <v>VITALIS</v>
      </c>
      <c r="F17" s="75">
        <f ca="1">IFERROR(__xludf.DUMMYFUNCTION("""COMPUTED_VALUE"""),46018)</f>
        <v>46018</v>
      </c>
      <c r="G17" s="74">
        <f ca="1">IFERROR(__xludf.DUMMYFUNCTION("""COMPUTED_VALUE"""),5)</f>
        <v>5</v>
      </c>
      <c r="H17" s="74">
        <f ca="1">IFERROR(__xludf.DUMMYFUNCTION("""COMPUTED_VALUE"""),7)</f>
        <v>7</v>
      </c>
      <c r="I17" s="74">
        <f ca="1">IFERROR(__xludf.DUMMYFUNCTION("""COMPUTED_VALUE"""),40)</f>
        <v>40</v>
      </c>
    </row>
    <row r="18" spans="2:9" ht="27" customHeight="1">
      <c r="B18" s="73" t="str">
        <f ca="1">IFERROR(__xludf.DUMMYFUNCTION("""COMPUTED_VALUE"""),"AMINOFILINA")</f>
        <v>AMINOFILINA</v>
      </c>
      <c r="C18" s="73" t="str">
        <f ca="1">IFERROR(__xludf.DUMMYFUNCTION("""COMPUTED_VALUE"""),"AMPOLLA")</f>
        <v>AMPOLLA</v>
      </c>
      <c r="D18" s="73" t="str">
        <f ca="1">IFERROR(__xludf.DUMMYFUNCTION("""COMPUTED_VALUE"""),"AMINOFILINA 250MG.")</f>
        <v>AMINOFILINA 250MG.</v>
      </c>
      <c r="E18" s="73" t="str">
        <f ca="1">IFERROR(__xludf.DUMMYFUNCTION("""COMPUTED_VALUE"""),"BONIN/QUALITY")</f>
        <v>BONIN/QUALITY</v>
      </c>
      <c r="F18" s="75">
        <f ca="1">IFERROR(__xludf.DUMMYFUNCTION("""COMPUTED_VALUE"""),45803)</f>
        <v>45803</v>
      </c>
      <c r="G18" s="74">
        <f ca="1">IFERROR(__xludf.DUMMYFUNCTION("""COMPUTED_VALUE"""),6)</f>
        <v>6</v>
      </c>
      <c r="H18" s="74">
        <f ca="1">IFERROR(__xludf.DUMMYFUNCTION("""COMPUTED_VALUE"""),8.4)</f>
        <v>8.4</v>
      </c>
      <c r="I18" s="74">
        <f ca="1">IFERROR(__xludf.DUMMYFUNCTION("""COMPUTED_VALUE"""),40)</f>
        <v>40</v>
      </c>
    </row>
    <row r="19" spans="2:9" ht="27" customHeight="1">
      <c r="B19" s="73" t="str">
        <f ca="1">IFERROR(__xludf.DUMMYFUNCTION("""COMPUTED_VALUE"""),"AMIODARONA ATLANSIL")</f>
        <v>AMIODARONA ATLANSIL</v>
      </c>
      <c r="C19" s="73" t="str">
        <f ca="1">IFERROR(__xludf.DUMMYFUNCTION("""COMPUTED_VALUE"""),"AMPOLLA")</f>
        <v>AMPOLLA</v>
      </c>
      <c r="D19" s="73" t="str">
        <f ca="1">IFERROR(__xludf.DUMMYFUNCTION("""COMPUTED_VALUE"""),"AMIODARONA CLORHIDRATO")</f>
        <v>AMIODARONA CLORHIDRATO</v>
      </c>
      <c r="E19" s="73" t="str">
        <f ca="1">IFERROR(__xludf.DUMMYFUNCTION("""COMPUTED_VALUE"""),"INSUMEDIC GT")</f>
        <v>INSUMEDIC GT</v>
      </c>
      <c r="F19" s="75">
        <f ca="1">IFERROR(__xludf.DUMMYFUNCTION("""COMPUTED_VALUE"""),45803)</f>
        <v>45803</v>
      </c>
      <c r="G19" s="74">
        <f ca="1">IFERROR(__xludf.DUMMYFUNCTION("""COMPUTED_VALUE"""),78)</f>
        <v>78</v>
      </c>
      <c r="H19" s="74">
        <f ca="1">IFERROR(__xludf.DUMMYFUNCTION("""COMPUTED_VALUE"""),109.2)</f>
        <v>109.2</v>
      </c>
      <c r="I19" s="74">
        <f ca="1">IFERROR(__xludf.DUMMYFUNCTION("""COMPUTED_VALUE"""),150)</f>
        <v>150</v>
      </c>
    </row>
    <row r="20" spans="2:9" ht="27" customHeight="1">
      <c r="B20" s="73" t="str">
        <f ca="1">IFERROR(__xludf.DUMMYFUNCTION("""COMPUTED_VALUE"""),"AMPICILINA + SULBACTAM")</f>
        <v>AMPICILINA + SULBACTAM</v>
      </c>
      <c r="C20" s="73" t="str">
        <f ca="1">IFERROR(__xludf.DUMMYFUNCTION("""COMPUTED_VALUE"""),"FRASCO INYECTABLE")</f>
        <v>FRASCO INYECTABLE</v>
      </c>
      <c r="D20" s="73" t="str">
        <f ca="1">IFERROR(__xludf.DUMMYFUNCTION("""COMPUTED_VALUE"""),"AMPICILINA + SULBACTAM 1.5G")</f>
        <v>AMPICILINA + SULBACTAM 1.5G</v>
      </c>
      <c r="E20" s="73" t="str">
        <f ca="1">IFERROR(__xludf.DUMMYFUNCTION("""COMPUTED_VALUE"""),"VITALIS/DISSA")</f>
        <v>VITALIS/DISSA</v>
      </c>
      <c r="F20" s="75">
        <f ca="1">IFERROR(__xludf.DUMMYFUNCTION("""COMPUTED_VALUE"""),45775)</f>
        <v>45775</v>
      </c>
      <c r="G20" s="74">
        <f ca="1">IFERROR(__xludf.DUMMYFUNCTION("""COMPUTED_VALUE"""),7.13)</f>
        <v>7.13</v>
      </c>
      <c r="H20" s="74">
        <f ca="1">IFERROR(__xludf.DUMMYFUNCTION("""COMPUTED_VALUE"""),9.982)</f>
        <v>9.9819999999999993</v>
      </c>
      <c r="I20" s="74">
        <f ca="1">IFERROR(__xludf.DUMMYFUNCTION("""COMPUTED_VALUE"""),70)</f>
        <v>70</v>
      </c>
    </row>
    <row r="21" spans="2:9" ht="27" customHeight="1">
      <c r="B21" s="73" t="str">
        <f ca="1">IFERROR(__xludf.DUMMYFUNCTION("""COMPUTED_VALUE"""),"ANGINOVAG")</f>
        <v>ANGINOVAG</v>
      </c>
      <c r="C21" s="73" t="str">
        <f ca="1">IFERROR(__xludf.DUMMYFUNCTION("""COMPUTED_VALUE"""),"SPRAY BUCAL")</f>
        <v>SPRAY BUCAL</v>
      </c>
      <c r="D21" s="73" t="str">
        <f ca="1">IFERROR(__xludf.DUMMYFUNCTION("""COMPUTED_VALUE"""),"decualinio cloruro, enoxolona, acetato de hidrocortisona , tirotricina y lidocaína clorhidrato.")</f>
        <v>decualinio cloruro, enoxolona, acetato de hidrocortisona , tirotricina y lidocaína clorhidrato.</v>
      </c>
      <c r="E21" s="73" t="str">
        <f ca="1">IFERROR(__xludf.DUMMYFUNCTION("""COMPUTED_VALUE"""),"FERRER")</f>
        <v>FERRER</v>
      </c>
      <c r="F21" s="75">
        <f ca="1">IFERROR(__xludf.DUMMYFUNCTION("""COMPUTED_VALUE"""),45805)</f>
        <v>45805</v>
      </c>
      <c r="G21" s="74">
        <f ca="1">IFERROR(__xludf.DUMMYFUNCTION("""COMPUTED_VALUE"""),85)</f>
        <v>85</v>
      </c>
      <c r="H21" s="74">
        <f ca="1">IFERROR(__xludf.DUMMYFUNCTION("""COMPUTED_VALUE"""),119)</f>
        <v>119</v>
      </c>
      <c r="I21" s="74">
        <f ca="1">IFERROR(__xludf.DUMMYFUNCTION("""COMPUTED_VALUE"""),120)</f>
        <v>120</v>
      </c>
    </row>
    <row r="22" spans="2:9" ht="27" customHeight="1">
      <c r="B22" s="73" t="str">
        <f ca="1">IFERROR(__xludf.DUMMYFUNCTION("""COMPUTED_VALUE"""),"ARTROSIL 5")</f>
        <v>ARTROSIL 5</v>
      </c>
      <c r="C22" s="73" t="str">
        <f ca="1">IFERROR(__xludf.DUMMYFUNCTION("""COMPUTED_VALUE"""),"CAJA 30 SOBRES")</f>
        <v>CAJA 30 SOBRES</v>
      </c>
      <c r="D22" s="73" t="str">
        <f ca="1">IFERROR(__xludf.DUMMYFUNCTION("""COMPUTED_VALUE"""),"GLUCOSAMINA, CONDROITINA, COLÁGENO, ÁCIDO IALURÓNICO, ÁCIDO ASCÓRBICO")</f>
        <v>GLUCOSAMINA, CONDROITINA, COLÁGENO, ÁCIDO IALURÓNICO, ÁCIDO ASCÓRBICO</v>
      </c>
      <c r="E22" s="73" t="str">
        <f ca="1">IFERROR(__xludf.DUMMYFUNCTION("""COMPUTED_VALUE"""),"PHARMALAT")</f>
        <v>PHARMALAT</v>
      </c>
      <c r="F22" s="75">
        <f ca="1">IFERROR(__xludf.DUMMYFUNCTION("""COMPUTED_VALUE"""),45987)</f>
        <v>45987</v>
      </c>
      <c r="G22" s="74">
        <f ca="1">IFERROR(__xludf.DUMMYFUNCTION("""COMPUTED_VALUE"""),395)</f>
        <v>395</v>
      </c>
      <c r="H22" s="74">
        <f ca="1">IFERROR(__xludf.DUMMYFUNCTION("""COMPUTED_VALUE"""),553)</f>
        <v>553</v>
      </c>
      <c r="I22" s="74">
        <f ca="1">IFERROR(__xludf.DUMMYFUNCTION("""COMPUTED_VALUE"""),560)</f>
        <v>560</v>
      </c>
    </row>
    <row r="23" spans="2:9" ht="27" customHeight="1">
      <c r="B23" s="73" t="str">
        <f ca="1">IFERROR(__xludf.DUMMYFUNCTION("""COMPUTED_VALUE"""),"ASCORBOL")</f>
        <v>ASCORBOL</v>
      </c>
      <c r="C23" s="73" t="str">
        <f ca="1">IFERROR(__xludf.DUMMYFUNCTION("""COMPUTED_VALUE"""),"AMPOLLA")</f>
        <v>AMPOLLA</v>
      </c>
      <c r="D23" s="73" t="str">
        <f ca="1">IFERROR(__xludf.DUMMYFUNCTION("""COMPUTED_VALUE"""),"VITAMINA C")</f>
        <v>VITAMINA C</v>
      </c>
      <c r="E23" s="73" t="str">
        <f ca="1">IFERROR(__xludf.DUMMYFUNCTION("""COMPUTED_VALUE"""),"DIPROFARM")</f>
        <v>DIPROFARM</v>
      </c>
      <c r="F23" s="75">
        <f ca="1">IFERROR(__xludf.DUMMYFUNCTION("""COMPUTED_VALUE"""),45804)</f>
        <v>45804</v>
      </c>
      <c r="G23" s="74">
        <f ca="1">IFERROR(__xludf.DUMMYFUNCTION("""COMPUTED_VALUE"""),5.82)</f>
        <v>5.82</v>
      </c>
      <c r="H23" s="74">
        <f ca="1">IFERROR(__xludf.DUMMYFUNCTION("""COMPUTED_VALUE"""),8.148)</f>
        <v>8.1479999999999997</v>
      </c>
      <c r="I23" s="74">
        <f ca="1">IFERROR(__xludf.DUMMYFUNCTION("""COMPUTED_VALUE"""),30)</f>
        <v>30</v>
      </c>
    </row>
    <row r="24" spans="2:9" ht="27" customHeight="1">
      <c r="B24" s="73" t="str">
        <f ca="1">IFERROR(__xludf.DUMMYFUNCTION("""COMPUTED_VALUE"""),"ATOR-DEL 20")</f>
        <v>ATOR-DEL 20</v>
      </c>
      <c r="C24" s="73" t="str">
        <f ca="1">IFERROR(__xludf.DUMMYFUNCTION("""COMPUTED_VALUE"""),"CAJA 30 TABLETAS")</f>
        <v>CAJA 30 TABLETAS</v>
      </c>
      <c r="D24" s="73" t="str">
        <f ca="1">IFERROR(__xludf.DUMMYFUNCTION("""COMPUTED_VALUE"""),"ATORVASTATINA 20MG.")</f>
        <v>ATORVASTATINA 20MG.</v>
      </c>
      <c r="E24" s="73" t="str">
        <f ca="1">IFERROR(__xludf.DUMMYFUNCTION("""COMPUTED_VALUE"""),"PHARMADEL")</f>
        <v>PHARMADEL</v>
      </c>
      <c r="F24" s="75">
        <f ca="1">IFERROR(__xludf.DUMMYFUNCTION("""COMPUTED_VALUE"""),45927)</f>
        <v>45927</v>
      </c>
      <c r="G24" s="74">
        <f ca="1">IFERROR(__xludf.DUMMYFUNCTION("""COMPUTED_VALUE"""),90)</f>
        <v>90</v>
      </c>
      <c r="H24" s="74">
        <f ca="1">IFERROR(__xludf.DUMMYFUNCTION("""COMPUTED_VALUE"""),126)</f>
        <v>126</v>
      </c>
      <c r="I24" s="74">
        <f ca="1">IFERROR(__xludf.DUMMYFUNCTION("""COMPUTED_VALUE"""),140)</f>
        <v>140</v>
      </c>
    </row>
    <row r="25" spans="2:9" ht="27" customHeight="1">
      <c r="B25" s="73" t="str">
        <f ca="1">IFERROR(__xludf.DUMMYFUNCTION("""COMPUTED_VALUE"""),"AZITROMICINA 500MG")</f>
        <v>AZITROMICINA 500MG</v>
      </c>
      <c r="C25" s="73" t="str">
        <f ca="1">IFERROR(__xludf.DUMMYFUNCTION("""COMPUTED_VALUE"""),"BLISTER 5 TABLETAS")</f>
        <v>BLISTER 5 TABLETAS</v>
      </c>
      <c r="D25" s="73" t="str">
        <f ca="1">IFERROR(__xludf.DUMMYFUNCTION("""COMPUTED_VALUE"""),"AZITROMICINA")</f>
        <v>AZITROMICINA</v>
      </c>
      <c r="E25" s="73" t="str">
        <f ca="1">IFERROR(__xludf.DUMMYFUNCTION("""COMPUTED_VALUE"""),"INFASA")</f>
        <v>INFASA</v>
      </c>
      <c r="F25" s="75">
        <f ca="1">IFERROR(__xludf.DUMMYFUNCTION("""COMPUTED_VALUE"""),45927)</f>
        <v>45927</v>
      </c>
      <c r="G25" s="74">
        <f ca="1">IFERROR(__xludf.DUMMYFUNCTION("""COMPUTED_VALUE"""),33)</f>
        <v>33</v>
      </c>
      <c r="H25" s="74">
        <f ca="1">IFERROR(__xludf.DUMMYFUNCTION("""COMPUTED_VALUE"""),46.2)</f>
        <v>46.2</v>
      </c>
      <c r="I25" s="74">
        <f ca="1">IFERROR(__xludf.DUMMYFUNCTION("""COMPUTED_VALUE"""),45)</f>
        <v>45</v>
      </c>
    </row>
    <row r="26" spans="2:9" ht="27" customHeight="1">
      <c r="B26" s="73" t="str">
        <f ca="1">IFERROR(__xludf.DUMMYFUNCTION("""COMPUTED_VALUE"""),"BAC-CLOR")</f>
        <v>BAC-CLOR</v>
      </c>
      <c r="C26" s="73" t="str">
        <f ca="1">IFERROR(__xludf.DUMMYFUNCTION("""COMPUTED_VALUE"""),"SUSPENCIÒN")</f>
        <v>SUSPENCIÒN</v>
      </c>
      <c r="D26" s="73" t="str">
        <f ca="1">IFERROR(__xludf.DUMMYFUNCTION("""COMPUTED_VALUE"""),"CEFIXIMA 100MG.")</f>
        <v>CEFIXIMA 100MG.</v>
      </c>
      <c r="E26" s="73" t="str">
        <f ca="1">IFERROR(__xludf.DUMMYFUNCTION("""COMPUTED_VALUE"""),"PHARMADEL")</f>
        <v>PHARMADEL</v>
      </c>
      <c r="F26" s="75">
        <f ca="1">IFERROR(__xludf.DUMMYFUNCTION("""COMPUTED_VALUE"""),45988)</f>
        <v>45988</v>
      </c>
      <c r="G26" s="74">
        <f ca="1">IFERROR(__xludf.DUMMYFUNCTION("""COMPUTED_VALUE"""),94)</f>
        <v>94</v>
      </c>
      <c r="H26" s="74">
        <f ca="1">IFERROR(__xludf.DUMMYFUNCTION("""COMPUTED_VALUE"""),131.6)</f>
        <v>131.6</v>
      </c>
      <c r="I26" s="74">
        <f ca="1">IFERROR(__xludf.DUMMYFUNCTION("""COMPUTED_VALUE"""),135)</f>
        <v>135</v>
      </c>
    </row>
    <row r="27" spans="2:9" ht="27" customHeight="1">
      <c r="B27" s="73" t="str">
        <f ca="1">IFERROR(__xludf.DUMMYFUNCTION("""COMPUTED_VALUE"""),"BAC-CLOR")</f>
        <v>BAC-CLOR</v>
      </c>
      <c r="C27" s="73" t="str">
        <f ca="1">IFERROR(__xludf.DUMMYFUNCTION("""COMPUTED_VALUE"""),"CAJA 5 CAPSULAS")</f>
        <v>CAJA 5 CAPSULAS</v>
      </c>
      <c r="D27" s="73" t="str">
        <f ca="1">IFERROR(__xludf.DUMMYFUNCTION("""COMPUTED_VALUE"""),"CEFIXIMA 400MG.")</f>
        <v>CEFIXIMA 400MG.</v>
      </c>
      <c r="E27" s="73" t="str">
        <f ca="1">IFERROR(__xludf.DUMMYFUNCTION("""COMPUTED_VALUE"""),"PHARMADEL")</f>
        <v>PHARMADEL</v>
      </c>
      <c r="F27" s="75">
        <f ca="1">IFERROR(__xludf.DUMMYFUNCTION("""COMPUTED_VALUE"""),45805)</f>
        <v>45805</v>
      </c>
      <c r="G27" s="74">
        <f ca="1">IFERROR(__xludf.DUMMYFUNCTION("""COMPUTED_VALUE"""),65)</f>
        <v>65</v>
      </c>
      <c r="H27" s="74">
        <f ca="1">IFERROR(__xludf.DUMMYFUNCTION("""COMPUTED_VALUE"""),91)</f>
        <v>91</v>
      </c>
      <c r="I27" s="74">
        <f ca="1">IFERROR(__xludf.DUMMYFUNCTION("""COMPUTED_VALUE"""),95)</f>
        <v>95</v>
      </c>
    </row>
    <row r="28" spans="2:9" ht="27" customHeight="1">
      <c r="B28" s="73" t="str">
        <f ca="1">IFERROR(__xludf.DUMMYFUNCTION("""COMPUTED_VALUE"""),"BACTEMICINA K")</f>
        <v>BACTEMICINA K</v>
      </c>
      <c r="C28" s="73" t="str">
        <f ca="1">IFERROR(__xludf.DUMMYFUNCTION("""COMPUTED_VALUE"""),"7 ÒVULOS VAGINALES")</f>
        <v>7 ÒVULOS VAGINALES</v>
      </c>
      <c r="D28" s="73" t="str">
        <f ca="1">IFERROR(__xludf.DUMMYFUNCTION("""COMPUTED_VALUE"""),"CLIDAMINICINA + KETOCONAZOL")</f>
        <v>CLIDAMINICINA + KETOCONAZOL</v>
      </c>
      <c r="E28" s="73" t="str">
        <f ca="1">IFERROR(__xludf.DUMMYFUNCTION("""COMPUTED_VALUE"""),"QUALIPHARM")</f>
        <v>QUALIPHARM</v>
      </c>
      <c r="F28" s="75">
        <f ca="1">IFERROR(__xludf.DUMMYFUNCTION("""COMPUTED_VALUE"""),45895)</f>
        <v>45895</v>
      </c>
      <c r="G28" s="74">
        <f ca="1">IFERROR(__xludf.DUMMYFUNCTION("""COMPUTED_VALUE"""),80)</f>
        <v>80</v>
      </c>
      <c r="H28" s="74">
        <f ca="1">IFERROR(__xludf.DUMMYFUNCTION("""COMPUTED_VALUE"""),112)</f>
        <v>112</v>
      </c>
      <c r="I28" s="74">
        <f ca="1">IFERROR(__xludf.DUMMYFUNCTION("""COMPUTED_VALUE"""),130)</f>
        <v>130</v>
      </c>
    </row>
    <row r="29" spans="2:9" ht="27" customHeight="1">
      <c r="B29" s="73" t="str">
        <f ca="1">IFERROR(__xludf.DUMMYFUNCTION("""COMPUTED_VALUE"""),"BACTEMICINA K")</f>
        <v>BACTEMICINA K</v>
      </c>
      <c r="C29" s="73" t="str">
        <f ca="1">IFERROR(__xludf.DUMMYFUNCTION("""COMPUTED_VALUE"""),"CREMA VAGINAL")</f>
        <v>CREMA VAGINAL</v>
      </c>
      <c r="D29" s="73" t="str">
        <f ca="1">IFERROR(__xludf.DUMMYFUNCTION("""COMPUTED_VALUE"""),"CLIDAMINICINA + KETOCONAZOL")</f>
        <v>CLIDAMINICINA + KETOCONAZOL</v>
      </c>
      <c r="E29" s="73" t="str">
        <f ca="1">IFERROR(__xludf.DUMMYFUNCTION("""COMPUTED_VALUE"""),"QUALIPHARM")</f>
        <v>QUALIPHARM</v>
      </c>
      <c r="F29" s="75">
        <f ca="1">IFERROR(__xludf.DUMMYFUNCTION("""COMPUTED_VALUE"""),45927)</f>
        <v>45927</v>
      </c>
      <c r="G29" s="74">
        <f ca="1">IFERROR(__xludf.DUMMYFUNCTION("""COMPUTED_VALUE"""),60)</f>
        <v>60</v>
      </c>
      <c r="H29" s="74">
        <f ca="1">IFERROR(__xludf.DUMMYFUNCTION("""COMPUTED_VALUE"""),84)</f>
        <v>84</v>
      </c>
      <c r="I29" s="74">
        <f ca="1">IFERROR(__xludf.DUMMYFUNCTION("""COMPUTED_VALUE"""),85)</f>
        <v>85</v>
      </c>
    </row>
    <row r="30" spans="2:9" ht="27" customHeight="1">
      <c r="B30" s="73" t="str">
        <f ca="1">IFERROR(__xludf.DUMMYFUNCTION("""COMPUTED_VALUE"""),"BADYKET")</f>
        <v>BADYKET</v>
      </c>
      <c r="C30" s="73" t="str">
        <f ca="1">IFERROR(__xludf.DUMMYFUNCTION("""COMPUTED_VALUE"""),"IV")</f>
        <v>IV</v>
      </c>
      <c r="D30" s="73" t="str">
        <f ca="1">IFERROR(__xludf.DUMMYFUNCTION("""COMPUTED_VALUE"""),"ANTICUABILANTE")</f>
        <v>ANTICUABILANTE</v>
      </c>
      <c r="E30" s="73" t="str">
        <f ca="1">IFERROR(__xludf.DUMMYFUNCTION("""COMPUTED_VALUE"""),"FARMEN")</f>
        <v>FARMEN</v>
      </c>
      <c r="F30" s="75">
        <f ca="1">IFERROR(__xludf.DUMMYFUNCTION("""COMPUTED_VALUE"""),45804)</f>
        <v>45804</v>
      </c>
      <c r="G30" s="74">
        <f ca="1">IFERROR(__xludf.DUMMYFUNCTION("""COMPUTED_VALUE"""),100)</f>
        <v>100</v>
      </c>
      <c r="H30" s="74">
        <f ca="1">IFERROR(__xludf.DUMMYFUNCTION("""COMPUTED_VALUE"""),140)</f>
        <v>140</v>
      </c>
      <c r="I30" s="74">
        <f ca="1">IFERROR(__xludf.DUMMYFUNCTION("""COMPUTED_VALUE"""),150)</f>
        <v>150</v>
      </c>
    </row>
    <row r="31" spans="2:9" ht="27" customHeight="1">
      <c r="B31" s="73" t="str">
        <f ca="1">IFERROR(__xludf.DUMMYFUNCTION("""COMPUTED_VALUE"""),"BALANAT")</f>
        <v>BALANAT</v>
      </c>
      <c r="C31" s="73" t="str">
        <f ca="1">IFERROR(__xludf.DUMMYFUNCTION("""COMPUTED_VALUE"""),"CAJA 30 SOBRES")</f>
        <v>CAJA 30 SOBRES</v>
      </c>
      <c r="D31" s="73" t="str">
        <f ca="1">IFERROR(__xludf.DUMMYFUNCTION("""COMPUTED_VALUE"""),"COMPLEMENTO NUTRICIONAL")</f>
        <v>COMPLEMENTO NUTRICIONAL</v>
      </c>
      <c r="E31" s="73" t="str">
        <f ca="1">IFERROR(__xludf.DUMMYFUNCTION("""COMPUTED_VALUE"""),"WINZZER")</f>
        <v>WINZZER</v>
      </c>
      <c r="F31" s="75">
        <f ca="1">IFERROR(__xludf.DUMMYFUNCTION("""COMPUTED_VALUE"""),45926)</f>
        <v>45926</v>
      </c>
      <c r="G31" s="74">
        <f ca="1">IFERROR(__xludf.DUMMYFUNCTION("""COMPUTED_VALUE"""),485.71)</f>
        <v>485.71</v>
      </c>
      <c r="H31" s="74">
        <f ca="1">IFERROR(__xludf.DUMMYFUNCTION("""COMPUTED_VALUE"""),679.993999999999)</f>
        <v>679.99399999999901</v>
      </c>
      <c r="I31" s="74">
        <f ca="1">IFERROR(__xludf.DUMMYFUNCTION("""COMPUTED_VALUE"""),680)</f>
        <v>680</v>
      </c>
    </row>
    <row r="32" spans="2:9" ht="27" customHeight="1">
      <c r="B32" s="73" t="str">
        <f ca="1">IFERROR(__xludf.DUMMYFUNCTION("""COMPUTED_VALUE"""),"BIO FILM")</f>
        <v>BIO FILM</v>
      </c>
      <c r="C32" s="73" t="str">
        <f ca="1">IFERROR(__xludf.DUMMYFUNCTION("""COMPUTED_VALUE"""),"MEMBRANA 10 * 10")</f>
        <v>MEMBRANA 10 * 10</v>
      </c>
      <c r="D32" s="73" t="str">
        <f ca="1">IFERROR(__xludf.DUMMYFUNCTION("""COMPUTED_VALUE"""),"MEMBRANA 10 * 10")</f>
        <v>MEMBRANA 10 * 10</v>
      </c>
      <c r="E32" s="73" t="str">
        <f ca="1">IFERROR(__xludf.DUMMYFUNCTION("""COMPUTED_VALUE"""),"BIOFILM/BONIN")</f>
        <v>BIOFILM/BONIN</v>
      </c>
      <c r="F32" s="75">
        <f ca="1">IFERROR(__xludf.DUMMYFUNCTION("""COMPUTED_VALUE"""),45803)</f>
        <v>45803</v>
      </c>
      <c r="G32" s="74">
        <f ca="1">IFERROR(__xludf.DUMMYFUNCTION("""COMPUTED_VALUE"""),125)</f>
        <v>125</v>
      </c>
      <c r="H32" s="74">
        <f ca="1">IFERROR(__xludf.DUMMYFUNCTION("""COMPUTED_VALUE"""),175)</f>
        <v>175</v>
      </c>
      <c r="I32" s="74">
        <f ca="1">IFERROR(__xludf.DUMMYFUNCTION("""COMPUTED_VALUE"""),200)</f>
        <v>200</v>
      </c>
    </row>
    <row r="33" spans="2:9" ht="27" customHeight="1">
      <c r="B33" s="73" t="str">
        <f ca="1">IFERROR(__xludf.DUMMYFUNCTION("""COMPUTED_VALUE"""),"BIO ZINK")</f>
        <v>BIO ZINK</v>
      </c>
      <c r="C33" s="73" t="str">
        <f ca="1">IFERROR(__xludf.DUMMYFUNCTION("""COMPUTED_VALUE"""),"PASTA TÒPICA")</f>
        <v>PASTA TÒPICA</v>
      </c>
      <c r="D33" s="73" t="str">
        <f ca="1">IFERROR(__xludf.DUMMYFUNCTION("""COMPUTED_VALUE"""),"OXIDO DE ZINK/MIEL DE ABEJA")</f>
        <v>OXIDO DE ZINK/MIEL DE ABEJA</v>
      </c>
      <c r="E33" s="73" t="str">
        <f ca="1">IFERROR(__xludf.DUMMYFUNCTION("""COMPUTED_VALUE"""),"BIOFILM/BONIN")</f>
        <v>BIOFILM/BONIN</v>
      </c>
      <c r="F33" s="75">
        <f ca="1">IFERROR(__xludf.DUMMYFUNCTION("""COMPUTED_VALUE"""),45686)</f>
        <v>45686</v>
      </c>
      <c r="G33" s="74">
        <f ca="1">IFERROR(__xludf.DUMMYFUNCTION("""COMPUTED_VALUE"""),56.74)</f>
        <v>56.74</v>
      </c>
      <c r="H33" s="74">
        <f ca="1">IFERROR(__xludf.DUMMYFUNCTION("""COMPUTED_VALUE"""),79.436)</f>
        <v>79.436000000000007</v>
      </c>
      <c r="I33" s="74">
        <f ca="1">IFERROR(__xludf.DUMMYFUNCTION("""COMPUTED_VALUE"""),80)</f>
        <v>80</v>
      </c>
    </row>
    <row r="34" spans="2:9" ht="27" customHeight="1">
      <c r="B34" s="73" t="str">
        <f ca="1">IFERROR(__xludf.DUMMYFUNCTION("""COMPUTED_VALUE"""),"BIOGAIA")</f>
        <v>BIOGAIA</v>
      </c>
      <c r="C34" s="73" t="str">
        <f ca="1">IFERROR(__xludf.DUMMYFUNCTION("""COMPUTED_VALUE"""),"GOTERO 5ML")</f>
        <v>GOTERO 5ML</v>
      </c>
      <c r="D34" s="73" t="str">
        <f ca="1">IFERROR(__xludf.DUMMYFUNCTION("""COMPUTED_VALUE"""),"PROBIOTICOS + VITAMINA D3")</f>
        <v>PROBIOTICOS + VITAMINA D3</v>
      </c>
      <c r="E34" s="73" t="str">
        <f ca="1">IFERROR(__xludf.DUMMYFUNCTION("""COMPUTED_VALUE"""),"AGEFINSA")</f>
        <v>AGEFINSA</v>
      </c>
      <c r="F34" s="75">
        <f ca="1">IFERROR(__xludf.DUMMYFUNCTION("""COMPUTED_VALUE"""),45714)</f>
        <v>45714</v>
      </c>
      <c r="G34" s="74">
        <f ca="1">IFERROR(__xludf.DUMMYFUNCTION("""COMPUTED_VALUE"""),189.2)</f>
        <v>189.2</v>
      </c>
      <c r="H34" s="74">
        <f ca="1">IFERROR(__xludf.DUMMYFUNCTION("""COMPUTED_VALUE"""),264.88)</f>
        <v>264.88</v>
      </c>
      <c r="I34" s="74">
        <f ca="1">IFERROR(__xludf.DUMMYFUNCTION("""COMPUTED_VALUE"""),265)</f>
        <v>265</v>
      </c>
    </row>
    <row r="35" spans="2:9" ht="27" customHeight="1">
      <c r="B35" s="73" t="str">
        <f ca="1">IFERROR(__xludf.DUMMYFUNCTION("""COMPUTED_VALUE"""),"BIXICORT")</f>
        <v>BIXICORT</v>
      </c>
      <c r="C35" s="73" t="str">
        <f ca="1">IFERROR(__xludf.DUMMYFUNCTION("""COMPUTED_VALUE"""),"AMPOLLA")</f>
        <v>AMPOLLA</v>
      </c>
      <c r="D35" s="73" t="str">
        <f ca="1">IFERROR(__xludf.DUMMYFUNCTION("""COMPUTED_VALUE"""),"BETAMETASONA 5MG")</f>
        <v>BETAMETASONA 5MG</v>
      </c>
      <c r="E35" s="73" t="str">
        <f ca="1">IFERROR(__xludf.DUMMYFUNCTION("""COMPUTED_VALUE"""),"MEDPHARMA")</f>
        <v>MEDPHARMA</v>
      </c>
      <c r="F35" s="75">
        <f ca="1">IFERROR(__xludf.DUMMYFUNCTION("""COMPUTED_VALUE"""),45895)</f>
        <v>45895</v>
      </c>
      <c r="G35" s="74">
        <f ca="1">IFERROR(__xludf.DUMMYFUNCTION("""COMPUTED_VALUE"""),89.63)</f>
        <v>89.63</v>
      </c>
      <c r="H35" s="74">
        <f ca="1">IFERROR(__xludf.DUMMYFUNCTION("""COMPUTED_VALUE"""),125.482)</f>
        <v>125.482</v>
      </c>
      <c r="I35" s="74">
        <f ca="1">IFERROR(__xludf.DUMMYFUNCTION("""COMPUTED_VALUE"""),130)</f>
        <v>130</v>
      </c>
    </row>
    <row r="36" spans="2:9" ht="27" customHeight="1">
      <c r="B36" s="73" t="str">
        <f ca="1">IFERROR(__xludf.DUMMYFUNCTION("""COMPUTED_VALUE"""),"BOLARIA 16MG.")</f>
        <v>BOLARIA 16MG.</v>
      </c>
      <c r="C36" s="73" t="str">
        <f ca="1">IFERROR(__xludf.DUMMYFUNCTION("""COMPUTED_VALUE"""),"CAJA 20 COMPRIMIDOS")</f>
        <v>CAJA 20 COMPRIMIDOS</v>
      </c>
      <c r="D36" s="73" t="str">
        <f ca="1">IFERROR(__xludf.DUMMYFUNCTION("""COMPUTED_VALUE"""),"BETAHISTINA DICLORHIDRATO")</f>
        <v>BETAHISTINA DICLORHIDRATO</v>
      </c>
      <c r="E36" s="73" t="str">
        <f ca="1">IFERROR(__xludf.DUMMYFUNCTION("""COMPUTED_VALUE"""),"MEGALABS")</f>
        <v>MEGALABS</v>
      </c>
      <c r="F36" s="75">
        <f ca="1">IFERROR(__xludf.DUMMYFUNCTION("""COMPUTED_VALUE"""),45864)</f>
        <v>45864</v>
      </c>
      <c r="G36" s="74">
        <f ca="1">IFERROR(__xludf.DUMMYFUNCTION("""COMPUTED_VALUE"""),110.28)</f>
        <v>110.28</v>
      </c>
      <c r="H36" s="74">
        <f ca="1">IFERROR(__xludf.DUMMYFUNCTION("""COMPUTED_VALUE"""),154.392)</f>
        <v>154.392</v>
      </c>
      <c r="I36" s="74">
        <f ca="1">IFERROR(__xludf.DUMMYFUNCTION("""COMPUTED_VALUE"""),155)</f>
        <v>155</v>
      </c>
    </row>
    <row r="37" spans="2:9" ht="27" customHeight="1">
      <c r="B37" s="73" t="str">
        <f ca="1">IFERROR(__xludf.DUMMYFUNCTION("""COMPUTED_VALUE"""),"BONADIONA /VITAMINA K")</f>
        <v>BONADIONA /VITAMINA K</v>
      </c>
      <c r="C37" s="73" t="str">
        <f ca="1">IFERROR(__xludf.DUMMYFUNCTION("""COMPUTED_VALUE"""),"AMPOLLA 1ML")</f>
        <v>AMPOLLA 1ML</v>
      </c>
      <c r="D37" s="73" t="str">
        <f ca="1">IFERROR(__xludf.DUMMYFUNCTION("""COMPUTED_VALUE"""),"VITAMINA K")</f>
        <v>VITAMINA K</v>
      </c>
      <c r="E37" s="73" t="str">
        <f ca="1">IFERROR(__xludf.DUMMYFUNCTION("""COMPUTED_VALUE"""),"BONIN/QUALITY")</f>
        <v>BONIN/QUALITY</v>
      </c>
      <c r="F37" s="75">
        <f ca="1">IFERROR(__xludf.DUMMYFUNCTION("""COMPUTED_VALUE"""),45773)</f>
        <v>45773</v>
      </c>
      <c r="G37" s="74">
        <f ca="1">IFERROR(__xludf.DUMMYFUNCTION("""COMPUTED_VALUE"""),6.85)</f>
        <v>6.85</v>
      </c>
      <c r="H37" s="74">
        <f ca="1">IFERROR(__xludf.DUMMYFUNCTION("""COMPUTED_VALUE"""),9.59)</f>
        <v>9.59</v>
      </c>
      <c r="I37" s="74">
        <f ca="1">IFERROR(__xludf.DUMMYFUNCTION("""COMPUTED_VALUE"""),15)</f>
        <v>15</v>
      </c>
    </row>
    <row r="38" spans="2:9" ht="27" customHeight="1">
      <c r="B38" s="73" t="str">
        <f ca="1">IFERROR(__xludf.DUMMYFUNCTION("""COMPUTED_VALUE"""),"BRONCODIL")</f>
        <v>BRONCODIL</v>
      </c>
      <c r="C38" s="73" t="str">
        <f ca="1">IFERROR(__xludf.DUMMYFUNCTION("""COMPUTED_VALUE"""),"SUSPENCIÒN")</f>
        <v>SUSPENCIÒN</v>
      </c>
      <c r="D38" s="73" t="str">
        <f ca="1">IFERROR(__xludf.DUMMYFUNCTION("""COMPUTED_VALUE"""),"CARBOXIMETILCISTEÌNA")</f>
        <v>CARBOXIMETILCISTEÌNA</v>
      </c>
      <c r="E38" s="73" t="str">
        <f ca="1">IFERROR(__xludf.DUMMYFUNCTION("""COMPUTED_VALUE"""),"INFASA")</f>
        <v>INFASA</v>
      </c>
      <c r="F38" s="75">
        <f ca="1">IFERROR(__xludf.DUMMYFUNCTION("""COMPUTED_VALUE"""),45926)</f>
        <v>45926</v>
      </c>
      <c r="G38" s="74">
        <f ca="1">IFERROR(__xludf.DUMMYFUNCTION("""COMPUTED_VALUE"""),40)</f>
        <v>40</v>
      </c>
      <c r="H38" s="74">
        <f ca="1">IFERROR(__xludf.DUMMYFUNCTION("""COMPUTED_VALUE"""),56)</f>
        <v>56</v>
      </c>
      <c r="I38" s="74">
        <f ca="1">IFERROR(__xludf.DUMMYFUNCTION("""COMPUTED_VALUE"""),60)</f>
        <v>60</v>
      </c>
    </row>
    <row r="39" spans="2:9" ht="27" customHeight="1">
      <c r="B39" s="73" t="str">
        <f ca="1">IFERROR(__xludf.DUMMYFUNCTION("""COMPUTED_VALUE"""),"BRONCOMAT")</f>
        <v>BRONCOMAT</v>
      </c>
      <c r="C39" s="73" t="str">
        <f ca="1">IFERROR(__xludf.DUMMYFUNCTION("""COMPUTED_VALUE"""),"FRASCO")</f>
        <v>FRASCO</v>
      </c>
      <c r="D39" s="73" t="str">
        <f ca="1">IFERROR(__xludf.DUMMYFUNCTION("""COMPUTED_VALUE"""),"SALBUTAMOL 0.5%")</f>
        <v>SALBUTAMOL 0.5%</v>
      </c>
      <c r="E39" s="73" t="str">
        <f ca="1">IFERROR(__xludf.DUMMYFUNCTION("""COMPUTED_VALUE"""),"UNIPHARM")</f>
        <v>UNIPHARM</v>
      </c>
      <c r="F39" s="75">
        <f ca="1">IFERROR(__xludf.DUMMYFUNCTION("""COMPUTED_VALUE"""),45956)</f>
        <v>45956</v>
      </c>
      <c r="G39" s="74">
        <f ca="1">IFERROR(__xludf.DUMMYFUNCTION("""COMPUTED_VALUE"""),45.08)</f>
        <v>45.08</v>
      </c>
      <c r="H39" s="74">
        <f ca="1">IFERROR(__xludf.DUMMYFUNCTION("""COMPUTED_VALUE"""),63.1119999999999)</f>
        <v>63.111999999999902</v>
      </c>
      <c r="I39" s="74">
        <f ca="1">IFERROR(__xludf.DUMMYFUNCTION("""COMPUTED_VALUE"""),75)</f>
        <v>75</v>
      </c>
    </row>
    <row r="40" spans="2:9" ht="27" customHeight="1">
      <c r="B40" s="73" t="str">
        <f ca="1">IFERROR(__xludf.DUMMYFUNCTION("""COMPUTED_VALUE"""),"BROXOLVAN COMPUESTO")</f>
        <v>BROXOLVAN COMPUESTO</v>
      </c>
      <c r="C40" s="73" t="str">
        <f ca="1">IFERROR(__xludf.DUMMYFUNCTION("""COMPUTED_VALUE"""),"SUSPENCIÒN")</f>
        <v>SUSPENCIÒN</v>
      </c>
      <c r="D40" s="73" t="str">
        <f ca="1">IFERROR(__xludf.DUMMYFUNCTION("""COMPUTED_VALUE"""),"AMBROXOL/CLENBUTEROL")</f>
        <v>AMBROXOL/CLENBUTEROL</v>
      </c>
      <c r="E40" s="73" t="str">
        <f ca="1">IFERROR(__xludf.DUMMYFUNCTION("""COMPUTED_VALUE"""),"INFASA")</f>
        <v>INFASA</v>
      </c>
      <c r="F40" s="75">
        <f ca="1">IFERROR(__xludf.DUMMYFUNCTION("""COMPUTED_VALUE"""),45895)</f>
        <v>45895</v>
      </c>
      <c r="G40" s="74">
        <f ca="1">IFERROR(__xludf.DUMMYFUNCTION("""COMPUTED_VALUE"""),39.35)</f>
        <v>39.35</v>
      </c>
      <c r="H40" s="74">
        <f ca="1">IFERROR(__xludf.DUMMYFUNCTION("""COMPUTED_VALUE"""),55.09)</f>
        <v>55.09</v>
      </c>
      <c r="I40" s="74">
        <f ca="1">IFERROR(__xludf.DUMMYFUNCTION("""COMPUTED_VALUE"""),60)</f>
        <v>60</v>
      </c>
    </row>
    <row r="41" spans="2:9" ht="27" customHeight="1">
      <c r="B41" s="73" t="str">
        <f ca="1">IFERROR(__xludf.DUMMYFUNCTION("""COMPUTED_VALUE"""),"BUDEGEN")</f>
        <v>BUDEGEN</v>
      </c>
      <c r="C41" s="73" t="str">
        <f ca="1">IFERROR(__xludf.DUMMYFUNCTION("""COMPUTED_VALUE"""),"FRASCO 20 ML")</f>
        <v>FRASCO 20 ML</v>
      </c>
      <c r="D41" s="73" t="str">
        <f ca="1">IFERROR(__xludf.DUMMYFUNCTION("""COMPUTED_VALUE"""),"BUDESONIDA PARA NEBULIZAR")</f>
        <v>BUDESONIDA PARA NEBULIZAR</v>
      </c>
      <c r="E41" s="73" t="str">
        <f ca="1">IFERROR(__xludf.DUMMYFUNCTION("""COMPUTED_VALUE"""),"QUALITY")</f>
        <v>QUALITY</v>
      </c>
      <c r="F41" s="75">
        <f ca="1">IFERROR(__xludf.DUMMYFUNCTION("""COMPUTED_VALUE"""),45864)</f>
        <v>45864</v>
      </c>
      <c r="G41" s="74">
        <f ca="1">IFERROR(__xludf.DUMMYFUNCTION("""COMPUTED_VALUE"""),240)</f>
        <v>240</v>
      </c>
      <c r="H41" s="74">
        <f ca="1">IFERROR(__xludf.DUMMYFUNCTION("""COMPUTED_VALUE"""),336)</f>
        <v>336</v>
      </c>
      <c r="I41" s="74">
        <f ca="1">IFERROR(__xludf.DUMMYFUNCTION("""COMPUTED_VALUE"""),336)</f>
        <v>336</v>
      </c>
    </row>
    <row r="42" spans="2:9" ht="27" customHeight="1">
      <c r="B42" s="73" t="str">
        <f ca="1">IFERROR(__xludf.DUMMYFUNCTION("""COMPUTED_VALUE"""),"BUDEGEN")</f>
        <v>BUDEGEN</v>
      </c>
      <c r="C42" s="73" t="str">
        <f ca="1">IFERROR(__xludf.DUMMYFUNCTION("""COMPUTED_VALUE"""),"FRASCO 10ML")</f>
        <v>FRASCO 10ML</v>
      </c>
      <c r="D42" s="73" t="str">
        <f ca="1">IFERROR(__xludf.DUMMYFUNCTION("""COMPUTED_VALUE"""),"BUDESONIDA PARA NEBULIZAR")</f>
        <v>BUDESONIDA PARA NEBULIZAR</v>
      </c>
      <c r="E42" s="73" t="str">
        <f ca="1">IFERROR(__xludf.DUMMYFUNCTION("""COMPUTED_VALUE"""),"QUALITY")</f>
        <v>QUALITY</v>
      </c>
      <c r="F42" s="75">
        <f ca="1">IFERROR(__xludf.DUMMYFUNCTION("""COMPUTED_VALUE"""),45715)</f>
        <v>45715</v>
      </c>
      <c r="G42" s="74">
        <f ca="1">IFERROR(__xludf.DUMMYFUNCTION("""COMPUTED_VALUE"""),154.28)</f>
        <v>154.28</v>
      </c>
      <c r="H42" s="74">
        <f ca="1">IFERROR(__xludf.DUMMYFUNCTION("""COMPUTED_VALUE"""),215.992)</f>
        <v>215.99199999999999</v>
      </c>
      <c r="I42" s="74">
        <f ca="1">IFERROR(__xludf.DUMMYFUNCTION("""COMPUTED_VALUE"""),230)</f>
        <v>230</v>
      </c>
    </row>
    <row r="43" spans="2:9" ht="27" customHeight="1">
      <c r="B43" s="73" t="str">
        <f ca="1">IFERROR(__xludf.DUMMYFUNCTION("""COMPUTED_VALUE"""),"BUDEGEN-200")</f>
        <v>BUDEGEN-200</v>
      </c>
      <c r="C43" s="73" t="str">
        <f ca="1">IFERROR(__xludf.DUMMYFUNCTION("""COMPUTED_VALUE"""),"AEROSOL PARA INHALAR")</f>
        <v>AEROSOL PARA INHALAR</v>
      </c>
      <c r="D43" s="73" t="str">
        <f ca="1">IFERROR(__xludf.DUMMYFUNCTION("""COMPUTED_VALUE"""),"BUDESONIDA 200 MCG")</f>
        <v>BUDESONIDA 200 MCG</v>
      </c>
      <c r="E43" s="73" t="str">
        <f ca="1">IFERROR(__xludf.DUMMYFUNCTION("""COMPUTED_VALUE"""),"GENERIX")</f>
        <v>GENERIX</v>
      </c>
      <c r="F43" s="75">
        <f ca="1">IFERROR(__xludf.DUMMYFUNCTION("""COMPUTED_VALUE"""),45957)</f>
        <v>45957</v>
      </c>
      <c r="G43" s="74">
        <f ca="1">IFERROR(__xludf.DUMMYFUNCTION("""COMPUTED_VALUE"""),216)</f>
        <v>216</v>
      </c>
      <c r="H43" s="74">
        <f ca="1">IFERROR(__xludf.DUMMYFUNCTION("""COMPUTED_VALUE"""),302.4)</f>
        <v>302.39999999999998</v>
      </c>
      <c r="I43" s="74">
        <f ca="1">IFERROR(__xludf.DUMMYFUNCTION("""COMPUTED_VALUE"""),305)</f>
        <v>305</v>
      </c>
    </row>
    <row r="44" spans="2:9" ht="27" customHeight="1">
      <c r="B44" s="73" t="str">
        <f ca="1">IFERROR(__xludf.DUMMYFUNCTION("""COMPUTED_VALUE"""),"CALCID")</f>
        <v>CALCID</v>
      </c>
      <c r="C44" s="73" t="str">
        <f ca="1">IFERROR(__xludf.DUMMYFUNCTION("""COMPUTED_VALUE"""),"CAJA 30 TABLETAS")</f>
        <v>CAJA 30 TABLETAS</v>
      </c>
      <c r="D44" s="73" t="str">
        <f ca="1">IFERROR(__xludf.DUMMYFUNCTION("""COMPUTED_VALUE"""),"CALCIO+ VITAMINA D3 200MG")</f>
        <v>CALCIO+ VITAMINA D3 200MG</v>
      </c>
      <c r="E44" s="73" t="str">
        <f ca="1">IFERROR(__xludf.DUMMYFUNCTION("""COMPUTED_VALUE"""),"QUALIPHARM")</f>
        <v>QUALIPHARM</v>
      </c>
      <c r="F44" s="75">
        <f ca="1">IFERROR(__xludf.DUMMYFUNCTION("""COMPUTED_VALUE"""),45895)</f>
        <v>45895</v>
      </c>
      <c r="G44" s="74">
        <f ca="1">IFERROR(__xludf.DUMMYFUNCTION("""COMPUTED_VALUE"""),50)</f>
        <v>50</v>
      </c>
      <c r="H44" s="74">
        <f ca="1">IFERROR(__xludf.DUMMYFUNCTION("""COMPUTED_VALUE"""),70)</f>
        <v>70</v>
      </c>
      <c r="I44" s="74">
        <f ca="1">IFERROR(__xludf.DUMMYFUNCTION("""COMPUTED_VALUE"""),70)</f>
        <v>70</v>
      </c>
    </row>
    <row r="45" spans="2:9" ht="27" customHeight="1">
      <c r="B45" s="73" t="str">
        <f ca="1">IFERROR(__xludf.DUMMYFUNCTION("""COMPUTED_VALUE"""),"CARDIOZAR 50")</f>
        <v>CARDIOZAR 50</v>
      </c>
      <c r="C45" s="73" t="str">
        <f ca="1">IFERROR(__xludf.DUMMYFUNCTION("""COMPUTED_VALUE"""),"CAJA 30 TABLETAS")</f>
        <v>CAJA 30 TABLETAS</v>
      </c>
      <c r="D45" s="73" t="str">
        <f ca="1">IFERROR(__xludf.DUMMYFUNCTION("""COMPUTED_VALUE"""),"LOSARTÀN")</f>
        <v>LOSARTÀN</v>
      </c>
      <c r="E45" s="73" t="str">
        <f ca="1">IFERROR(__xludf.DUMMYFUNCTION("""COMPUTED_VALUE"""),"PHARMEDIC")</f>
        <v>PHARMEDIC</v>
      </c>
      <c r="F45" s="75">
        <f ca="1">IFERROR(__xludf.DUMMYFUNCTION("""COMPUTED_VALUE"""),45683)</f>
        <v>45683</v>
      </c>
      <c r="G45" s="74">
        <f ca="1">IFERROR(__xludf.DUMMYFUNCTION("""COMPUTED_VALUE"""),118.58)</f>
        <v>118.58</v>
      </c>
      <c r="H45" s="74">
        <f ca="1">IFERROR(__xludf.DUMMYFUNCTION("""COMPUTED_VALUE"""),166.012)</f>
        <v>166.012</v>
      </c>
      <c r="I45" s="74">
        <f ca="1">IFERROR(__xludf.DUMMYFUNCTION("""COMPUTED_VALUE"""),170)</f>
        <v>170</v>
      </c>
    </row>
    <row r="46" spans="2:9" ht="27" customHeight="1">
      <c r="B46" s="73" t="str">
        <f ca="1">IFERROR(__xludf.DUMMYFUNCTION("""COMPUTED_VALUE"""),"CATASIL 30MG.")</f>
        <v>CATASIL 30MG.</v>
      </c>
      <c r="C46" s="73" t="str">
        <f ca="1">IFERROR(__xludf.DUMMYFUNCTION("""COMPUTED_VALUE"""),"CAJA 10 TABLETAS")</f>
        <v>CAJA 10 TABLETAS</v>
      </c>
      <c r="D46" s="73" t="str">
        <f ca="1">IFERROR(__xludf.DUMMYFUNCTION("""COMPUTED_VALUE"""),"KETOROLACO TROMETAMINA")</f>
        <v>KETOROLACO TROMETAMINA</v>
      </c>
      <c r="E46" s="73" t="str">
        <f ca="1">IFERROR(__xludf.DUMMYFUNCTION("""COMPUTED_VALUE"""),"WINZZER")</f>
        <v>WINZZER</v>
      </c>
      <c r="F46" s="75">
        <f ca="1">IFERROR(__xludf.DUMMYFUNCTION("""COMPUTED_VALUE"""),45743)</f>
        <v>45743</v>
      </c>
      <c r="G46" s="74">
        <f ca="1">IFERROR(__xludf.DUMMYFUNCTION("""COMPUTED_VALUE"""),79)</f>
        <v>79</v>
      </c>
      <c r="H46" s="74">
        <f ca="1">IFERROR(__xludf.DUMMYFUNCTION("""COMPUTED_VALUE"""),110.6)</f>
        <v>110.6</v>
      </c>
      <c r="I46" s="74">
        <f ca="1">IFERROR(__xludf.DUMMYFUNCTION("""COMPUTED_VALUE"""),110)</f>
        <v>110</v>
      </c>
    </row>
    <row r="47" spans="2:9" ht="27" customHeight="1">
      <c r="B47" s="73" t="str">
        <f ca="1">IFERROR(__xludf.DUMMYFUNCTION("""COMPUTED_VALUE"""),"CEFAPRONT")</f>
        <v>CEFAPRONT</v>
      </c>
      <c r="C47" s="73" t="str">
        <f ca="1">IFERROR(__xludf.DUMMYFUNCTION("""COMPUTED_VALUE"""),"CAJA 10 CAPSULAS")</f>
        <v>CAJA 10 CAPSULAS</v>
      </c>
      <c r="D47" s="73" t="str">
        <f ca="1">IFERROR(__xludf.DUMMYFUNCTION("""COMPUTED_VALUE"""),"CEFIXIMA 400MG.")</f>
        <v>CEFIXIMA 400MG.</v>
      </c>
      <c r="E47" s="73" t="str">
        <f ca="1">IFERROR(__xludf.DUMMYFUNCTION("""COMPUTED_VALUE"""),"ARA STENDHAL")</f>
        <v>ARA STENDHAL</v>
      </c>
      <c r="F47" s="75">
        <f ca="1">IFERROR(__xludf.DUMMYFUNCTION("""COMPUTED_VALUE"""),45988)</f>
        <v>45988</v>
      </c>
      <c r="G47" s="74">
        <f ca="1">IFERROR(__xludf.DUMMYFUNCTION("""COMPUTED_VALUE"""),120)</f>
        <v>120</v>
      </c>
      <c r="H47" s="74">
        <f ca="1">IFERROR(__xludf.DUMMYFUNCTION("""COMPUTED_VALUE"""),168)</f>
        <v>168</v>
      </c>
      <c r="I47" s="74">
        <f ca="1">IFERROR(__xludf.DUMMYFUNCTION("""COMPUTED_VALUE"""),190)</f>
        <v>190</v>
      </c>
    </row>
    <row r="48" spans="2:9" ht="27" customHeight="1">
      <c r="B48" s="73" t="str">
        <f ca="1">IFERROR(__xludf.DUMMYFUNCTION("""COMPUTED_VALUE"""),"CEFEPIME 1G")</f>
        <v>CEFEPIME 1G</v>
      </c>
      <c r="C48" s="73" t="str">
        <f ca="1">IFERROR(__xludf.DUMMYFUNCTION("""COMPUTED_VALUE"""),"SOLUCIÒN INYECTABLE")</f>
        <v>SOLUCIÒN INYECTABLE</v>
      </c>
      <c r="D48" s="73" t="str">
        <f ca="1">IFERROR(__xludf.DUMMYFUNCTION("""COMPUTED_VALUE"""),"CEFEPIMA 1G")</f>
        <v>CEFEPIMA 1G</v>
      </c>
      <c r="E48" s="73" t="str">
        <f ca="1">IFERROR(__xludf.DUMMYFUNCTION("""COMPUTED_VALUE"""),"LABORATORIO DELTA")</f>
        <v>LABORATORIO DELTA</v>
      </c>
      <c r="F48" s="75">
        <f ca="1">IFERROR(__xludf.DUMMYFUNCTION("""COMPUTED_VALUE"""),45685)</f>
        <v>45685</v>
      </c>
      <c r="G48" s="74">
        <f ca="1">IFERROR(__xludf.DUMMYFUNCTION("""COMPUTED_VALUE"""),21.66)</f>
        <v>21.66</v>
      </c>
      <c r="H48" s="74">
        <f ca="1">IFERROR(__xludf.DUMMYFUNCTION("""COMPUTED_VALUE"""),30.3239999999999)</f>
        <v>30.323999999999899</v>
      </c>
      <c r="I48" s="74">
        <f ca="1">IFERROR(__xludf.DUMMYFUNCTION("""COMPUTED_VALUE"""),100)</f>
        <v>100</v>
      </c>
    </row>
    <row r="49" spans="2:9" ht="27" customHeight="1">
      <c r="B49" s="73" t="str">
        <f ca="1">IFERROR(__xludf.DUMMYFUNCTION("""COMPUTED_VALUE"""),"CEFTRIAXONA 1G")</f>
        <v>CEFTRIAXONA 1G</v>
      </c>
      <c r="C49" s="73" t="str">
        <f ca="1">IFERROR(__xludf.DUMMYFUNCTION("""COMPUTED_VALUE"""),"SOLUCIÒN INYECTABLE")</f>
        <v>SOLUCIÒN INYECTABLE</v>
      </c>
      <c r="D49" s="73" t="str">
        <f ca="1">IFERROR(__xludf.DUMMYFUNCTION("""COMPUTED_VALUE"""),"CEFTRIAXONA 1G")</f>
        <v>CEFTRIAXONA 1G</v>
      </c>
      <c r="E49" s="73" t="str">
        <f ca="1">IFERROR(__xludf.DUMMYFUNCTION("""COMPUTED_VALUE"""),"QUALIPHARM")</f>
        <v>QUALIPHARM</v>
      </c>
      <c r="F49" s="75">
        <f ca="1">IFERROR(__xludf.DUMMYFUNCTION("""COMPUTED_VALUE"""),45743)</f>
        <v>45743</v>
      </c>
      <c r="G49" s="74">
        <f ca="1">IFERROR(__xludf.DUMMYFUNCTION("""COMPUTED_VALUE"""),20)</f>
        <v>20</v>
      </c>
      <c r="H49" s="74">
        <f ca="1">IFERROR(__xludf.DUMMYFUNCTION("""COMPUTED_VALUE"""),28)</f>
        <v>28</v>
      </c>
      <c r="I49" s="74">
        <f ca="1">IFERROR(__xludf.DUMMYFUNCTION("""COMPUTED_VALUE"""),50)</f>
        <v>50</v>
      </c>
    </row>
    <row r="50" spans="2:9" ht="27" customHeight="1">
      <c r="B50" s="73" t="str">
        <f ca="1">IFERROR(__xludf.DUMMYFUNCTION("""COMPUTED_VALUE"""),"CEFTRIAXONA 1G")</f>
        <v>CEFTRIAXONA 1G</v>
      </c>
      <c r="C50" s="73" t="str">
        <f ca="1">IFERROR(__xludf.DUMMYFUNCTION("""COMPUTED_VALUE"""),"SOLUCIÒN INYECTABLE")</f>
        <v>SOLUCIÒN INYECTABLE</v>
      </c>
      <c r="D50" s="73" t="str">
        <f ca="1">IFERROR(__xludf.DUMMYFUNCTION("""COMPUTED_VALUE"""),"CEFTRIAXONA 1G")</f>
        <v>CEFTRIAXONA 1G</v>
      </c>
      <c r="E50" s="73" t="str">
        <f ca="1">IFERROR(__xludf.DUMMYFUNCTION("""COMPUTED_VALUE"""),"ETIC'S S.A.")</f>
        <v>ETIC'S S.A.</v>
      </c>
      <c r="F50" s="75">
        <f ca="1">IFERROR(__xludf.DUMMYFUNCTION("""COMPUTED_VALUE"""),45743)</f>
        <v>45743</v>
      </c>
      <c r="G50" s="74">
        <f ca="1">IFERROR(__xludf.DUMMYFUNCTION("""COMPUTED_VALUE"""),16)</f>
        <v>16</v>
      </c>
      <c r="H50" s="74">
        <f ca="1">IFERROR(__xludf.DUMMYFUNCTION("""COMPUTED_VALUE"""),22.4)</f>
        <v>22.4</v>
      </c>
      <c r="I50" s="74">
        <f ca="1">IFERROR(__xludf.DUMMYFUNCTION("""COMPUTED_VALUE"""),50)</f>
        <v>50</v>
      </c>
    </row>
    <row r="51" spans="2:9" ht="27" customHeight="1">
      <c r="B51" s="73" t="str">
        <f ca="1">IFERROR(__xludf.DUMMYFUNCTION("""COMPUTED_VALUE"""),"CELICOB 200MG.")</f>
        <v>CELICOB 200MG.</v>
      </c>
      <c r="C51" s="73" t="str">
        <f ca="1">IFERROR(__xludf.DUMMYFUNCTION("""COMPUTED_VALUE"""),"CAJA 10 CAPSULAS")</f>
        <v>CAJA 10 CAPSULAS</v>
      </c>
      <c r="D51" s="73" t="str">
        <f ca="1">IFERROR(__xludf.DUMMYFUNCTION("""COMPUTED_VALUE"""),"CELECOXIB")</f>
        <v>CELECOXIB</v>
      </c>
      <c r="E51" s="73" t="str">
        <f ca="1">IFERROR(__xludf.DUMMYFUNCTION("""COMPUTED_VALUE"""),"HETERO")</f>
        <v>HETERO</v>
      </c>
      <c r="F51" s="75">
        <f ca="1">IFERROR(__xludf.DUMMYFUNCTION("""COMPUTED_VALUE"""),45955)</f>
        <v>45955</v>
      </c>
      <c r="G51" s="74">
        <f ca="1">IFERROR(__xludf.DUMMYFUNCTION("""COMPUTED_VALUE"""),52)</f>
        <v>52</v>
      </c>
      <c r="H51" s="74">
        <f ca="1">IFERROR(__xludf.DUMMYFUNCTION("""COMPUTED_VALUE"""),72.8)</f>
        <v>72.8</v>
      </c>
      <c r="I51" s="74">
        <f ca="1">IFERROR(__xludf.DUMMYFUNCTION("""COMPUTED_VALUE"""),75)</f>
        <v>75</v>
      </c>
    </row>
    <row r="52" spans="2:9" ht="27" customHeight="1">
      <c r="B52" s="73" t="str">
        <f ca="1">IFERROR(__xludf.DUMMYFUNCTION("""COMPUTED_VALUE"""),"CETRAXAL PLUS")</f>
        <v>CETRAXAL PLUS</v>
      </c>
      <c r="C52" s="73" t="str">
        <f ca="1">IFERROR(__xludf.DUMMYFUNCTION("""COMPUTED_VALUE"""),"FRASCO")</f>
        <v>FRASCO</v>
      </c>
      <c r="D52" s="73" t="str">
        <f ca="1">IFERROR(__xludf.DUMMYFUNCTION("""COMPUTED_VALUE"""),"CIPROFLOXACINO/ACETÒNIDO DE FLUOCINOLONA")</f>
        <v>CIPROFLOXACINO/ACETÒNIDO DE FLUOCINOLONA</v>
      </c>
      <c r="E52" s="73" t="str">
        <f ca="1">IFERROR(__xludf.DUMMYFUNCTION("""COMPUTED_VALUE"""),"MEGALABS")</f>
        <v>MEGALABS</v>
      </c>
      <c r="F52" s="75">
        <f ca="1">IFERROR(__xludf.DUMMYFUNCTION("""COMPUTED_VALUE"""),45773)</f>
        <v>45773</v>
      </c>
      <c r="G52" s="74">
        <f ca="1">IFERROR(__xludf.DUMMYFUNCTION("""COMPUTED_VALUE"""),90)</f>
        <v>90</v>
      </c>
      <c r="H52" s="74">
        <f ca="1">IFERROR(__xludf.DUMMYFUNCTION("""COMPUTED_VALUE"""),126)</f>
        <v>126</v>
      </c>
      <c r="I52" s="74">
        <f ca="1">IFERROR(__xludf.DUMMYFUNCTION("""COMPUTED_VALUE"""),130)</f>
        <v>130</v>
      </c>
    </row>
    <row r="53" spans="2:9" ht="27" customHeight="1">
      <c r="B53" s="73" t="str">
        <f ca="1">IFERROR(__xludf.DUMMYFUNCTION("""COMPUTED_VALUE"""),"CICASTIM.S")</f>
        <v>CICASTIM.S</v>
      </c>
      <c r="C53" s="73" t="str">
        <f ca="1">IFERROR(__xludf.DUMMYFUNCTION("""COMPUTED_VALUE"""),"GEL")</f>
        <v>GEL</v>
      </c>
      <c r="D53" s="73" t="str">
        <f ca="1">IFERROR(__xludf.DUMMYFUNCTION("""COMPUTED_VALUE"""),"DIMETICONE")</f>
        <v>DIMETICONE</v>
      </c>
      <c r="E53" s="73" t="str">
        <f ca="1">IFERROR(__xludf.DUMMYFUNCTION("""COMPUTED_VALUE"""),"ACM LAB.")</f>
        <v>ACM LAB.</v>
      </c>
      <c r="F53" s="75">
        <f ca="1">IFERROR(__xludf.DUMMYFUNCTION("""COMPUTED_VALUE"""),45836)</f>
        <v>45836</v>
      </c>
      <c r="G53" s="74">
        <f ca="1">IFERROR(__xludf.DUMMYFUNCTION("""COMPUTED_VALUE"""),148.89)</f>
        <v>148.88999999999999</v>
      </c>
      <c r="H53" s="74">
        <f ca="1">IFERROR(__xludf.DUMMYFUNCTION("""COMPUTED_VALUE"""),208.445999999999)</f>
        <v>208.445999999999</v>
      </c>
      <c r="I53" s="74">
        <f ca="1">IFERROR(__xludf.DUMMYFUNCTION("""COMPUTED_VALUE"""),210)</f>
        <v>210</v>
      </c>
    </row>
    <row r="54" spans="2:9" ht="27" customHeight="1">
      <c r="B54" s="73" t="str">
        <f ca="1">IFERROR(__xludf.DUMMYFUNCTION("""COMPUTED_VALUE"""),"CIPROFLOXACINA 500MG.")</f>
        <v>CIPROFLOXACINA 500MG.</v>
      </c>
      <c r="C54" s="73" t="str">
        <f ca="1">IFERROR(__xludf.DUMMYFUNCTION("""COMPUTED_VALUE"""),"BLISTER 10 TAB.")</f>
        <v>BLISTER 10 TAB.</v>
      </c>
      <c r="D54" s="73" t="str">
        <f ca="1">IFERROR(__xludf.DUMMYFUNCTION("""COMPUTED_VALUE"""),"CIPROFLOXACINA 500MG.")</f>
        <v>CIPROFLOXACINA 500MG.</v>
      </c>
      <c r="E54" s="73" t="str">
        <f ca="1">IFERROR(__xludf.DUMMYFUNCTION("""COMPUTED_VALUE"""),"UMEDICA/infasa")</f>
        <v>UMEDICA/infasa</v>
      </c>
      <c r="F54" s="75">
        <f ca="1">IFERROR(__xludf.DUMMYFUNCTION("""COMPUTED_VALUE"""),45804)</f>
        <v>45804</v>
      </c>
      <c r="G54" s="74">
        <f ca="1">IFERROR(__xludf.DUMMYFUNCTION("""COMPUTED_VALUE"""),14.19)</f>
        <v>14.19</v>
      </c>
      <c r="H54" s="74">
        <f ca="1">IFERROR(__xludf.DUMMYFUNCTION("""COMPUTED_VALUE"""),19.866)</f>
        <v>19.866</v>
      </c>
      <c r="I54" s="74">
        <f ca="1">IFERROR(__xludf.DUMMYFUNCTION("""COMPUTED_VALUE"""),20)</f>
        <v>20</v>
      </c>
    </row>
    <row r="55" spans="2:9" ht="27" customHeight="1">
      <c r="B55" s="73" t="str">
        <f ca="1">IFERROR(__xludf.DUMMYFUNCTION("""COMPUTED_VALUE"""),"CIRIAX OTIC")</f>
        <v>CIRIAX OTIC</v>
      </c>
      <c r="C55" s="73" t="str">
        <f ca="1">IFERROR(__xludf.DUMMYFUNCTION("""COMPUTED_VALUE"""),"GOTAS OFTALMOLOGICAS")</f>
        <v>GOTAS OFTALMOLOGICAS</v>
      </c>
      <c r="D55" s="73" t="str">
        <f ca="1">IFERROR(__xludf.DUMMYFUNCTION("""COMPUTED_VALUE"""),"CIPROFLOXACINA/HIDROCORTISONA")</f>
        <v>CIPROFLOXACINA/HIDROCORTISONA</v>
      </c>
      <c r="E55" s="73" t="str">
        <f ca="1">IFERROR(__xludf.DUMMYFUNCTION("""COMPUTED_VALUE"""),"MEGALABS")</f>
        <v>MEGALABS</v>
      </c>
      <c r="F55" s="75">
        <f ca="1">IFERROR(__xludf.DUMMYFUNCTION("""COMPUTED_VALUE"""),45683)</f>
        <v>45683</v>
      </c>
      <c r="G55" s="74">
        <f ca="1">IFERROR(__xludf.DUMMYFUNCTION("""COMPUTED_VALUE"""),47.81)</f>
        <v>47.81</v>
      </c>
      <c r="H55" s="74">
        <f ca="1">IFERROR(__xludf.DUMMYFUNCTION("""COMPUTED_VALUE"""),66.934)</f>
        <v>66.933999999999997</v>
      </c>
      <c r="I55" s="74">
        <f ca="1">IFERROR(__xludf.DUMMYFUNCTION("""COMPUTED_VALUE"""),70)</f>
        <v>70</v>
      </c>
    </row>
    <row r="56" spans="2:9" ht="27" customHeight="1">
      <c r="B56" s="73" t="str">
        <f ca="1">IFERROR(__xludf.DUMMYFUNCTION("""COMPUTED_VALUE"""),"CLAVUDEL BID")</f>
        <v>CLAVUDEL BID</v>
      </c>
      <c r="C56" s="73" t="str">
        <f ca="1">IFERROR(__xludf.DUMMYFUNCTION("""COMPUTED_VALUE"""),"SUSPENCIÒN")</f>
        <v>SUSPENCIÒN</v>
      </c>
      <c r="D56" s="73" t="str">
        <f ca="1">IFERROR(__xludf.DUMMYFUNCTION("""COMPUTED_VALUE"""),"AMOXICILINA/ACIDO CLAVULÀNICO")</f>
        <v>AMOXICILINA/ACIDO CLAVULÀNICO</v>
      </c>
      <c r="E56" s="73" t="str">
        <f ca="1">IFERROR(__xludf.DUMMYFUNCTION("""COMPUTED_VALUE"""),"PHARMADEL")</f>
        <v>PHARMADEL</v>
      </c>
      <c r="F56" s="75">
        <f ca="1">IFERROR(__xludf.DUMMYFUNCTION("""COMPUTED_VALUE"""),46017)</f>
        <v>46017</v>
      </c>
      <c r="G56" s="74">
        <f ca="1">IFERROR(__xludf.DUMMYFUNCTION("""COMPUTED_VALUE"""),72.75)</f>
        <v>72.75</v>
      </c>
      <c r="H56" s="74">
        <f ca="1">IFERROR(__xludf.DUMMYFUNCTION("""COMPUTED_VALUE"""),101.85)</f>
        <v>101.85</v>
      </c>
      <c r="I56" s="74">
        <f ca="1">IFERROR(__xludf.DUMMYFUNCTION("""COMPUTED_VALUE"""),110)</f>
        <v>110</v>
      </c>
    </row>
    <row r="57" spans="2:9" ht="27" customHeight="1">
      <c r="B57" s="73" t="str">
        <f ca="1">IFERROR(__xludf.DUMMYFUNCTION("""COMPUTED_VALUE"""),"CLAVUDEL BID")</f>
        <v>CLAVUDEL BID</v>
      </c>
      <c r="C57" s="73" t="str">
        <f ca="1">IFERROR(__xludf.DUMMYFUNCTION("""COMPUTED_VALUE"""),"CAJA 14 TABLETAS")</f>
        <v>CAJA 14 TABLETAS</v>
      </c>
      <c r="D57" s="73" t="str">
        <f ca="1">IFERROR(__xludf.DUMMYFUNCTION("""COMPUTED_VALUE"""),"AMOXICILINA/ACIDO CLAVULÀNICO")</f>
        <v>AMOXICILINA/ACIDO CLAVULÀNICO</v>
      </c>
      <c r="E57" s="73" t="str">
        <f ca="1">IFERROR(__xludf.DUMMYFUNCTION("""COMPUTED_VALUE"""),"PHARMADEL")</f>
        <v>PHARMADEL</v>
      </c>
      <c r="F57" s="75">
        <f ca="1">IFERROR(__xludf.DUMMYFUNCTION("""COMPUTED_VALUE"""),45926)</f>
        <v>45926</v>
      </c>
      <c r="G57" s="74">
        <f ca="1">IFERROR(__xludf.DUMMYFUNCTION("""COMPUTED_VALUE"""),99.5)</f>
        <v>99.5</v>
      </c>
      <c r="H57" s="74">
        <f ca="1">IFERROR(__xludf.DUMMYFUNCTION("""COMPUTED_VALUE"""),139.3)</f>
        <v>139.30000000000001</v>
      </c>
      <c r="I57" s="74">
        <f ca="1">IFERROR(__xludf.DUMMYFUNCTION("""COMPUTED_VALUE"""),160)</f>
        <v>160</v>
      </c>
    </row>
    <row r="58" spans="2:9" ht="27" customHeight="1">
      <c r="B58" s="73" t="str">
        <f ca="1">IFERROR(__xludf.DUMMYFUNCTION("""COMPUTED_VALUE"""),"CLINDAMICINA 4ML.")</f>
        <v>CLINDAMICINA 4ML.</v>
      </c>
      <c r="C58" s="73" t="str">
        <f ca="1">IFERROR(__xludf.DUMMYFUNCTION("""COMPUTED_VALUE"""),"SOLUCIÒN INYECTABLE")</f>
        <v>SOLUCIÒN INYECTABLE</v>
      </c>
      <c r="D58" s="73" t="str">
        <f ca="1">IFERROR(__xludf.DUMMYFUNCTION("""COMPUTED_VALUE"""),"CLINDAMICINA")</f>
        <v>CLINDAMICINA</v>
      </c>
      <c r="E58" s="73" t="str">
        <f ca="1">IFERROR(__xludf.DUMMYFUNCTION("""COMPUTED_VALUE"""),"CAPLIN POINT")</f>
        <v>CAPLIN POINT</v>
      </c>
      <c r="F58" s="75">
        <f ca="1">IFERROR(__xludf.DUMMYFUNCTION("""COMPUTED_VALUE"""),45683)</f>
        <v>45683</v>
      </c>
      <c r="G58" s="74">
        <f ca="1">IFERROR(__xludf.DUMMYFUNCTION("""COMPUTED_VALUE"""),11)</f>
        <v>11</v>
      </c>
      <c r="H58" s="74">
        <f ca="1">IFERROR(__xludf.DUMMYFUNCTION("""COMPUTED_VALUE"""),15.4)</f>
        <v>15.4</v>
      </c>
      <c r="I58" s="74">
        <f ca="1">IFERROR(__xludf.DUMMYFUNCTION("""COMPUTED_VALUE"""),60)</f>
        <v>60</v>
      </c>
    </row>
    <row r="59" spans="2:9" ht="27" customHeight="1">
      <c r="B59" s="73" t="str">
        <f ca="1">IFERROR(__xludf.DUMMYFUNCTION("""COMPUTED_VALUE"""),"CLORFENIRAMINA 1ML.")</f>
        <v>CLORFENIRAMINA 1ML.</v>
      </c>
      <c r="C59" s="73" t="str">
        <f ca="1">IFERROR(__xludf.DUMMYFUNCTION("""COMPUTED_VALUE"""),"SOLUCIÒN INYECTABLE")</f>
        <v>SOLUCIÒN INYECTABLE</v>
      </c>
      <c r="D59" s="73" t="str">
        <f ca="1">IFERROR(__xludf.DUMMYFUNCTION("""COMPUTED_VALUE"""),"CLORFENIRAMINA 1ML.")</f>
        <v>CLORFENIRAMINA 1ML.</v>
      </c>
      <c r="E59" s="73" t="str">
        <f ca="1">IFERROR(__xludf.DUMMYFUNCTION("""COMPUTED_VALUE"""),"DISSA/SELECTPHARMA")</f>
        <v>DISSA/SELECTPHARMA</v>
      </c>
      <c r="F59" s="75">
        <f ca="1">IFERROR(__xludf.DUMMYFUNCTION("""COMPUTED_VALUE"""),45686)</f>
        <v>45686</v>
      </c>
      <c r="G59" s="74">
        <f ca="1">IFERROR(__xludf.DUMMYFUNCTION("""COMPUTED_VALUE"""),3.72)</f>
        <v>3.72</v>
      </c>
      <c r="H59" s="74">
        <f ca="1">IFERROR(__xludf.DUMMYFUNCTION("""COMPUTED_VALUE"""),5.208)</f>
        <v>5.2080000000000002</v>
      </c>
      <c r="I59" s="74">
        <f ca="1">IFERROR(__xludf.DUMMYFUNCTION("""COMPUTED_VALUE"""),30)</f>
        <v>30</v>
      </c>
    </row>
    <row r="60" spans="2:9" ht="27" customHeight="1">
      <c r="B60" s="73" t="str">
        <f ca="1">IFERROR(__xludf.DUMMYFUNCTION("""COMPUTED_VALUE"""),"CLORURO DE POTASIO KCL 5ML")</f>
        <v>CLORURO DE POTASIO KCL 5ML</v>
      </c>
      <c r="C60" s="73" t="str">
        <f ca="1">IFERROR(__xludf.DUMMYFUNCTION("""COMPUTED_VALUE"""),"SOLUCIÒN INYECTABLE")</f>
        <v>SOLUCIÒN INYECTABLE</v>
      </c>
      <c r="D60" s="73" t="str">
        <f ca="1">IFERROR(__xludf.DUMMYFUNCTION("""COMPUTED_VALUE"""),"CLORURO DE POTASIO KCL")</f>
        <v>CLORURO DE POTASIO KCL</v>
      </c>
      <c r="E60" s="73" t="str">
        <f ca="1">IFERROR(__xludf.DUMMYFUNCTION("""COMPUTED_VALUE"""),"BONIN")</f>
        <v>BONIN</v>
      </c>
      <c r="F60" s="75">
        <f ca="1">IFERROR(__xludf.DUMMYFUNCTION("""COMPUTED_VALUE"""),45745)</f>
        <v>45745</v>
      </c>
      <c r="G60" s="74">
        <f ca="1">IFERROR(__xludf.DUMMYFUNCTION("""COMPUTED_VALUE"""),5.11)</f>
        <v>5.1100000000000003</v>
      </c>
      <c r="H60" s="74">
        <f ca="1">IFERROR(__xludf.DUMMYFUNCTION("""COMPUTED_VALUE"""),7.154)</f>
        <v>7.1539999999999999</v>
      </c>
      <c r="I60" s="74">
        <f ca="1">IFERROR(__xludf.DUMMYFUNCTION("""COMPUTED_VALUE"""),30)</f>
        <v>30</v>
      </c>
    </row>
    <row r="61" spans="2:9" ht="27" customHeight="1">
      <c r="B61" s="73" t="str">
        <f ca="1">IFERROR(__xludf.DUMMYFUNCTION("""COMPUTED_VALUE"""),"CLORURO DE SODIO NACL 10ML")</f>
        <v>CLORURO DE SODIO NACL 10ML</v>
      </c>
      <c r="C61" s="73" t="str">
        <f ca="1">IFERROR(__xludf.DUMMYFUNCTION("""COMPUTED_VALUE"""),"SOLUCIÒN INYECTABLE")</f>
        <v>SOLUCIÒN INYECTABLE</v>
      </c>
      <c r="D61" s="73" t="str">
        <f ca="1">IFERROR(__xludf.DUMMYFUNCTION("""COMPUTED_VALUE"""),"CLORURO DE SOCIO NCL")</f>
        <v>CLORURO DE SOCIO NCL</v>
      </c>
      <c r="E61" s="73" t="str">
        <f ca="1">IFERROR(__xludf.DUMMYFUNCTION("""COMPUTED_VALUE"""),"VIJOSA")</f>
        <v>VIJOSA</v>
      </c>
      <c r="F61" s="75">
        <f ca="1">IFERROR(__xludf.DUMMYFUNCTION("""COMPUTED_VALUE"""),45959)</f>
        <v>45959</v>
      </c>
      <c r="G61" s="74">
        <f ca="1">IFERROR(__xludf.DUMMYFUNCTION("""COMPUTED_VALUE"""),20)</f>
        <v>20</v>
      </c>
      <c r="H61" s="74">
        <f ca="1">IFERROR(__xludf.DUMMYFUNCTION("""COMPUTED_VALUE"""),28)</f>
        <v>28</v>
      </c>
      <c r="I61" s="74">
        <f ca="1">IFERROR(__xludf.DUMMYFUNCTION("""COMPUTED_VALUE"""),35)</f>
        <v>35</v>
      </c>
    </row>
    <row r="62" spans="2:9" ht="27" customHeight="1">
      <c r="B62" s="73" t="str">
        <f ca="1">IFERROR(__xludf.DUMMYFUNCTION("""COMPUTED_VALUE"""),"COMPLEJO B 10ML")</f>
        <v>COMPLEJO B 10ML</v>
      </c>
      <c r="C62" s="73" t="str">
        <f ca="1">IFERROR(__xludf.DUMMYFUNCTION("""COMPUTED_VALUE"""),"SOLUCIÒN INYECTABLE")</f>
        <v>SOLUCIÒN INYECTABLE</v>
      </c>
      <c r="D62" s="73" t="str">
        <f ca="1">IFERROR(__xludf.DUMMYFUNCTION("""COMPUTED_VALUE"""),"COMPLEJO B")</f>
        <v>COMPLEJO B</v>
      </c>
      <c r="E62" s="73" t="str">
        <f ca="1">IFERROR(__xludf.DUMMYFUNCTION("""COMPUTED_VALUE"""),"VIJOSA")</f>
        <v>VIJOSA</v>
      </c>
      <c r="F62" s="75">
        <f ca="1">IFERROR(__xludf.DUMMYFUNCTION("""COMPUTED_VALUE"""),45927)</f>
        <v>45927</v>
      </c>
      <c r="G62" s="74">
        <f ca="1">IFERROR(__xludf.DUMMYFUNCTION("""COMPUTED_VALUE"""),9.99)</f>
        <v>9.99</v>
      </c>
      <c r="H62" s="74">
        <f ca="1">IFERROR(__xludf.DUMMYFUNCTION("""COMPUTED_VALUE"""),13.986)</f>
        <v>13.986000000000001</v>
      </c>
      <c r="I62" s="74">
        <f ca="1">IFERROR(__xludf.DUMMYFUNCTION("""COMPUTED_VALUE"""),30)</f>
        <v>30</v>
      </c>
    </row>
    <row r="63" spans="2:9" ht="27" customHeight="1">
      <c r="B63" s="73" t="str">
        <f ca="1">IFERROR(__xludf.DUMMYFUNCTION("""COMPUTED_VALUE"""),"CRONEX-FEM")</f>
        <v>CRONEX-FEM</v>
      </c>
      <c r="C63" s="73" t="str">
        <f ca="1">IFERROR(__xludf.DUMMYFUNCTION("""COMPUTED_VALUE"""),"CAJA 60 CAPSULAS")</f>
        <v>CAJA 60 CAPSULAS</v>
      </c>
      <c r="D63" s="73" t="str">
        <f ca="1">IFERROR(__xludf.DUMMYFUNCTION("""COMPUTED_VALUE"""),"ISOFLAVONAS/VITAMINA E")</f>
        <v>ISOFLAVONAS/VITAMINA E</v>
      </c>
      <c r="E63" s="73" t="str">
        <f ca="1">IFERROR(__xludf.DUMMYFUNCTION("""COMPUTED_VALUE"""),"WINZZER")</f>
        <v>WINZZER</v>
      </c>
      <c r="F63" s="75">
        <f ca="1">IFERROR(__xludf.DUMMYFUNCTION("""COMPUTED_VALUE"""),45743)</f>
        <v>45743</v>
      </c>
      <c r="G63" s="74">
        <f ca="1">IFERROR(__xludf.DUMMYFUNCTION("""COMPUTED_VALUE"""),144)</f>
        <v>144</v>
      </c>
      <c r="H63" s="74">
        <f ca="1">IFERROR(__xludf.DUMMYFUNCTION("""COMPUTED_VALUE"""),201.6)</f>
        <v>201.6</v>
      </c>
      <c r="I63" s="74">
        <f ca="1">IFERROR(__xludf.DUMMYFUNCTION("""COMPUTED_VALUE"""),205)</f>
        <v>205</v>
      </c>
    </row>
    <row r="64" spans="2:9" ht="27" customHeight="1">
      <c r="B64" s="73" t="str">
        <f ca="1">IFERROR(__xludf.DUMMYFUNCTION("""COMPUTED_VALUE"""),"CRONEX-GEL")</f>
        <v>CRONEX-GEL</v>
      </c>
      <c r="C64" s="73" t="str">
        <f ca="1">IFERROR(__xludf.DUMMYFUNCTION("""COMPUTED_VALUE"""),"TUBO 60 GRAMOS")</f>
        <v>TUBO 60 GRAMOS</v>
      </c>
      <c r="D64" s="73" t="str">
        <f ca="1">IFERROR(__xludf.DUMMYFUNCTION("""COMPUTED_VALUE"""),"HIDRATANTE ÍNTIMO")</f>
        <v>HIDRATANTE ÍNTIMO</v>
      </c>
      <c r="E64" s="73" t="str">
        <f ca="1">IFERROR(__xludf.DUMMYFUNCTION("""COMPUTED_VALUE"""),"WINZZER")</f>
        <v>WINZZER</v>
      </c>
      <c r="F64" s="75">
        <f ca="1">IFERROR(__xludf.DUMMYFUNCTION("""COMPUTED_VALUE"""),45987)</f>
        <v>45987</v>
      </c>
      <c r="G64" s="74">
        <f ca="1">IFERROR(__xludf.DUMMYFUNCTION("""COMPUTED_VALUE"""),64.29)</f>
        <v>64.290000000000006</v>
      </c>
      <c r="H64" s="74">
        <f ca="1">IFERROR(__xludf.DUMMYFUNCTION("""COMPUTED_VALUE"""),90.006)</f>
        <v>90.006</v>
      </c>
      <c r="I64" s="74">
        <f ca="1">IFERROR(__xludf.DUMMYFUNCTION("""COMPUTED_VALUE"""),90)</f>
        <v>90</v>
      </c>
    </row>
    <row r="65" spans="2:9" ht="27" customHeight="1">
      <c r="B65" s="73" t="str">
        <f ca="1">IFERROR(__xludf.DUMMYFUNCTION("""COMPUTED_VALUE"""),"CROSBA")</f>
        <v>CROSBA</v>
      </c>
      <c r="C65" s="73" t="str">
        <f ca="1">IFERROR(__xludf.DUMMYFUNCTION("""COMPUTED_VALUE"""),"CAJA 6 SOBRES")</f>
        <v>CAJA 6 SOBRES</v>
      </c>
      <c r="D65" s="73" t="str">
        <f ca="1">IFERROR(__xludf.DUMMYFUNCTION("""COMPUTED_VALUE"""),"CROSPOVIDONA")</f>
        <v>CROSPOVIDONA</v>
      </c>
      <c r="E65" s="73" t="str">
        <f ca="1">IFERROR(__xludf.DUMMYFUNCTION("""COMPUTED_VALUE"""),"BAGÓ")</f>
        <v>BAGÓ</v>
      </c>
      <c r="F65" s="75">
        <f ca="1">IFERROR(__xludf.DUMMYFUNCTION("""COMPUTED_VALUE"""),46017)</f>
        <v>46017</v>
      </c>
      <c r="G65" s="74">
        <f ca="1">IFERROR(__xludf.DUMMYFUNCTION("""COMPUTED_VALUE"""),67.16)</f>
        <v>67.16</v>
      </c>
      <c r="H65" s="74">
        <f ca="1">IFERROR(__xludf.DUMMYFUNCTION("""COMPUTED_VALUE"""),94.024)</f>
        <v>94.024000000000001</v>
      </c>
      <c r="I65" s="74">
        <f ca="1">IFERROR(__xludf.DUMMYFUNCTION("""COMPUTED_VALUE"""),95)</f>
        <v>95</v>
      </c>
    </row>
    <row r="66" spans="2:9" ht="27" customHeight="1">
      <c r="B66" s="73" t="str">
        <f ca="1">IFERROR(__xludf.DUMMYFUNCTION("""COMPUTED_VALUE"""),"CYFLONDEX")</f>
        <v>CYFLONDEX</v>
      </c>
      <c r="C66" s="73" t="str">
        <f ca="1">IFERROR(__xludf.DUMMYFUNCTION("""COMPUTED_VALUE"""),"GOTAS")</f>
        <v>GOTAS</v>
      </c>
      <c r="D66" s="73" t="str">
        <f ca="1">IFERROR(__xludf.DUMMYFUNCTION("""COMPUTED_VALUE"""),"CIFLODEX")</f>
        <v>CIFLODEX</v>
      </c>
      <c r="E66" s="73" t="str">
        <f ca="1">IFERROR(__xludf.DUMMYFUNCTION("""COMPUTED_VALUE"""),"OFTISOL")</f>
        <v>OFTISOL</v>
      </c>
      <c r="F66" s="75">
        <f ca="1">IFERROR(__xludf.DUMMYFUNCTION("""COMPUTED_VALUE"""),45896)</f>
        <v>45896</v>
      </c>
      <c r="G66" s="74">
        <f ca="1">IFERROR(__xludf.DUMMYFUNCTION("""COMPUTED_VALUE"""),152.02)</f>
        <v>152.02000000000001</v>
      </c>
      <c r="H66" s="74">
        <f ca="1">IFERROR(__xludf.DUMMYFUNCTION("""COMPUTED_VALUE"""),212.828)</f>
        <v>212.828</v>
      </c>
      <c r="I66" s="74">
        <f ca="1">IFERROR(__xludf.DUMMYFUNCTION("""COMPUTED_VALUE"""),215)</f>
        <v>215</v>
      </c>
    </row>
    <row r="67" spans="2:9" ht="27" customHeight="1">
      <c r="B67" s="73" t="str">
        <f ca="1">IFERROR(__xludf.DUMMYFUNCTION("""COMPUTED_VALUE"""),"CYSTONE")</f>
        <v>CYSTONE</v>
      </c>
      <c r="C67" s="73" t="str">
        <f ca="1">IFERROR(__xludf.DUMMYFUNCTION("""COMPUTED_VALUE"""),"FRASCO 100 TABLETAS")</f>
        <v>FRASCO 100 TABLETAS</v>
      </c>
      <c r="D67" s="73" t="str">
        <f ca="1">IFERROR(__xludf.DUMMYFUNCTION("""COMPUTED_VALUE"""),"tartrazina")</f>
        <v>tartrazina</v>
      </c>
      <c r="E67" s="73" t="str">
        <f ca="1">IFERROR(__xludf.DUMMYFUNCTION("""COMPUTED_VALUE"""),"HIMALAYA")</f>
        <v>HIMALAYA</v>
      </c>
      <c r="F67" s="75">
        <f ca="1">IFERROR(__xludf.DUMMYFUNCTION("""COMPUTED_VALUE"""),45715)</f>
        <v>45715</v>
      </c>
      <c r="G67" s="74">
        <f ca="1">IFERROR(__xludf.DUMMYFUNCTION("""COMPUTED_VALUE"""),135)</f>
        <v>135</v>
      </c>
      <c r="H67" s="74">
        <f ca="1">IFERROR(__xludf.DUMMYFUNCTION("""COMPUTED_VALUE"""),189)</f>
        <v>189</v>
      </c>
      <c r="I67" s="74">
        <f ca="1">IFERROR(__xludf.DUMMYFUNCTION("""COMPUTED_VALUE"""),190)</f>
        <v>190</v>
      </c>
    </row>
    <row r="68" spans="2:9" ht="27" customHeight="1">
      <c r="B68" s="73" t="str">
        <f ca="1">IFERROR(__xludf.DUMMYFUNCTION("""COMPUTED_VALUE"""),"CYSTONE 200ML.")</f>
        <v>CYSTONE 200ML.</v>
      </c>
      <c r="C68" s="73" t="str">
        <f ca="1">IFERROR(__xludf.DUMMYFUNCTION("""COMPUTED_VALUE"""),"SUSPENCIÒN")</f>
        <v>SUSPENCIÒN</v>
      </c>
      <c r="D68" s="73" t="str">
        <f ca="1">IFERROR(__xludf.DUMMYFUNCTION("""COMPUTED_VALUE"""),"tartrazina")</f>
        <v>tartrazina</v>
      </c>
      <c r="E68" s="73" t="str">
        <f ca="1">IFERROR(__xludf.DUMMYFUNCTION("""COMPUTED_VALUE"""),"HIMALAYA")</f>
        <v>HIMALAYA</v>
      </c>
      <c r="F68" s="75">
        <f ca="1">IFERROR(__xludf.DUMMYFUNCTION("""COMPUTED_VALUE"""),45926)</f>
        <v>45926</v>
      </c>
      <c r="G68" s="74">
        <f ca="1">IFERROR(__xludf.DUMMYFUNCTION("""COMPUTED_VALUE"""),115.92)</f>
        <v>115.92</v>
      </c>
      <c r="H68" s="74">
        <f ca="1">IFERROR(__xludf.DUMMYFUNCTION("""COMPUTED_VALUE"""),162.288)</f>
        <v>162.28800000000001</v>
      </c>
      <c r="I68" s="74">
        <f ca="1">IFERROR(__xludf.DUMMYFUNCTION("""COMPUTED_VALUE"""),165)</f>
        <v>165</v>
      </c>
    </row>
    <row r="69" spans="2:9" ht="27" customHeight="1">
      <c r="B69" s="73" t="str">
        <f ca="1">IFERROR(__xludf.DUMMYFUNCTION("""COMPUTED_VALUE"""),"DANSYL")</f>
        <v>DANSYL</v>
      </c>
      <c r="C69" s="73" t="str">
        <f ca="1">IFERROR(__xludf.DUMMYFUNCTION("""COMPUTED_VALUE"""),"CAJA 20 TABLETAS")</f>
        <v>CAJA 20 TABLETAS</v>
      </c>
      <c r="D69" s="73" t="str">
        <f ca="1">IFERROR(__xludf.DUMMYFUNCTION("""COMPUTED_VALUE"""),"AMIDOSIDINA 250MG")</f>
        <v>AMIDOSIDINA 250MG</v>
      </c>
      <c r="E69" s="73" t="str">
        <f ca="1">IFERROR(__xludf.DUMMYFUNCTION("""COMPUTED_VALUE"""),"INFASA")</f>
        <v>INFASA</v>
      </c>
      <c r="F69" s="75">
        <f ca="1">IFERROR(__xludf.DUMMYFUNCTION("""COMPUTED_VALUE"""),45834)</f>
        <v>45834</v>
      </c>
      <c r="G69" s="74">
        <f ca="1">IFERROR(__xludf.DUMMYFUNCTION("""COMPUTED_VALUE"""),123.04)</f>
        <v>123.04</v>
      </c>
      <c r="H69" s="74">
        <f ca="1">IFERROR(__xludf.DUMMYFUNCTION("""COMPUTED_VALUE"""),172.256)</f>
        <v>172.256</v>
      </c>
      <c r="I69" s="74">
        <f ca="1">IFERROR(__xludf.DUMMYFUNCTION("""COMPUTED_VALUE"""),175)</f>
        <v>175</v>
      </c>
    </row>
    <row r="70" spans="2:9" ht="27" customHeight="1">
      <c r="B70" s="73" t="str">
        <f ca="1">IFERROR(__xludf.DUMMYFUNCTION("""COMPUTED_VALUE"""),"DANSYL")</f>
        <v>DANSYL</v>
      </c>
      <c r="C70" s="73" t="str">
        <f ca="1">IFERROR(__xludf.DUMMYFUNCTION("""COMPUTED_VALUE"""),"FRASCO 60 ML")</f>
        <v>FRASCO 60 ML</v>
      </c>
      <c r="D70" s="73" t="str">
        <f ca="1">IFERROR(__xludf.DUMMYFUNCTION("""COMPUTED_VALUE"""),"AMIDOSIDINA 125MG/5ML")</f>
        <v>AMIDOSIDINA 125MG/5ML</v>
      </c>
      <c r="E70" s="73" t="str">
        <f ca="1">IFERROR(__xludf.DUMMYFUNCTION("""COMPUTED_VALUE"""),"INFASA")</f>
        <v>INFASA</v>
      </c>
      <c r="F70" s="75">
        <f ca="1">IFERROR(__xludf.DUMMYFUNCTION("""COMPUTED_VALUE"""),45864)</f>
        <v>45864</v>
      </c>
      <c r="G70" s="74">
        <f ca="1">IFERROR(__xludf.DUMMYFUNCTION("""COMPUTED_VALUE"""),88.2)</f>
        <v>88.2</v>
      </c>
      <c r="H70" s="74">
        <f ca="1">IFERROR(__xludf.DUMMYFUNCTION("""COMPUTED_VALUE"""),123.48)</f>
        <v>123.48</v>
      </c>
      <c r="I70" s="74">
        <f ca="1">IFERROR(__xludf.DUMMYFUNCTION("""COMPUTED_VALUE"""),125)</f>
        <v>125</v>
      </c>
    </row>
    <row r="71" spans="2:9" ht="27" customHeight="1">
      <c r="B71" s="73" t="str">
        <f ca="1">IFERROR(__xludf.DUMMYFUNCTION("""COMPUTED_VALUE"""),"DEFLARIN 30 MG.")</f>
        <v>DEFLARIN 30 MG.</v>
      </c>
      <c r="C71" s="73" t="str">
        <f ca="1">IFERROR(__xludf.DUMMYFUNCTION("""COMPUTED_VALUE"""),"CAJA 10 TAB.")</f>
        <v>CAJA 10 TAB.</v>
      </c>
      <c r="D71" s="73" t="str">
        <f ca="1">IFERROR(__xludf.DUMMYFUNCTION("""COMPUTED_VALUE"""),"DEFLEZACORT 30MG")</f>
        <v>DEFLEZACORT 30MG</v>
      </c>
      <c r="E71" s="73" t="str">
        <f ca="1">IFERROR(__xludf.DUMMYFUNCTION("""COMPUTED_VALUE"""),"EXELTIS")</f>
        <v>EXELTIS</v>
      </c>
      <c r="F71" s="75">
        <f ca="1">IFERROR(__xludf.DUMMYFUNCTION("""COMPUTED_VALUE"""),45774)</f>
        <v>45774</v>
      </c>
      <c r="G71" s="74">
        <f ca="1">IFERROR(__xludf.DUMMYFUNCTION("""COMPUTED_VALUE"""),217.58)</f>
        <v>217.58</v>
      </c>
      <c r="H71" s="74">
        <f ca="1">IFERROR(__xludf.DUMMYFUNCTION("""COMPUTED_VALUE"""),304.612)</f>
        <v>304.61200000000002</v>
      </c>
      <c r="I71" s="74">
        <f ca="1">IFERROR(__xludf.DUMMYFUNCTION("""COMPUTED_VALUE"""),305)</f>
        <v>305</v>
      </c>
    </row>
    <row r="72" spans="2:9" ht="27" customHeight="1">
      <c r="B72" s="73" t="str">
        <f ca="1">IFERROR(__xludf.DUMMYFUNCTION("""COMPUTED_VALUE"""),"DEXAMETAZONA")</f>
        <v>DEXAMETAZONA</v>
      </c>
      <c r="C72" s="73" t="str">
        <f ca="1">IFERROR(__xludf.DUMMYFUNCTION("""COMPUTED_VALUE"""),"SOLUCIÒN INYECTABLE 8MG/2ML")</f>
        <v>SOLUCIÒN INYECTABLE 8MG/2ML</v>
      </c>
      <c r="D72" s="73" t="str">
        <f ca="1">IFERROR(__xludf.DUMMYFUNCTION("""COMPUTED_VALUE"""),"DEXAMETAZONA")</f>
        <v>DEXAMETAZONA</v>
      </c>
      <c r="E72" s="73" t="str">
        <f ca="1">IFERROR(__xludf.DUMMYFUNCTION("""COMPUTED_VALUE"""),"VITALIS/DISSA")</f>
        <v>VITALIS/DISSA</v>
      </c>
      <c r="F72" s="75">
        <f ca="1">IFERROR(__xludf.DUMMYFUNCTION("""COMPUTED_VALUE"""),45804)</f>
        <v>45804</v>
      </c>
      <c r="G72" s="74">
        <f ca="1">IFERROR(__xludf.DUMMYFUNCTION("""COMPUTED_VALUE"""),2.28)</f>
        <v>2.2799999999999998</v>
      </c>
      <c r="H72" s="74">
        <f ca="1">IFERROR(__xludf.DUMMYFUNCTION("""COMPUTED_VALUE"""),3.19199999999999)</f>
        <v>3.19199999999999</v>
      </c>
      <c r="I72" s="74">
        <f ca="1">IFERROR(__xludf.DUMMYFUNCTION("""COMPUTED_VALUE"""),30)</f>
        <v>30</v>
      </c>
    </row>
    <row r="73" spans="2:9" ht="27" customHeight="1">
      <c r="B73" s="73" t="str">
        <f ca="1">IFERROR(__xludf.DUMMYFUNCTION("""COMPUTED_VALUE"""),"DIABENOR")</f>
        <v>DIABENOR</v>
      </c>
      <c r="C73" s="73" t="str">
        <f ca="1">IFERROR(__xludf.DUMMYFUNCTION("""COMPUTED_VALUE"""),"CAJA 120 CAPSULAS")</f>
        <v>CAJA 120 CAPSULAS</v>
      </c>
      <c r="D73" s="73" t="str">
        <f ca="1">IFERROR(__xludf.DUMMYFUNCTION("""COMPUTED_VALUE"""),"DELFINIDINA,GLICINA DE COBRE, ACIDO ALFALINOLÈNICO, COLINA, ACIDO ALFALIPOICO")</f>
        <v>DELFINIDINA,GLICINA DE COBRE, ACIDO ALFALINOLÈNICO, COLINA, ACIDO ALFALIPOICO</v>
      </c>
      <c r="E73" s="73" t="str">
        <f ca="1">IFERROR(__xludf.DUMMYFUNCTION("""COMPUTED_VALUE"""),"PHARMALAT")</f>
        <v>PHARMALAT</v>
      </c>
      <c r="F73" s="75">
        <f ca="1">IFERROR(__xludf.DUMMYFUNCTION("""COMPUTED_VALUE"""),45715)</f>
        <v>45715</v>
      </c>
      <c r="G73" s="74">
        <f ca="1">IFERROR(__xludf.DUMMYFUNCTION("""COMPUTED_VALUE"""),250)</f>
        <v>250</v>
      </c>
      <c r="H73" s="74">
        <f ca="1">IFERROR(__xludf.DUMMYFUNCTION("""COMPUTED_VALUE"""),350)</f>
        <v>350</v>
      </c>
      <c r="I73" s="74">
        <f ca="1">IFERROR(__xludf.DUMMYFUNCTION("""COMPUTED_VALUE"""),350)</f>
        <v>350</v>
      </c>
    </row>
    <row r="74" spans="2:9" ht="27" customHeight="1">
      <c r="B74" s="73" t="str">
        <f ca="1">IFERROR(__xludf.DUMMYFUNCTION("""COMPUTED_VALUE"""),"DIAZEPAN")</f>
        <v>DIAZEPAN</v>
      </c>
      <c r="C74" s="73" t="str">
        <f ca="1">IFERROR(__xludf.DUMMYFUNCTION("""COMPUTED_VALUE"""),"SOLUCIÒN INYECTABLE 2ML")</f>
        <v>SOLUCIÒN INYECTABLE 2ML</v>
      </c>
      <c r="D74" s="73" t="str">
        <f ca="1">IFERROR(__xludf.DUMMYFUNCTION("""COMPUTED_VALUE"""),"DIAZEPAN")</f>
        <v>DIAZEPAN</v>
      </c>
      <c r="E74" s="73" t="str">
        <f ca="1">IFERROR(__xludf.DUMMYFUNCTION("""COMPUTED_VALUE"""),"BONIN")</f>
        <v>BONIN</v>
      </c>
      <c r="F74" s="75">
        <f ca="1">IFERROR(__xludf.DUMMYFUNCTION("""COMPUTED_VALUE"""),45927)</f>
        <v>45927</v>
      </c>
      <c r="G74" s="74">
        <f ca="1">IFERROR(__xludf.DUMMYFUNCTION("""COMPUTED_VALUE"""),6)</f>
        <v>6</v>
      </c>
      <c r="H74" s="74">
        <f ca="1">IFERROR(__xludf.DUMMYFUNCTION("""COMPUTED_VALUE"""),8.4)</f>
        <v>8.4</v>
      </c>
      <c r="I74" s="74">
        <f ca="1">IFERROR(__xludf.DUMMYFUNCTION("""COMPUTED_VALUE"""),50)</f>
        <v>50</v>
      </c>
    </row>
    <row r="75" spans="2:9" ht="27" customHeight="1">
      <c r="B75" s="73" t="str">
        <f ca="1">IFERROR(__xludf.DUMMYFUNCTION("""COMPUTED_VALUE"""),"DICABIL")</f>
        <v>DICABIL</v>
      </c>
      <c r="C75" s="73" t="str">
        <f ca="1">IFERROR(__xludf.DUMMYFUNCTION("""COMPUTED_VALUE"""),"SUSPENSION 50ML")</f>
        <v>SUSPENSION 50ML</v>
      </c>
      <c r="D75" s="73" t="str">
        <f ca="1">IFERROR(__xludf.DUMMYFUNCTION("""COMPUTED_VALUE"""),"ACIDO URSODESOXICOLICO")</f>
        <v>ACIDO URSODESOXICOLICO</v>
      </c>
      <c r="E75" s="73" t="str">
        <f ca="1">IFERROR(__xludf.DUMMYFUNCTION("""COMPUTED_VALUE"""),"PHARMOZ")</f>
        <v>PHARMOZ</v>
      </c>
      <c r="F75" s="75">
        <f ca="1">IFERROR(__xludf.DUMMYFUNCTION("""COMPUTED_VALUE"""),45864)</f>
        <v>45864</v>
      </c>
      <c r="G75" s="74">
        <f ca="1">IFERROR(__xludf.DUMMYFUNCTION("""COMPUTED_VALUE"""),60.86)</f>
        <v>60.86</v>
      </c>
      <c r="H75" s="74">
        <f ca="1">IFERROR(__xludf.DUMMYFUNCTION("""COMPUTED_VALUE"""),85.204)</f>
        <v>85.203999999999994</v>
      </c>
      <c r="I75" s="74">
        <f ca="1">IFERROR(__xludf.DUMMYFUNCTION("""COMPUTED_VALUE"""),100)</f>
        <v>100</v>
      </c>
    </row>
    <row r="76" spans="2:9" ht="27" customHeight="1">
      <c r="B76" s="73" t="str">
        <f ca="1">IFERROR(__xludf.DUMMYFUNCTION("""COMPUTED_VALUE"""),"DICABIL 300MG")</f>
        <v>DICABIL 300MG</v>
      </c>
      <c r="C76" s="73" t="str">
        <f ca="1">IFERROR(__xludf.DUMMYFUNCTION("""COMPUTED_VALUE"""),"CAJA 30 TABLETAS")</f>
        <v>CAJA 30 TABLETAS</v>
      </c>
      <c r="D76" s="73" t="str">
        <f ca="1">IFERROR(__xludf.DUMMYFUNCTION("""COMPUTED_VALUE"""),"ACIDO URSODESOXICOLICO")</f>
        <v>ACIDO URSODESOXICOLICO</v>
      </c>
      <c r="E76" s="73" t="str">
        <f ca="1">IFERROR(__xludf.DUMMYFUNCTION("""COMPUTED_VALUE"""),"PHARMOZ")</f>
        <v>PHARMOZ</v>
      </c>
      <c r="F76" s="75">
        <f ca="1">IFERROR(__xludf.DUMMYFUNCTION("""COMPUTED_VALUE"""),45773)</f>
        <v>45773</v>
      </c>
      <c r="G76" s="74">
        <f ca="1">IFERROR(__xludf.DUMMYFUNCTION("""COMPUTED_VALUE"""),118.6)</f>
        <v>118.6</v>
      </c>
      <c r="H76" s="74">
        <f ca="1">IFERROR(__xludf.DUMMYFUNCTION("""COMPUTED_VALUE"""),166.04)</f>
        <v>166.04</v>
      </c>
      <c r="I76" s="74">
        <f ca="1">IFERROR(__xludf.DUMMYFUNCTION("""COMPUTED_VALUE"""),180)</f>
        <v>180</v>
      </c>
    </row>
    <row r="77" spans="2:9" ht="27" customHeight="1">
      <c r="B77" s="73" t="str">
        <f ca="1">IFERROR(__xludf.DUMMYFUNCTION("""COMPUTED_VALUE"""),"DICLOFENACO")</f>
        <v>DICLOFENACO</v>
      </c>
      <c r="C77" s="73" t="str">
        <f ca="1">IFERROR(__xludf.DUMMYFUNCTION("""COMPUTED_VALUE"""),"SOLUCIÒN INYECTABLE 3ML")</f>
        <v>SOLUCIÒN INYECTABLE 3ML</v>
      </c>
      <c r="D77" s="73" t="str">
        <f ca="1">IFERROR(__xludf.DUMMYFUNCTION("""COMPUTED_VALUE"""),"DICLOFENACO")</f>
        <v>DICLOFENACO</v>
      </c>
      <c r="E77" s="73" t="str">
        <f ca="1">IFERROR(__xludf.DUMMYFUNCTION("""COMPUTED_VALUE"""),"PROMEGAL")</f>
        <v>PROMEGAL</v>
      </c>
      <c r="F77" s="75">
        <f ca="1">IFERROR(__xludf.DUMMYFUNCTION("""COMPUTED_VALUE"""),45864)</f>
        <v>45864</v>
      </c>
      <c r="G77" s="74">
        <f ca="1">IFERROR(__xludf.DUMMYFUNCTION("""COMPUTED_VALUE"""),1.6)</f>
        <v>1.6</v>
      </c>
      <c r="H77" s="74">
        <f ca="1">IFERROR(__xludf.DUMMYFUNCTION("""COMPUTED_VALUE"""),2.24)</f>
        <v>2.2400000000000002</v>
      </c>
      <c r="I77" s="74">
        <f ca="1">IFERROR(__xludf.DUMMYFUNCTION("""COMPUTED_VALUE"""),20)</f>
        <v>20</v>
      </c>
    </row>
    <row r="78" spans="2:9" ht="27" customHeight="1">
      <c r="B78" s="73" t="str">
        <f ca="1">IFERROR(__xludf.DUMMYFUNCTION("""COMPUTED_VALUE"""),"DICYNONE")</f>
        <v>DICYNONE</v>
      </c>
      <c r="C78" s="73" t="str">
        <f ca="1">IFERROR(__xludf.DUMMYFUNCTION("""COMPUTED_VALUE"""),"SOLUCIÒN INYECTABLE 2ML")</f>
        <v>SOLUCIÒN INYECTABLE 2ML</v>
      </c>
      <c r="D78" s="73" t="str">
        <f ca="1">IFERROR(__xludf.DUMMYFUNCTION("""COMPUTED_VALUE"""),"DICYNONE")</f>
        <v>DICYNONE</v>
      </c>
      <c r="E78" s="73" t="str">
        <f ca="1">IFERROR(__xludf.DUMMYFUNCTION("""COMPUTED_VALUE"""),"OM PHARMA")</f>
        <v>OM PHARMA</v>
      </c>
      <c r="F78" s="75">
        <f ca="1">IFERROR(__xludf.DUMMYFUNCTION("""COMPUTED_VALUE"""),46018)</f>
        <v>46018</v>
      </c>
      <c r="G78" s="74">
        <f ca="1">IFERROR(__xludf.DUMMYFUNCTION("""COMPUTED_VALUE"""),18.7)</f>
        <v>18.7</v>
      </c>
      <c r="H78" s="74">
        <f ca="1">IFERROR(__xludf.DUMMYFUNCTION("""COMPUTED_VALUE"""),26.18)</f>
        <v>26.18</v>
      </c>
      <c r="I78" s="74">
        <f ca="1">IFERROR(__xludf.DUMMYFUNCTION("""COMPUTED_VALUE"""),30)</f>
        <v>30</v>
      </c>
    </row>
    <row r="79" spans="2:9" ht="27" customHeight="1">
      <c r="B79" s="73" t="str">
        <f ca="1">IFERROR(__xludf.DUMMYFUNCTION("""COMPUTED_VALUE"""),"DICYNONE 500")</f>
        <v>DICYNONE 500</v>
      </c>
      <c r="C79" s="73" t="str">
        <f ca="1">IFERROR(__xludf.DUMMYFUNCTION("""COMPUTED_VALUE"""),"CAJA 20 CAPSULAS")</f>
        <v>CAJA 20 CAPSULAS</v>
      </c>
      <c r="D79" s="73" t="str">
        <f ca="1">IFERROR(__xludf.DUMMYFUNCTION("""COMPUTED_VALUE"""),"ETAMSILATO 500MG")</f>
        <v>ETAMSILATO 500MG</v>
      </c>
      <c r="E79" s="73" t="str">
        <f ca="1">IFERROR(__xludf.DUMMYFUNCTION("""COMPUTED_VALUE"""),"OM")</f>
        <v>OM</v>
      </c>
      <c r="F79" s="75">
        <f ca="1">IFERROR(__xludf.DUMMYFUNCTION("""COMPUTED_VALUE"""),45774)</f>
        <v>45774</v>
      </c>
      <c r="G79" s="74">
        <f ca="1">IFERROR(__xludf.DUMMYFUNCTION("""COMPUTED_VALUE"""),350.37)</f>
        <v>350.37</v>
      </c>
      <c r="H79" s="74">
        <f ca="1">IFERROR(__xludf.DUMMYFUNCTION("""COMPUTED_VALUE"""),490.518)</f>
        <v>490.51799999999997</v>
      </c>
      <c r="I79" s="74">
        <f ca="1">IFERROR(__xludf.DUMMYFUNCTION("""COMPUTED_VALUE"""),490)</f>
        <v>490</v>
      </c>
    </row>
    <row r="80" spans="2:9" ht="27" customHeight="1">
      <c r="B80" s="73" t="str">
        <f ca="1">IFERROR(__xludf.DUMMYFUNCTION("""COMPUTED_VALUE"""),"DIOSMIL")</f>
        <v>DIOSMIL</v>
      </c>
      <c r="C80" s="73" t="str">
        <f ca="1">IFERROR(__xludf.DUMMYFUNCTION("""COMPUTED_VALUE"""),"CAJA 30 COMPRIMIDOS")</f>
        <v>CAJA 30 COMPRIMIDOS</v>
      </c>
      <c r="D80" s="73" t="str">
        <f ca="1">IFERROR(__xludf.DUMMYFUNCTION("""COMPUTED_VALUE"""),"DIOSMINA MICRONIZADA/HESPERIDINA 500MG")</f>
        <v>DIOSMINA MICRONIZADA/HESPERIDINA 500MG</v>
      </c>
      <c r="E80" s="73" t="str">
        <f ca="1">IFERROR(__xludf.DUMMYFUNCTION("""COMPUTED_VALUE"""),"GLOBAL FARMA")</f>
        <v>GLOBAL FARMA</v>
      </c>
      <c r="F80" s="75">
        <f ca="1">IFERROR(__xludf.DUMMYFUNCTION("""COMPUTED_VALUE"""),45804)</f>
        <v>45804</v>
      </c>
      <c r="G80" s="74">
        <f ca="1">IFERROR(__xludf.DUMMYFUNCTION("""COMPUTED_VALUE"""),115.93)</f>
        <v>115.93</v>
      </c>
      <c r="H80" s="74">
        <f ca="1">IFERROR(__xludf.DUMMYFUNCTION("""COMPUTED_VALUE"""),162.302)</f>
        <v>162.30199999999999</v>
      </c>
      <c r="I80" s="74">
        <f ca="1">IFERROR(__xludf.DUMMYFUNCTION("""COMPUTED_VALUE"""),165)</f>
        <v>165</v>
      </c>
    </row>
    <row r="81" spans="2:9" ht="27" customHeight="1">
      <c r="B81" s="73" t="str">
        <f ca="1">IFERROR(__xludf.DUMMYFUNCTION("""COMPUTED_VALUE"""),"DIPIRONA")</f>
        <v>DIPIRONA</v>
      </c>
      <c r="C81" s="73" t="str">
        <f ca="1">IFERROR(__xludf.DUMMYFUNCTION("""COMPUTED_VALUE"""),"SOLUCIÒN INYECTABLE 2ML")</f>
        <v>SOLUCIÒN INYECTABLE 2ML</v>
      </c>
      <c r="D81" s="73" t="str">
        <f ca="1">IFERROR(__xludf.DUMMYFUNCTION("""COMPUTED_VALUE"""),"DIPIRONA")</f>
        <v>DIPIRONA</v>
      </c>
      <c r="E81" s="73" t="str">
        <f ca="1">IFERROR(__xludf.DUMMYFUNCTION("""COMPUTED_VALUE"""),"BONIN")</f>
        <v>BONIN</v>
      </c>
      <c r="F81" s="75">
        <f ca="1">IFERROR(__xludf.DUMMYFUNCTION("""COMPUTED_VALUE"""),45773)</f>
        <v>45773</v>
      </c>
      <c r="G81" s="74">
        <f ca="1">IFERROR(__xludf.DUMMYFUNCTION("""COMPUTED_VALUE"""),2.85)</f>
        <v>2.85</v>
      </c>
      <c r="H81" s="74">
        <f ca="1">IFERROR(__xludf.DUMMYFUNCTION("""COMPUTED_VALUE"""),3.99)</f>
        <v>3.99</v>
      </c>
      <c r="I81" s="74">
        <f ca="1">IFERROR(__xludf.DUMMYFUNCTION("""COMPUTED_VALUE"""),20)</f>
        <v>20</v>
      </c>
    </row>
    <row r="82" spans="2:9" ht="27" customHeight="1">
      <c r="B82" s="73" t="str">
        <f ca="1">IFERROR(__xludf.DUMMYFUNCTION("""COMPUTED_VALUE"""),"DISLEP")</f>
        <v>DISLEP</v>
      </c>
      <c r="C82" s="73" t="str">
        <f ca="1">IFERROR(__xludf.DUMMYFUNCTION("""COMPUTED_VALUE"""),"GOTAS ORALES")</f>
        <v>GOTAS ORALES</v>
      </c>
      <c r="D82" s="73" t="str">
        <f ca="1">IFERROR(__xludf.DUMMYFUNCTION("""COMPUTED_VALUE"""),"LEVOSULPIRIDE")</f>
        <v>LEVOSULPIRIDE</v>
      </c>
      <c r="E82" s="73" t="str">
        <f ca="1">IFERROR(__xludf.DUMMYFUNCTION("""COMPUTED_VALUE"""),"FERRER")</f>
        <v>FERRER</v>
      </c>
      <c r="F82" s="75">
        <f ca="1">IFERROR(__xludf.DUMMYFUNCTION("""COMPUTED_VALUE"""),45804)</f>
        <v>45804</v>
      </c>
      <c r="G82" s="74">
        <f ca="1">IFERROR(__xludf.DUMMYFUNCTION("""COMPUTED_VALUE"""),145.54)</f>
        <v>145.54</v>
      </c>
      <c r="H82" s="74">
        <f ca="1">IFERROR(__xludf.DUMMYFUNCTION("""COMPUTED_VALUE"""),203.756)</f>
        <v>203.756</v>
      </c>
      <c r="I82" s="74">
        <f ca="1">IFERROR(__xludf.DUMMYFUNCTION("""COMPUTED_VALUE"""),215)</f>
        <v>215</v>
      </c>
    </row>
    <row r="83" spans="2:9" ht="27" customHeight="1">
      <c r="B83" s="73" t="str">
        <f ca="1">IFERROR(__xludf.DUMMYFUNCTION("""COMPUTED_VALUE"""),"DISSUALON PLUS")</f>
        <v>DISSUALON PLUS</v>
      </c>
      <c r="C83" s="73" t="str">
        <f ca="1">IFERROR(__xludf.DUMMYFUNCTION("""COMPUTED_VALUE"""),"CAJA 30 COMPRIMIDOS")</f>
        <v>CAJA 30 COMPRIMIDOS</v>
      </c>
      <c r="D83" s="73" t="str">
        <f ca="1">IFERROR(__xludf.DUMMYFUNCTION("""COMPUTED_VALUE"""),"ATORVASTATINA 20MG/EZETIMIBE 10MG")</f>
        <v>ATORVASTATINA 20MG/EZETIMIBE 10MG</v>
      </c>
      <c r="E83" s="73" t="str">
        <f ca="1">IFERROR(__xludf.DUMMYFUNCTION("""COMPUTED_VALUE"""),"VIZCAINO")</f>
        <v>VIZCAINO</v>
      </c>
      <c r="F83" s="75">
        <f ca="1">IFERROR(__xludf.DUMMYFUNCTION("""COMPUTED_VALUE"""),45775)</f>
        <v>45775</v>
      </c>
      <c r="G83" s="74">
        <f ca="1">IFERROR(__xludf.DUMMYFUNCTION("""COMPUTED_VALUE"""),292.64)</f>
        <v>292.64</v>
      </c>
      <c r="H83" s="74">
        <f ca="1">IFERROR(__xludf.DUMMYFUNCTION("""COMPUTED_VALUE"""),409.695999999999)</f>
        <v>409.695999999999</v>
      </c>
      <c r="I83" s="74">
        <f ca="1">IFERROR(__xludf.DUMMYFUNCTION("""COMPUTED_VALUE"""),410)</f>
        <v>410</v>
      </c>
    </row>
    <row r="84" spans="2:9" ht="27" customHeight="1">
      <c r="B84" s="73" t="str">
        <f ca="1">IFERROR(__xludf.DUMMYFUNCTION("""COMPUTED_VALUE"""),"DIVAX-C 100ML IV")</f>
        <v>DIVAX-C 100ML IV</v>
      </c>
      <c r="C84" s="73" t="str">
        <f ca="1">IFERROR(__xludf.DUMMYFUNCTION("""COMPUTED_VALUE"""),"SOLUCIÒN INYECTABLE")</f>
        <v>SOLUCIÒN INYECTABLE</v>
      </c>
      <c r="D84" s="73" t="str">
        <f ca="1">IFERROR(__xludf.DUMMYFUNCTION("""COMPUTED_VALUE"""),"CIPROFLOXACINA 100ML")</f>
        <v>CIPROFLOXACINA 100ML</v>
      </c>
      <c r="E84" s="73" t="str">
        <f ca="1">IFERROR(__xludf.DUMMYFUNCTION("""COMPUTED_VALUE"""),"FARMEX")</f>
        <v>FARMEX</v>
      </c>
      <c r="F84" s="75">
        <f ca="1">IFERROR(__xludf.DUMMYFUNCTION("""COMPUTED_VALUE"""),45896)</f>
        <v>45896</v>
      </c>
      <c r="G84" s="74">
        <f ca="1">IFERROR(__xludf.DUMMYFUNCTION("""COMPUTED_VALUE"""),30)</f>
        <v>30</v>
      </c>
      <c r="H84" s="74">
        <f ca="1">IFERROR(__xludf.DUMMYFUNCTION("""COMPUTED_VALUE"""),42)</f>
        <v>42</v>
      </c>
      <c r="I84" s="74">
        <f ca="1">IFERROR(__xludf.DUMMYFUNCTION("""COMPUTED_VALUE"""),125)</f>
        <v>125</v>
      </c>
    </row>
    <row r="85" spans="2:9" ht="27" customHeight="1">
      <c r="B85" s="73" t="str">
        <f ca="1">IFERROR(__xludf.DUMMYFUNCTION("""COMPUTED_VALUE"""),"DIXAFER/ HIERRO SACAROSO")</f>
        <v>DIXAFER/ HIERRO SACAROSO</v>
      </c>
      <c r="C85" s="73" t="str">
        <f ca="1">IFERROR(__xludf.DUMMYFUNCTION("""COMPUTED_VALUE"""),"AMPOLLA 5ML")</f>
        <v>AMPOLLA 5ML</v>
      </c>
      <c r="D85" s="73" t="str">
        <f ca="1">IFERROR(__xludf.DUMMYFUNCTION("""COMPUTED_VALUE"""),"HIERRO SACARATO")</f>
        <v>HIERRO SACARATO</v>
      </c>
      <c r="E85" s="73" t="str">
        <f ca="1">IFERROR(__xludf.DUMMYFUNCTION("""COMPUTED_VALUE"""),"VITALIS")</f>
        <v>VITALIS</v>
      </c>
      <c r="F85" s="75">
        <f ca="1">IFERROR(__xludf.DUMMYFUNCTION("""COMPUTED_VALUE"""),45895)</f>
        <v>45895</v>
      </c>
      <c r="G85" s="74">
        <f ca="1">IFERROR(__xludf.DUMMYFUNCTION("""COMPUTED_VALUE"""),27.75)</f>
        <v>27.75</v>
      </c>
      <c r="H85" s="74">
        <f ca="1">IFERROR(__xludf.DUMMYFUNCTION("""COMPUTED_VALUE"""),38.85)</f>
        <v>38.85</v>
      </c>
      <c r="I85" s="74">
        <f ca="1">IFERROR(__xludf.DUMMYFUNCTION("""COMPUTED_VALUE"""),100)</f>
        <v>100</v>
      </c>
    </row>
    <row r="86" spans="2:9" ht="27" customHeight="1">
      <c r="B86" s="73" t="str">
        <f ca="1">IFERROR(__xludf.DUMMYFUNCTION("""COMPUTED_VALUE"""),"DKS")</f>
        <v>DKS</v>
      </c>
      <c r="C86" s="73" t="str">
        <f ca="1">IFERROR(__xludf.DUMMYFUNCTION("""COMPUTED_VALUE"""),"CAJA 15 GELCAPS")</f>
        <v>CAJA 15 GELCAPS</v>
      </c>
      <c r="D86" s="73" t="str">
        <f ca="1">IFERROR(__xludf.DUMMYFUNCTION("""COMPUTED_VALUE"""),"DEXKETOPROFENO 25MG.")</f>
        <v>DEXKETOPROFENO 25MG.</v>
      </c>
      <c r="E86" s="73" t="str">
        <f ca="1">IFERROR(__xludf.DUMMYFUNCTION("""COMPUTED_VALUE"""),"APS")</f>
        <v>APS</v>
      </c>
      <c r="F86" s="75">
        <f ca="1">IFERROR(__xludf.DUMMYFUNCTION("""COMPUTED_VALUE"""),45864)</f>
        <v>45864</v>
      </c>
      <c r="G86" s="74">
        <f ca="1">IFERROR(__xludf.DUMMYFUNCTION("""COMPUTED_VALUE"""),70)</f>
        <v>70</v>
      </c>
      <c r="H86" s="74">
        <f ca="1">IFERROR(__xludf.DUMMYFUNCTION("""COMPUTED_VALUE"""),98)</f>
        <v>98</v>
      </c>
      <c r="I86" s="74">
        <f ca="1">IFERROR(__xludf.DUMMYFUNCTION("""COMPUTED_VALUE"""),100)</f>
        <v>100</v>
      </c>
    </row>
    <row r="87" spans="2:9" ht="27" customHeight="1">
      <c r="B87" s="73" t="str">
        <f ca="1">IFERROR(__xludf.DUMMYFUNCTION("""COMPUTED_VALUE"""),"DOGAMIN")</f>
        <v>DOGAMIN</v>
      </c>
      <c r="C87" s="73" t="str">
        <f ca="1">IFERROR(__xludf.DUMMYFUNCTION("""COMPUTED_VALUE"""),"CAJA 30 COMPRIMIDOS")</f>
        <v>CAJA 30 COMPRIMIDOS</v>
      </c>
      <c r="D87" s="73" t="str">
        <f ca="1">IFERROR(__xludf.DUMMYFUNCTION("""COMPUTED_VALUE"""),"PREGABALINA 150MG")</f>
        <v>PREGABALINA 150MG</v>
      </c>
      <c r="E87" s="73" t="str">
        <f ca="1">IFERROR(__xludf.DUMMYFUNCTION("""COMPUTED_VALUE"""),"VIZCAINO")</f>
        <v>VIZCAINO</v>
      </c>
      <c r="F87" s="75">
        <f ca="1">IFERROR(__xludf.DUMMYFUNCTION("""COMPUTED_VALUE"""),45987)</f>
        <v>45987</v>
      </c>
      <c r="G87" s="74">
        <f ca="1">IFERROR(__xludf.DUMMYFUNCTION("""COMPUTED_VALUE"""),275.06)</f>
        <v>275.06</v>
      </c>
      <c r="H87" s="74">
        <f ca="1">IFERROR(__xludf.DUMMYFUNCTION("""COMPUTED_VALUE"""),385.084)</f>
        <v>385.084</v>
      </c>
      <c r="I87" s="74">
        <f ca="1">IFERROR(__xludf.DUMMYFUNCTION("""COMPUTED_VALUE"""),385)</f>
        <v>385</v>
      </c>
    </row>
    <row r="88" spans="2:9" ht="27" customHeight="1">
      <c r="B88" s="73" t="str">
        <f ca="1">IFERROR(__xludf.DUMMYFUNCTION("""COMPUTED_VALUE"""),"DOLO GLUCOFLEX")</f>
        <v>DOLO GLUCOFLEX</v>
      </c>
      <c r="C88" s="73" t="str">
        <f ca="1">IFERROR(__xludf.DUMMYFUNCTION("""COMPUTED_VALUE"""),"CAJA 15 SOBRES")</f>
        <v>CAJA 15 SOBRES</v>
      </c>
      <c r="D88" s="73" t="str">
        <f ca="1">IFERROR(__xludf.DUMMYFUNCTION("""COMPUTED_VALUE"""),"GLUCOSAMINA SULFATO 1500MG., MELOXICAM 15MG.")</f>
        <v>GLUCOSAMINA SULFATO 1500MG., MELOXICAM 15MG.</v>
      </c>
      <c r="E88" s="73" t="str">
        <f ca="1">IFERROR(__xludf.DUMMYFUNCTION("""COMPUTED_VALUE"""),"INFASA")</f>
        <v>INFASA</v>
      </c>
      <c r="F88" s="75">
        <f ca="1">IFERROR(__xludf.DUMMYFUNCTION("""COMPUTED_VALUE"""),45684)</f>
        <v>45684</v>
      </c>
      <c r="G88" s="74">
        <f ca="1">IFERROR(__xludf.DUMMYFUNCTION("""COMPUTED_VALUE"""),128.58)</f>
        <v>128.58000000000001</v>
      </c>
      <c r="H88" s="74">
        <f ca="1">IFERROR(__xludf.DUMMYFUNCTION("""COMPUTED_VALUE"""),180.012)</f>
        <v>180.012</v>
      </c>
      <c r="I88" s="74">
        <f ca="1">IFERROR(__xludf.DUMMYFUNCTION("""COMPUTED_VALUE"""),180)</f>
        <v>180</v>
      </c>
    </row>
    <row r="89" spans="2:9" ht="27" customHeight="1">
      <c r="B89" s="73" t="str">
        <f ca="1">IFERROR(__xludf.DUMMYFUNCTION("""COMPUTED_VALUE"""),"DOLO-BELCREVIT")</f>
        <v>DOLO-BELCREVIT</v>
      </c>
      <c r="C89" s="73" t="str">
        <f ca="1">IFERROR(__xludf.DUMMYFUNCTION("""COMPUTED_VALUE"""),"SOLUCIÒN INYECTABLE")</f>
        <v>SOLUCIÒN INYECTABLE</v>
      </c>
      <c r="D89" s="73" t="str">
        <f ca="1">IFERROR(__xludf.DUMMYFUNCTION("""COMPUTED_VALUE"""),"VITAMINAS NEUROTROPAS B1, B6, B12 + DICLOFENACO SÒDICO")</f>
        <v>VITAMINAS NEUROTROPAS B1, B6, B12 + DICLOFENACO SÒDICO</v>
      </c>
      <c r="E89" s="73" t="str">
        <f ca="1">IFERROR(__xludf.DUMMYFUNCTION("""COMPUTED_VALUE"""),"BELENPHARM")</f>
        <v>BELENPHARM</v>
      </c>
      <c r="F89" s="75">
        <f ca="1">IFERROR(__xludf.DUMMYFUNCTION("""COMPUTED_VALUE"""),45684)</f>
        <v>45684</v>
      </c>
      <c r="G89" s="74">
        <f ca="1">IFERROR(__xludf.DUMMYFUNCTION("""COMPUTED_VALUE"""),20)</f>
        <v>20</v>
      </c>
      <c r="H89" s="74">
        <f ca="1">IFERROR(__xludf.DUMMYFUNCTION("""COMPUTED_VALUE"""),28)</f>
        <v>28</v>
      </c>
      <c r="I89" s="74">
        <f ca="1">IFERROR(__xludf.DUMMYFUNCTION("""COMPUTED_VALUE"""),35)</f>
        <v>35</v>
      </c>
    </row>
    <row r="90" spans="2:9" ht="27" customHeight="1">
      <c r="B90" s="73" t="str">
        <f ca="1">IFERROR(__xludf.DUMMYFUNCTION("""COMPUTED_VALUE"""),"DOLOFORT")</f>
        <v>DOLOFORT</v>
      </c>
      <c r="C90" s="73" t="str">
        <f ca="1">IFERROR(__xludf.DUMMYFUNCTION("""COMPUTED_VALUE"""),"SOLUCIÒN INYECTABLE 5ML")</f>
        <v>SOLUCIÒN INYECTABLE 5ML</v>
      </c>
      <c r="D90" s="73" t="str">
        <f ca="1">IFERROR(__xludf.DUMMYFUNCTION("""COMPUTED_VALUE"""),"DIPIRONA MAGNÈSICA 2G/5ML")</f>
        <v>DIPIRONA MAGNÈSICA 2G/5ML</v>
      </c>
      <c r="E90" s="73" t="str">
        <f ca="1">IFERROR(__xludf.DUMMYFUNCTION("""COMPUTED_VALUE"""),"UNIPHARM")</f>
        <v>UNIPHARM</v>
      </c>
      <c r="F90" s="75">
        <f ca="1">IFERROR(__xludf.DUMMYFUNCTION("""COMPUTED_VALUE"""),45683)</f>
        <v>45683</v>
      </c>
      <c r="G90" s="74">
        <f ca="1">IFERROR(__xludf.DUMMYFUNCTION("""COMPUTED_VALUE"""),15)</f>
        <v>15</v>
      </c>
      <c r="H90" s="74">
        <f ca="1">IFERROR(__xludf.DUMMYFUNCTION("""COMPUTED_VALUE"""),21)</f>
        <v>21</v>
      </c>
      <c r="I90" s="74">
        <f ca="1">IFERROR(__xludf.DUMMYFUNCTION("""COMPUTED_VALUE"""),30)</f>
        <v>30</v>
      </c>
    </row>
    <row r="91" spans="2:9" ht="27" customHeight="1">
      <c r="B91" s="73" t="str">
        <f ca="1">IFERROR(__xludf.DUMMYFUNCTION("""COMPUTED_VALUE"""),"DOLOSAL (MEPERIDINA)")</f>
        <v>DOLOSAL (MEPERIDINA)</v>
      </c>
      <c r="C91" s="73" t="str">
        <f ca="1">IFERROR(__xludf.DUMMYFUNCTION("""COMPUTED_VALUE"""),"AMPOLLA")</f>
        <v>AMPOLLA</v>
      </c>
      <c r="D91" s="73" t="str">
        <f ca="1">IFERROR(__xludf.DUMMYFUNCTION("""COMPUTED_VALUE"""),"DEMEROL")</f>
        <v>DEMEROL</v>
      </c>
      <c r="E91" s="73" t="str">
        <f ca="1">IFERROR(__xludf.DUMMYFUNCTION("""COMPUTED_VALUE"""),"BONIN")</f>
        <v>BONIN</v>
      </c>
      <c r="F91" s="75">
        <f ca="1">IFERROR(__xludf.DUMMYFUNCTION("""COMPUTED_VALUE"""),45686)</f>
        <v>45686</v>
      </c>
      <c r="G91" s="74">
        <f ca="1">IFERROR(__xludf.DUMMYFUNCTION("""COMPUTED_VALUE"""),52.5)</f>
        <v>52.5</v>
      </c>
      <c r="H91" s="74">
        <f ca="1">IFERROR(__xludf.DUMMYFUNCTION("""COMPUTED_VALUE"""),73.5)</f>
        <v>73.5</v>
      </c>
      <c r="I91" s="74">
        <f ca="1">IFERROR(__xludf.DUMMYFUNCTION("""COMPUTED_VALUE"""),100)</f>
        <v>100</v>
      </c>
    </row>
    <row r="92" spans="2:9" ht="27" customHeight="1">
      <c r="B92" s="73" t="str">
        <f ca="1">IFERROR(__xludf.DUMMYFUNCTION("""COMPUTED_VALUE"""),"DOTRAM")</f>
        <v>DOTRAM</v>
      </c>
      <c r="C92" s="73" t="str">
        <f ca="1">IFERROR(__xludf.DUMMYFUNCTION("""COMPUTED_VALUE"""),"SUSPENSION 60ML")</f>
        <v>SUSPENSION 60ML</v>
      </c>
      <c r="D92" s="73" t="str">
        <f ca="1">IFERROR(__xludf.DUMMYFUNCTION("""COMPUTED_VALUE"""),"CLARITROMICINA 250MG/5ML")</f>
        <v>CLARITROMICINA 250MG/5ML</v>
      </c>
      <c r="E92" s="73" t="str">
        <f ca="1">IFERROR(__xludf.DUMMYFUNCTION("""COMPUTED_VALUE"""),"PHARMADEL")</f>
        <v>PHARMADEL</v>
      </c>
      <c r="F92" s="75">
        <f ca="1">IFERROR(__xludf.DUMMYFUNCTION("""COMPUTED_VALUE"""),45685)</f>
        <v>45685</v>
      </c>
      <c r="G92" s="74">
        <f ca="1">IFERROR(__xludf.DUMMYFUNCTION("""COMPUTED_VALUE"""),86.5)</f>
        <v>86.5</v>
      </c>
      <c r="H92" s="74">
        <f ca="1">IFERROR(__xludf.DUMMYFUNCTION("""COMPUTED_VALUE"""),121.1)</f>
        <v>121.1</v>
      </c>
      <c r="I92" s="74">
        <f ca="1">IFERROR(__xludf.DUMMYFUNCTION("""COMPUTED_VALUE"""),150)</f>
        <v>150</v>
      </c>
    </row>
    <row r="93" spans="2:9" ht="27" customHeight="1">
      <c r="B93" s="73" t="str">
        <f ca="1">IFERROR(__xludf.DUMMYFUNCTION("""COMPUTED_VALUE"""),"DOXILIN")</f>
        <v>DOXILIN</v>
      </c>
      <c r="C93" s="73" t="str">
        <f ca="1">IFERROR(__xludf.DUMMYFUNCTION("""COMPUTED_VALUE"""),"CAJA 10 CAPSULAS")</f>
        <v>CAJA 10 CAPSULAS</v>
      </c>
      <c r="D93" s="73" t="str">
        <f ca="1">IFERROR(__xludf.DUMMYFUNCTION("""COMPUTED_VALUE"""),"DOXICICLINA 100MG")</f>
        <v>DOXICICLINA 100MG</v>
      </c>
      <c r="E93" s="73" t="str">
        <f ca="1">IFERROR(__xludf.DUMMYFUNCTION("""COMPUTED_VALUE"""),"PHARBEST, S.A.")</f>
        <v>PHARBEST, S.A.</v>
      </c>
      <c r="F93" s="75">
        <f ca="1">IFERROR(__xludf.DUMMYFUNCTION("""COMPUTED_VALUE"""),45958)</f>
        <v>45958</v>
      </c>
      <c r="G93" s="74">
        <f ca="1">IFERROR(__xludf.DUMMYFUNCTION("""COMPUTED_VALUE"""),153.81)</f>
        <v>153.81</v>
      </c>
      <c r="H93" s="74">
        <f ca="1">IFERROR(__xludf.DUMMYFUNCTION("""COMPUTED_VALUE"""),215.334)</f>
        <v>215.334</v>
      </c>
      <c r="I93" s="74">
        <f ca="1">IFERROR(__xludf.DUMMYFUNCTION("""COMPUTED_VALUE"""),215)</f>
        <v>215</v>
      </c>
    </row>
    <row r="94" spans="2:9" ht="27" customHeight="1">
      <c r="B94" s="73" t="str">
        <f ca="1">IFERROR(__xludf.DUMMYFUNCTION("""COMPUTED_VALUE"""),"DYNAMOGEN")</f>
        <v>DYNAMOGEN</v>
      </c>
      <c r="C94" s="73" t="str">
        <f ca="1">IFERROR(__xludf.DUMMYFUNCTION("""COMPUTED_VALUE"""),"CAJA 20 AMPOLLAS BEBIBLES")</f>
        <v>CAJA 20 AMPOLLAS BEBIBLES</v>
      </c>
      <c r="D94" s="73" t="str">
        <f ca="1">IFERROR(__xludf.DUMMYFUNCTION("""COMPUTED_VALUE"""),"VIALES")</f>
        <v>VIALES</v>
      </c>
      <c r="E94" s="73" t="str">
        <f ca="1">IFERROR(__xludf.DUMMYFUNCTION("""COMPUTED_VALUE"""),"FAES FARMA")</f>
        <v>FAES FARMA</v>
      </c>
      <c r="F94" s="75">
        <f ca="1">IFERROR(__xludf.DUMMYFUNCTION("""COMPUTED_VALUE"""),46018)</f>
        <v>46018</v>
      </c>
      <c r="G94" s="74">
        <f ca="1">IFERROR(__xludf.DUMMYFUNCTION("""COMPUTED_VALUE"""),173.93)</f>
        <v>173.93</v>
      </c>
      <c r="H94" s="74">
        <f ca="1">IFERROR(__xludf.DUMMYFUNCTION("""COMPUTED_VALUE"""),243.502)</f>
        <v>243.50200000000001</v>
      </c>
      <c r="I94" s="74">
        <f ca="1">IFERROR(__xludf.DUMMYFUNCTION("""COMPUTED_VALUE"""),245)</f>
        <v>245</v>
      </c>
    </row>
    <row r="95" spans="2:9" ht="27" customHeight="1">
      <c r="B95" s="73" t="str">
        <f ca="1">IFERROR(__xludf.DUMMYFUNCTION("""COMPUTED_VALUE"""),"EFEDRINA")</f>
        <v>EFEDRINA</v>
      </c>
      <c r="C95" s="73" t="str">
        <f ca="1">IFERROR(__xludf.DUMMYFUNCTION("""COMPUTED_VALUE"""),"AMPOLLA")</f>
        <v>AMPOLLA</v>
      </c>
      <c r="D95" s="73" t="str">
        <f ca="1">IFERROR(__xludf.DUMMYFUNCTION("""COMPUTED_VALUE"""),"EFEDRINA HCI 50MG/1ML")</f>
        <v>EFEDRINA HCI 50MG/1ML</v>
      </c>
      <c r="E95" s="73" t="str">
        <f ca="1">IFERROR(__xludf.DUMMYFUNCTION("""COMPUTED_VALUE"""),"VIZCAINO")</f>
        <v>VIZCAINO</v>
      </c>
      <c r="F95" s="75">
        <f ca="1">IFERROR(__xludf.DUMMYFUNCTION("""COMPUTED_VALUE"""),45896)</f>
        <v>45896</v>
      </c>
      <c r="G95" s="74">
        <f ca="1">IFERROR(__xludf.DUMMYFUNCTION("""COMPUTED_VALUE"""),52.5)</f>
        <v>52.5</v>
      </c>
      <c r="H95" s="74">
        <f ca="1">IFERROR(__xludf.DUMMYFUNCTION("""COMPUTED_VALUE"""),73.5)</f>
        <v>73.5</v>
      </c>
      <c r="I95" s="74">
        <f ca="1">IFERROR(__xludf.DUMMYFUNCTION("""COMPUTED_VALUE"""),75)</f>
        <v>75</v>
      </c>
    </row>
    <row r="96" spans="2:9" ht="27" customHeight="1">
      <c r="B96" s="73" t="str">
        <f ca="1">IFERROR(__xludf.DUMMYFUNCTION("""COMPUTED_VALUE"""),"ENEMA FLEET")</f>
        <v>ENEMA FLEET</v>
      </c>
      <c r="C96" s="73" t="str">
        <f ca="1">IFERROR(__xludf.DUMMYFUNCTION("""COMPUTED_VALUE"""),"FRASCO 133ML")</f>
        <v>FRASCO 133ML</v>
      </c>
      <c r="D96" s="73" t="str">
        <f ca="1">IFERROR(__xludf.DUMMYFUNCTION("""COMPUTED_VALUE"""),"SOLUCIÓN SALINA LAXANTE, USO RECTAL")</f>
        <v>SOLUCIÓN SALINA LAXANTE, USO RECTAL</v>
      </c>
      <c r="E96" s="73" t="str">
        <f ca="1">IFERROR(__xludf.DUMMYFUNCTION("""COMPUTED_VALUE"""),"H&amp;L")</f>
        <v>H&amp;L</v>
      </c>
      <c r="F96" s="75">
        <f ca="1">IFERROR(__xludf.DUMMYFUNCTION("""COMPUTED_VALUE"""),45926)</f>
        <v>45926</v>
      </c>
      <c r="G96" s="74">
        <f ca="1">IFERROR(__xludf.DUMMYFUNCTION("""COMPUTED_VALUE"""),27.9)</f>
        <v>27.9</v>
      </c>
      <c r="H96" s="74">
        <f ca="1">IFERROR(__xludf.DUMMYFUNCTION("""COMPUTED_VALUE"""),39.06)</f>
        <v>39.06</v>
      </c>
      <c r="I96" s="74">
        <f ca="1">IFERROR(__xludf.DUMMYFUNCTION("""COMPUTED_VALUE"""),45)</f>
        <v>45</v>
      </c>
    </row>
    <row r="97" spans="2:9" ht="27" customHeight="1">
      <c r="B97" s="73" t="str">
        <f ca="1">IFERROR(__xludf.DUMMYFUNCTION("""COMPUTED_VALUE"""),"ENOXAPARINA")</f>
        <v>ENOXAPARINA</v>
      </c>
      <c r="C97" s="73" t="str">
        <f ca="1">IFERROR(__xludf.DUMMYFUNCTION("""COMPUTED_VALUE"""),"AMPOLLA")</f>
        <v>AMPOLLA</v>
      </c>
      <c r="D97" s="73" t="str">
        <f ca="1">IFERROR(__xludf.DUMMYFUNCTION("""COMPUTED_VALUE"""),"ENOXAPARINA")</f>
        <v>ENOXAPARINA</v>
      </c>
      <c r="E97" s="73" t="str">
        <f ca="1">IFERROR(__xludf.DUMMYFUNCTION("""COMPUTED_VALUE"""),"BONIN")</f>
        <v>BONIN</v>
      </c>
      <c r="F97" s="75">
        <f ca="1">IFERROR(__xludf.DUMMYFUNCTION("""COMPUTED_VALUE"""),45987)</f>
        <v>45987</v>
      </c>
      <c r="G97" s="74">
        <f ca="1">IFERROR(__xludf.DUMMYFUNCTION("""COMPUTED_VALUE"""),193.6)</f>
        <v>193.6</v>
      </c>
      <c r="H97" s="74">
        <f ca="1">IFERROR(__xludf.DUMMYFUNCTION("""COMPUTED_VALUE"""),271.039999999999)</f>
        <v>271.039999999999</v>
      </c>
      <c r="I97" s="74">
        <f ca="1">IFERROR(__xludf.DUMMYFUNCTION("""COMPUTED_VALUE"""),275)</f>
        <v>275</v>
      </c>
    </row>
    <row r="98" spans="2:9" ht="27" customHeight="1">
      <c r="B98" s="73" t="str">
        <f ca="1">IFERROR(__xludf.DUMMYFUNCTION("""COMPUTED_VALUE"""),"EQUILIV")</f>
        <v>EQUILIV</v>
      </c>
      <c r="C98" s="73" t="str">
        <f ca="1">IFERROR(__xludf.DUMMYFUNCTION("""COMPUTED_VALUE"""),"GOTAS ORALES")</f>
        <v>GOTAS ORALES</v>
      </c>
      <c r="D98" s="73" t="str">
        <f ca="1">IFERROR(__xludf.DUMMYFUNCTION("""COMPUTED_VALUE"""),"CLONAZEPAN 2.5MG")</f>
        <v>CLONAZEPAN 2.5MG</v>
      </c>
      <c r="E98" s="73" t="str">
        <f ca="1">IFERROR(__xludf.DUMMYFUNCTION("""COMPUTED_VALUE"""),"MEDPHARMA")</f>
        <v>MEDPHARMA</v>
      </c>
      <c r="F98" s="75">
        <f ca="1">IFERROR(__xludf.DUMMYFUNCTION("""COMPUTED_VALUE"""),45987)</f>
        <v>45987</v>
      </c>
      <c r="G98" s="74">
        <f ca="1">IFERROR(__xludf.DUMMYFUNCTION("""COMPUTED_VALUE"""),78.4)</f>
        <v>78.400000000000006</v>
      </c>
      <c r="H98" s="74">
        <f ca="1">IFERROR(__xludf.DUMMYFUNCTION("""COMPUTED_VALUE"""),109.76)</f>
        <v>109.76</v>
      </c>
      <c r="I98" s="74">
        <f ca="1">IFERROR(__xludf.DUMMYFUNCTION("""COMPUTED_VALUE"""),110)</f>
        <v>110</v>
      </c>
    </row>
    <row r="99" spans="2:9" ht="27" customHeight="1">
      <c r="B99" s="73" t="str">
        <f ca="1">IFERROR(__xludf.DUMMYFUNCTION("""COMPUTED_VALUE"""),"ERITROPROYECTINA")</f>
        <v>ERITROPROYECTINA</v>
      </c>
      <c r="C99" s="73" t="str">
        <f ca="1">IFERROR(__xludf.DUMMYFUNCTION("""COMPUTED_VALUE"""),"AMPOLLA")</f>
        <v>AMPOLLA</v>
      </c>
      <c r="D99" s="73" t="str">
        <f ca="1">IFERROR(__xludf.DUMMYFUNCTION("""COMPUTED_VALUE"""),"ERITROPROYECTINA")</f>
        <v>ERITROPROYECTINA</v>
      </c>
      <c r="E99" s="73" t="str">
        <f ca="1">IFERROR(__xludf.DUMMYFUNCTION("""COMPUTED_VALUE"""),"MEGALABS")</f>
        <v>MEGALABS</v>
      </c>
      <c r="F99" s="75">
        <f ca="1">IFERROR(__xludf.DUMMYFUNCTION("""COMPUTED_VALUE"""),45987)</f>
        <v>45987</v>
      </c>
      <c r="G99" s="74">
        <f ca="1">IFERROR(__xludf.DUMMYFUNCTION("""COMPUTED_VALUE"""),78.53)</f>
        <v>78.53</v>
      </c>
      <c r="H99" s="74">
        <f ca="1">IFERROR(__xludf.DUMMYFUNCTION("""COMPUTED_VALUE"""),109.942)</f>
        <v>109.94199999999999</v>
      </c>
      <c r="I99" s="74">
        <f ca="1">IFERROR(__xludf.DUMMYFUNCTION("""COMPUTED_VALUE"""),150)</f>
        <v>150</v>
      </c>
    </row>
    <row r="100" spans="2:9" ht="27" customHeight="1">
      <c r="B100" s="73" t="str">
        <f ca="1">IFERROR(__xludf.DUMMYFUNCTION("""COMPUTED_VALUE"""),"ESKAPAR COMPUESTO")</f>
        <v>ESKAPAR COMPUESTO</v>
      </c>
      <c r="C100" s="73" t="str">
        <f ca="1">IFERROR(__xludf.DUMMYFUNCTION("""COMPUTED_VALUE"""),"CAJA DE 20 CAPSULAS")</f>
        <v>CAJA DE 20 CAPSULAS</v>
      </c>
      <c r="D100" s="73" t="str">
        <f ca="1">IFERROR(__xludf.DUMMYFUNCTION("""COMPUTED_VALUE"""),"NIFUROXAZIDA/METRONIDAZOL")</f>
        <v>NIFUROXAZIDA/METRONIDAZOL</v>
      </c>
      <c r="E100" s="73" t="str">
        <f ca="1">IFERROR(__xludf.DUMMYFUNCTION("""COMPUTED_VALUE"""),"RESCO")</f>
        <v>RESCO</v>
      </c>
      <c r="F100" s="75">
        <f ca="1">IFERROR(__xludf.DUMMYFUNCTION("""COMPUTED_VALUE"""),45864)</f>
        <v>45864</v>
      </c>
      <c r="G100" s="74">
        <f ca="1">IFERROR(__xludf.DUMMYFUNCTION("""COMPUTED_VALUE"""),67.64)</f>
        <v>67.64</v>
      </c>
      <c r="H100" s="74">
        <f ca="1">IFERROR(__xludf.DUMMYFUNCTION("""COMPUTED_VALUE"""),94.696)</f>
        <v>94.695999999999998</v>
      </c>
      <c r="I100" s="74">
        <f ca="1">IFERROR(__xludf.DUMMYFUNCTION("""COMPUTED_VALUE"""),95)</f>
        <v>95</v>
      </c>
    </row>
    <row r="101" spans="2:9" ht="27" customHeight="1">
      <c r="B101" s="73" t="str">
        <f ca="1">IFERROR(__xludf.DUMMYFUNCTION("""COMPUTED_VALUE"""),"ESPASMO DIGESTONE")</f>
        <v>ESPASMO DIGESTONE</v>
      </c>
      <c r="C101" s="73" t="str">
        <f ca="1">IFERROR(__xludf.DUMMYFUNCTION("""COMPUTED_VALUE"""),"BLISTER DE 10 TAB.")</f>
        <v>BLISTER DE 10 TAB.</v>
      </c>
      <c r="D101" s="73" t="str">
        <f ca="1">IFERROR(__xludf.DUMMYFUNCTION("""COMPUTED_VALUE"""),"PANCREATINA, SIMETICONA, LACTOSA Y OTROS")</f>
        <v>PANCREATINA, SIMETICONA, LACTOSA Y OTROS</v>
      </c>
      <c r="E101" s="73" t="str">
        <f ca="1">IFERROR(__xludf.DUMMYFUNCTION("""COMPUTED_VALUE"""),"MENARINI")</f>
        <v>MENARINI</v>
      </c>
      <c r="F101" s="75">
        <f ca="1">IFERROR(__xludf.DUMMYFUNCTION("""COMPUTED_VALUE"""),45988)</f>
        <v>45988</v>
      </c>
      <c r="G101" s="74">
        <f ca="1">IFERROR(__xludf.DUMMYFUNCTION("""COMPUTED_VALUE"""),49.49)</f>
        <v>49.49</v>
      </c>
      <c r="H101" s="74">
        <f ca="1">IFERROR(__xludf.DUMMYFUNCTION("""COMPUTED_VALUE"""),69.286)</f>
        <v>69.286000000000001</v>
      </c>
      <c r="I101" s="74">
        <f ca="1">IFERROR(__xludf.DUMMYFUNCTION("""COMPUTED_VALUE"""),70)</f>
        <v>70</v>
      </c>
    </row>
    <row r="102" spans="2:9" ht="27" customHeight="1">
      <c r="B102" s="73" t="str">
        <f ca="1">IFERROR(__xludf.DUMMYFUNCTION("""COMPUTED_VALUE"""),"EUROCLIN")</f>
        <v>EUROCLIN</v>
      </c>
      <c r="C102" s="73" t="str">
        <f ca="1">IFERROR(__xludf.DUMMYFUNCTION("""COMPUTED_VALUE"""),"CAJA 30 CAPSULAS")</f>
        <v>CAJA 30 CAPSULAS</v>
      </c>
      <c r="D102" s="73" t="str">
        <f ca="1">IFERROR(__xludf.DUMMYFUNCTION("""COMPUTED_VALUE"""),"CLINDAMICINA 300MG.")</f>
        <v>CLINDAMICINA 300MG.</v>
      </c>
      <c r="E102" s="73" t="str">
        <f ca="1">IFERROR(__xludf.DUMMYFUNCTION("""COMPUTED_VALUE"""),"CHALVER")</f>
        <v>CHALVER</v>
      </c>
      <c r="F102" s="75">
        <f ca="1">IFERROR(__xludf.DUMMYFUNCTION("""COMPUTED_VALUE"""),45715)</f>
        <v>45715</v>
      </c>
      <c r="G102" s="74">
        <f ca="1">IFERROR(__xludf.DUMMYFUNCTION("""COMPUTED_VALUE"""),172.88)</f>
        <v>172.88</v>
      </c>
      <c r="H102" s="74">
        <f ca="1">IFERROR(__xludf.DUMMYFUNCTION("""COMPUTED_VALUE"""),242.031999999999)</f>
        <v>242.03199999999899</v>
      </c>
      <c r="I102" s="74">
        <f ca="1">IFERROR(__xludf.DUMMYFUNCTION("""COMPUTED_VALUE"""),245)</f>
        <v>245</v>
      </c>
    </row>
    <row r="103" spans="2:9" ht="27" customHeight="1">
      <c r="B103" s="73" t="str">
        <f ca="1">IFERROR(__xludf.DUMMYFUNCTION("""COMPUTED_VALUE"""),"EVECARE")</f>
        <v>EVECARE</v>
      </c>
      <c r="C103" s="73" t="str">
        <f ca="1">IFERROR(__xludf.DUMMYFUNCTION("""COMPUTED_VALUE"""),"FRASCO DE 30 TAB.")</f>
        <v>FRASCO DE 30 TAB.</v>
      </c>
      <c r="D103" s="73" t="str">
        <f ca="1">IFERROR(__xludf.DUMMYFUNCTION("""COMPUTED_VALUE"""),"CAPSULAS")</f>
        <v>CAPSULAS</v>
      </c>
      <c r="E103" s="73" t="str">
        <f ca="1">IFERROR(__xludf.DUMMYFUNCTION("""COMPUTED_VALUE"""),"HIMALAYA")</f>
        <v>HIMALAYA</v>
      </c>
      <c r="F103" s="75">
        <f ca="1">IFERROR(__xludf.DUMMYFUNCTION("""COMPUTED_VALUE"""),45684)</f>
        <v>45684</v>
      </c>
      <c r="G103" s="74">
        <f ca="1">IFERROR(__xludf.DUMMYFUNCTION("""COMPUTED_VALUE"""),114.04)</f>
        <v>114.04</v>
      </c>
      <c r="H103" s="74">
        <f ca="1">IFERROR(__xludf.DUMMYFUNCTION("""COMPUTED_VALUE"""),159.656)</f>
        <v>159.65600000000001</v>
      </c>
      <c r="I103" s="74">
        <f ca="1">IFERROR(__xludf.DUMMYFUNCTION("""COMPUTED_VALUE"""),160)</f>
        <v>160</v>
      </c>
    </row>
    <row r="104" spans="2:9" ht="27" customHeight="1">
      <c r="B104" s="73" t="str">
        <f ca="1">IFERROR(__xludf.DUMMYFUNCTION("""COMPUTED_VALUE"""),"EXKEN DEXEKETOFRENO")</f>
        <v>EXKEN DEXEKETOFRENO</v>
      </c>
      <c r="C104" s="73" t="str">
        <f ca="1">IFERROR(__xludf.DUMMYFUNCTION("""COMPUTED_VALUE"""),"CAJA 10 TABLETAS")</f>
        <v>CAJA 10 TABLETAS</v>
      </c>
      <c r="D104" s="73" t="str">
        <f ca="1">IFERROR(__xludf.DUMMYFUNCTION("""COMPUTED_VALUE"""),"PARACETAMOL TROMETAMOL 25MG")</f>
        <v>PARACETAMOL TROMETAMOL 25MG</v>
      </c>
      <c r="E104" s="73" t="str">
        <f ca="1">IFERROR(__xludf.DUMMYFUNCTION("""COMPUTED_VALUE"""),"PHARA")</f>
        <v>PHARA</v>
      </c>
      <c r="F104" s="75">
        <f ca="1">IFERROR(__xludf.DUMMYFUNCTION("""COMPUTED_VALUE"""),45683)</f>
        <v>45683</v>
      </c>
      <c r="G104" s="74">
        <f ca="1">IFERROR(__xludf.DUMMYFUNCTION("""COMPUTED_VALUE"""),78.65)</f>
        <v>78.650000000000006</v>
      </c>
      <c r="H104" s="74">
        <f ca="1">IFERROR(__xludf.DUMMYFUNCTION("""COMPUTED_VALUE"""),110.11)</f>
        <v>110.11</v>
      </c>
      <c r="I104" s="74">
        <f ca="1">IFERROR(__xludf.DUMMYFUNCTION("""COMPUTED_VALUE"""),100)</f>
        <v>100</v>
      </c>
    </row>
    <row r="105" spans="2:9" ht="27" customHeight="1">
      <c r="B105" s="73" t="str">
        <f ca="1">IFERROR(__xludf.DUMMYFUNCTION("""COMPUTED_VALUE"""),"FEMTRIOL CREMA VAGINAL")</f>
        <v>FEMTRIOL CREMA VAGINAL</v>
      </c>
      <c r="C105" s="73" t="str">
        <f ca="1">IFERROR(__xludf.DUMMYFUNCTION("""COMPUTED_VALUE"""),"CAJA 5 APLICADORES")</f>
        <v>CAJA 5 APLICADORES</v>
      </c>
      <c r="D105" s="73" t="str">
        <f ca="1">IFERROR(__xludf.DUMMYFUNCTION("""COMPUTED_VALUE"""),"ESTRIOL 0,1G")</f>
        <v>ESTRIOL 0,1G</v>
      </c>
      <c r="E105" s="73" t="str">
        <f ca="1">IFERROR(__xludf.DUMMYFUNCTION("""COMPUTED_VALUE"""),"CHALVER")</f>
        <v>CHALVER</v>
      </c>
      <c r="F105" s="75">
        <f ca="1">IFERROR(__xludf.DUMMYFUNCTION("""COMPUTED_VALUE"""),45987)</f>
        <v>45987</v>
      </c>
      <c r="G105" s="74">
        <f ca="1">IFERROR(__xludf.DUMMYFUNCTION("""COMPUTED_VALUE"""),193.86)</f>
        <v>193.86</v>
      </c>
      <c r="H105" s="74">
        <f ca="1">IFERROR(__xludf.DUMMYFUNCTION("""COMPUTED_VALUE"""),271.404)</f>
        <v>271.404</v>
      </c>
      <c r="I105" s="74">
        <f ca="1">IFERROR(__xludf.DUMMYFUNCTION("""COMPUTED_VALUE"""),270)</f>
        <v>270</v>
      </c>
    </row>
    <row r="106" spans="2:9" ht="27" customHeight="1">
      <c r="B106" s="73" t="str">
        <f ca="1">IFERROR(__xludf.DUMMYFUNCTION("""COMPUTED_VALUE"""),"FENITOINA SODICA")</f>
        <v>FENITOINA SODICA</v>
      </c>
      <c r="C106" s="73" t="str">
        <f ca="1">IFERROR(__xludf.DUMMYFUNCTION("""COMPUTED_VALUE"""),"AMPOLLA")</f>
        <v>AMPOLLA</v>
      </c>
      <c r="D106" s="73" t="str">
        <f ca="1">IFERROR(__xludf.DUMMYFUNCTION("""COMPUTED_VALUE"""),"FENITOINA SODICA")</f>
        <v>FENITOINA SODICA</v>
      </c>
      <c r="E106" s="73" t="str">
        <f ca="1">IFERROR(__xludf.DUMMYFUNCTION("""COMPUTED_VALUE"""),"H&amp;L")</f>
        <v>H&amp;L</v>
      </c>
      <c r="F106" s="75">
        <f ca="1">IFERROR(__xludf.DUMMYFUNCTION("""COMPUTED_VALUE"""),45987)</f>
        <v>45987</v>
      </c>
      <c r="G106" s="74">
        <f ca="1">IFERROR(__xludf.DUMMYFUNCTION("""COMPUTED_VALUE"""),62.5)</f>
        <v>62.5</v>
      </c>
      <c r="H106" s="74">
        <f ca="1">IFERROR(__xludf.DUMMYFUNCTION("""COMPUTED_VALUE"""),87.5)</f>
        <v>87.5</v>
      </c>
      <c r="I106" s="74">
        <f ca="1">IFERROR(__xludf.DUMMYFUNCTION("""COMPUTED_VALUE"""),90)</f>
        <v>90</v>
      </c>
    </row>
    <row r="107" spans="2:9" ht="27" customHeight="1">
      <c r="B107" s="73" t="str">
        <f ca="1">IFERROR(__xludf.DUMMYFUNCTION("""COMPUTED_VALUE"""),"FENTANILO")</f>
        <v>FENTANILO</v>
      </c>
      <c r="C107" s="73" t="str">
        <f ca="1">IFERROR(__xludf.DUMMYFUNCTION("""COMPUTED_VALUE"""),"AMPOLLA 0.05MG/2ML")</f>
        <v>AMPOLLA 0.05MG/2ML</v>
      </c>
      <c r="D107" s="73" t="str">
        <f ca="1">IFERROR(__xludf.DUMMYFUNCTION("""COMPUTED_VALUE"""),"FENTANILO")</f>
        <v>FENTANILO</v>
      </c>
      <c r="E107" s="73" t="str">
        <f ca="1">IFERROR(__xludf.DUMMYFUNCTION("""COMPUTED_VALUE"""),"VIZCAINO")</f>
        <v>VIZCAINO</v>
      </c>
      <c r="F107" s="75">
        <f ca="1">IFERROR(__xludf.DUMMYFUNCTION("""COMPUTED_VALUE"""),45834)</f>
        <v>45834</v>
      </c>
      <c r="G107" s="74">
        <f ca="1">IFERROR(__xludf.DUMMYFUNCTION("""COMPUTED_VALUE"""),22)</f>
        <v>22</v>
      </c>
      <c r="H107" s="74">
        <f ca="1">IFERROR(__xludf.DUMMYFUNCTION("""COMPUTED_VALUE"""),30.8)</f>
        <v>30.8</v>
      </c>
      <c r="I107" s="74">
        <f ca="1">IFERROR(__xludf.DUMMYFUNCTION("""COMPUTED_VALUE"""),65)</f>
        <v>65</v>
      </c>
    </row>
    <row r="108" spans="2:9" ht="27" customHeight="1">
      <c r="B108" s="73" t="str">
        <f ca="1">IFERROR(__xludf.DUMMYFUNCTION("""COMPUTED_VALUE"""),"FE-Q800")</f>
        <v>FE-Q800</v>
      </c>
      <c r="C108" s="73" t="str">
        <f ca="1">IFERROR(__xludf.DUMMYFUNCTION("""COMPUTED_VALUE"""),"CAJA DE 28 TAB.")</f>
        <v>CAJA DE 28 TAB.</v>
      </c>
      <c r="D108" s="73" t="str">
        <f ca="1">IFERROR(__xludf.DUMMYFUNCTION("""COMPUTED_VALUE"""),"HIERRO AMINOQUELADO, ACIDO FOLICO, CIANOCOBALAMINA")</f>
        <v>HIERRO AMINOQUELADO, ACIDO FOLICO, CIANOCOBALAMINA</v>
      </c>
      <c r="E108" s="73" t="str">
        <f ca="1">IFERROR(__xludf.DUMMYFUNCTION("""COMPUTED_VALUE"""),"COIDE S.A.")</f>
        <v>COIDE S.A.</v>
      </c>
      <c r="F108" s="75">
        <f ca="1">IFERROR(__xludf.DUMMYFUNCTION("""COMPUTED_VALUE"""),45987)</f>
        <v>45987</v>
      </c>
      <c r="G108" s="74">
        <f ca="1">IFERROR(__xludf.DUMMYFUNCTION("""COMPUTED_VALUE"""),45.4)</f>
        <v>45.4</v>
      </c>
      <c r="H108" s="74">
        <f ca="1">IFERROR(__xludf.DUMMYFUNCTION("""COMPUTED_VALUE"""),63.56)</f>
        <v>63.56</v>
      </c>
      <c r="I108" s="74">
        <f ca="1">IFERROR(__xludf.DUMMYFUNCTION("""COMPUTED_VALUE"""),90)</f>
        <v>90</v>
      </c>
    </row>
    <row r="109" spans="2:9" ht="27" customHeight="1">
      <c r="B109" s="73" t="str">
        <f ca="1">IFERROR(__xludf.DUMMYFUNCTION("""COMPUTED_VALUE"""),"FERKEL")</f>
        <v>FERKEL</v>
      </c>
      <c r="C109" s="73" t="str">
        <f ca="1">IFERROR(__xludf.DUMMYFUNCTION("""COMPUTED_VALUE"""),"GOTERO 30ML")</f>
        <v>GOTERO 30ML</v>
      </c>
      <c r="D109" s="73" t="str">
        <f ca="1">IFERROR(__xludf.DUMMYFUNCTION("""COMPUTED_VALUE"""),"HIERRO AMINOQUELADO")</f>
        <v>HIERRO AMINOQUELADO</v>
      </c>
      <c r="E109" s="73" t="str">
        <f ca="1">IFERROR(__xludf.DUMMYFUNCTION("""COMPUTED_VALUE"""),"INFASA")</f>
        <v>INFASA</v>
      </c>
      <c r="F109" s="75">
        <f ca="1">IFERROR(__xludf.DUMMYFUNCTION("""COMPUTED_VALUE"""),45803)</f>
        <v>45803</v>
      </c>
      <c r="G109" s="74">
        <f ca="1">IFERROR(__xludf.DUMMYFUNCTION("""COMPUTED_VALUE"""),38.06)</f>
        <v>38.06</v>
      </c>
      <c r="H109" s="74">
        <f ca="1">IFERROR(__xludf.DUMMYFUNCTION("""COMPUTED_VALUE"""),53.284)</f>
        <v>53.283999999999999</v>
      </c>
      <c r="I109" s="74">
        <f ca="1">IFERROR(__xludf.DUMMYFUNCTION("""COMPUTED_VALUE"""),60)</f>
        <v>60</v>
      </c>
    </row>
    <row r="110" spans="2:9" ht="27" customHeight="1">
      <c r="B110" s="73" t="str">
        <f ca="1">IFERROR(__xludf.DUMMYFUNCTION("""COMPUTED_VALUE"""),"FILINAR G")</f>
        <v>FILINAR G</v>
      </c>
      <c r="C110" s="73" t="str">
        <f ca="1">IFERROR(__xludf.DUMMYFUNCTION("""COMPUTED_VALUE"""),"FRASCO 120 ML.")</f>
        <v>FRASCO 120 ML.</v>
      </c>
      <c r="D110" s="73" t="str">
        <f ca="1">IFERROR(__xludf.DUMMYFUNCTION("""COMPUTED_VALUE"""),"ACEBROFILINA 5ML")</f>
        <v>ACEBROFILINA 5ML</v>
      </c>
      <c r="E110" s="73" t="str">
        <f ca="1">IFERROR(__xludf.DUMMYFUNCTION("""COMPUTED_VALUE"""),"COIDE S.A.")</f>
        <v>COIDE S.A.</v>
      </c>
      <c r="F110" s="75">
        <f ca="1">IFERROR(__xludf.DUMMYFUNCTION("""COMPUTED_VALUE"""),45773)</f>
        <v>45773</v>
      </c>
      <c r="G110" s="74">
        <f ca="1">IFERROR(__xludf.DUMMYFUNCTION("""COMPUTED_VALUE"""),120.28)</f>
        <v>120.28</v>
      </c>
      <c r="H110" s="74">
        <f ca="1">IFERROR(__xludf.DUMMYFUNCTION("""COMPUTED_VALUE"""),168.392)</f>
        <v>168.392</v>
      </c>
      <c r="I110" s="74">
        <f ca="1">IFERROR(__xludf.DUMMYFUNCTION("""COMPUTED_VALUE"""),170)</f>
        <v>170</v>
      </c>
    </row>
    <row r="111" spans="2:9" ht="27" customHeight="1">
      <c r="B111" s="73" t="str">
        <f ca="1">IFERROR(__xludf.DUMMYFUNCTION("""COMPUTED_VALUE"""),"FLAMANTIL")</f>
        <v>FLAMANTIL</v>
      </c>
      <c r="C111" s="73" t="str">
        <f ca="1">IFERROR(__xludf.DUMMYFUNCTION("""COMPUTED_VALUE"""),"BLISTER DE 5 TAB.")</f>
        <v>BLISTER DE 5 TAB.</v>
      </c>
      <c r="D111" s="73" t="str">
        <f ca="1">IFERROR(__xludf.DUMMYFUNCTION("""COMPUTED_VALUE"""),"NAPROXENO SODICO 550MG.")</f>
        <v>NAPROXENO SODICO 550MG.</v>
      </c>
      <c r="E111" s="73" t="str">
        <f ca="1">IFERROR(__xludf.DUMMYFUNCTION("""COMPUTED_VALUE"""),"VIZCAINO")</f>
        <v>VIZCAINO</v>
      </c>
      <c r="F111" s="75">
        <f ca="1">IFERROR(__xludf.DUMMYFUNCTION("""COMPUTED_VALUE"""),45928)</f>
        <v>45928</v>
      </c>
      <c r="G111" s="74">
        <f ca="1">IFERROR(__xludf.DUMMYFUNCTION("""COMPUTED_VALUE"""),5.26)</f>
        <v>5.26</v>
      </c>
      <c r="H111" s="74">
        <f ca="1">IFERROR(__xludf.DUMMYFUNCTION("""COMPUTED_VALUE"""),7.364)</f>
        <v>7.3639999999999999</v>
      </c>
      <c r="I111" s="74">
        <f ca="1">IFERROR(__xludf.DUMMYFUNCTION("""COMPUTED_VALUE"""),10)</f>
        <v>10</v>
      </c>
    </row>
    <row r="112" spans="2:9" ht="27" customHeight="1">
      <c r="B112" s="73" t="str">
        <f ca="1">IFERROR(__xludf.DUMMYFUNCTION("""COMPUTED_VALUE"""),"FLAMYDOL")</f>
        <v>FLAMYDOL</v>
      </c>
      <c r="C112" s="73" t="str">
        <f ca="1">IFERROR(__xludf.DUMMYFUNCTION("""COMPUTED_VALUE"""),"SUSPENSION")</f>
        <v>SUSPENSION</v>
      </c>
      <c r="D112" s="73" t="str">
        <f ca="1">IFERROR(__xludf.DUMMYFUNCTION("""COMPUTED_VALUE"""),"SUSPENSION")</f>
        <v>SUSPENSION</v>
      </c>
      <c r="E112" s="73" t="str">
        <f ca="1">IFERROR(__xludf.DUMMYFUNCTION("""COMPUTED_VALUE"""),"MEDIUM")</f>
        <v>MEDIUM</v>
      </c>
      <c r="F112" s="75">
        <f ca="1">IFERROR(__xludf.DUMMYFUNCTION("""COMPUTED_VALUE"""),45835)</f>
        <v>45835</v>
      </c>
      <c r="G112" s="74">
        <f ca="1">IFERROR(__xludf.DUMMYFUNCTION("""COMPUTED_VALUE"""),27.97)</f>
        <v>27.97</v>
      </c>
      <c r="H112" s="74">
        <f ca="1">IFERROR(__xludf.DUMMYFUNCTION("""COMPUTED_VALUE"""),39.158)</f>
        <v>39.158000000000001</v>
      </c>
      <c r="I112" s="74">
        <f ca="1">IFERROR(__xludf.DUMMYFUNCTION("""COMPUTED_VALUE"""),40)</f>
        <v>40</v>
      </c>
    </row>
    <row r="113" spans="2:9" ht="27" customHeight="1">
      <c r="B113" s="73" t="str">
        <f ca="1">IFERROR(__xludf.DUMMYFUNCTION("""COMPUTED_VALUE"""),"FLORENTEROL")</f>
        <v>FLORENTEROL</v>
      </c>
      <c r="C113" s="73" t="str">
        <f ca="1">IFERROR(__xludf.DUMMYFUNCTION("""COMPUTED_VALUE"""),"CAJA DE 6 SOBRES")</f>
        <v>CAJA DE 6 SOBRES</v>
      </c>
      <c r="D113" s="73" t="str">
        <f ca="1">IFERROR(__xludf.DUMMYFUNCTION("""COMPUTED_VALUE"""),"SACCHAROMYCES BOULARDIL 200MG")</f>
        <v>SACCHAROMYCES BOULARDIL 200MG</v>
      </c>
      <c r="E113" s="73" t="str">
        <f ca="1">IFERROR(__xludf.DUMMYFUNCTION("""COMPUTED_VALUE"""),"INFASA")</f>
        <v>INFASA</v>
      </c>
      <c r="F113" s="75">
        <f ca="1">IFERROR(__xludf.DUMMYFUNCTION("""COMPUTED_VALUE"""),46017)</f>
        <v>46017</v>
      </c>
      <c r="G113" s="74">
        <f ca="1">IFERROR(__xludf.DUMMYFUNCTION("""COMPUTED_VALUE"""),53.46)</f>
        <v>53.46</v>
      </c>
      <c r="H113" s="74">
        <f ca="1">IFERROR(__xludf.DUMMYFUNCTION("""COMPUTED_VALUE"""),74.844)</f>
        <v>74.843999999999994</v>
      </c>
      <c r="I113" s="74">
        <f ca="1">IFERROR(__xludf.DUMMYFUNCTION("""COMPUTED_VALUE"""),90)</f>
        <v>90</v>
      </c>
    </row>
    <row r="114" spans="2:9" ht="27" customHeight="1">
      <c r="B114" s="73" t="str">
        <f ca="1">IFERROR(__xludf.DUMMYFUNCTION("""COMPUTED_VALUE"""),"FLUMAZENIL")</f>
        <v>FLUMAZENIL</v>
      </c>
      <c r="C114" s="73" t="str">
        <f ca="1">IFERROR(__xludf.DUMMYFUNCTION("""COMPUTED_VALUE"""),"AMPOLLA")</f>
        <v>AMPOLLA</v>
      </c>
      <c r="D114" s="73" t="str">
        <f ca="1">IFERROR(__xludf.DUMMYFUNCTION("""COMPUTED_VALUE"""),"FLUMAZENIL 01")</f>
        <v>FLUMAZENIL 01</v>
      </c>
      <c r="E114" s="73" t="str">
        <f ca="1">IFERROR(__xludf.DUMMYFUNCTION("""COMPUTED_VALUE"""),"INSUMEDIC GT")</f>
        <v>INSUMEDIC GT</v>
      </c>
      <c r="F114" s="75">
        <f ca="1">IFERROR(__xludf.DUMMYFUNCTION("""COMPUTED_VALUE"""),45895)</f>
        <v>45895</v>
      </c>
      <c r="G114" s="74">
        <f ca="1">IFERROR(__xludf.DUMMYFUNCTION("""COMPUTED_VALUE"""),385)</f>
        <v>385</v>
      </c>
      <c r="H114" s="74">
        <f ca="1">IFERROR(__xludf.DUMMYFUNCTION("""COMPUTED_VALUE"""),539)</f>
        <v>539</v>
      </c>
      <c r="I114" s="74">
        <f ca="1">IFERROR(__xludf.DUMMYFUNCTION("""COMPUTED_VALUE"""),550)</f>
        <v>550</v>
      </c>
    </row>
    <row r="115" spans="2:9" ht="27" customHeight="1">
      <c r="B115" s="73" t="str">
        <f ca="1">IFERROR(__xludf.DUMMYFUNCTION("""COMPUTED_VALUE"""),"FOLY PLUS")</f>
        <v>FOLY PLUS</v>
      </c>
      <c r="C115" s="73" t="str">
        <f ca="1">IFERROR(__xludf.DUMMYFUNCTION("""COMPUTED_VALUE"""),"CAJA DE 30 CAPSULAS")</f>
        <v>CAJA DE 30 CAPSULAS</v>
      </c>
      <c r="D115" s="73" t="str">
        <f ca="1">IFERROR(__xludf.DUMMYFUNCTION("""COMPUTED_VALUE"""),"ACIDO FOLICO 5MG.")</f>
        <v>ACIDO FOLICO 5MG.</v>
      </c>
      <c r="E115" s="73" t="str">
        <f ca="1">IFERROR(__xludf.DUMMYFUNCTION("""COMPUTED_VALUE"""),"FARMECO")</f>
        <v>FARMECO</v>
      </c>
      <c r="F115" s="75">
        <f ca="1">IFERROR(__xludf.DUMMYFUNCTION("""COMPUTED_VALUE"""),45773)</f>
        <v>45773</v>
      </c>
      <c r="G115" s="74">
        <f ca="1">IFERROR(__xludf.DUMMYFUNCTION("""COMPUTED_VALUE"""),8.25)</f>
        <v>8.25</v>
      </c>
      <c r="H115" s="74">
        <f ca="1">IFERROR(__xludf.DUMMYFUNCTION("""COMPUTED_VALUE"""),11.55)</f>
        <v>11.55</v>
      </c>
      <c r="I115" s="74">
        <f ca="1">IFERROR(__xludf.DUMMYFUNCTION("""COMPUTED_VALUE"""),70)</f>
        <v>70</v>
      </c>
    </row>
    <row r="116" spans="2:9" ht="27" customHeight="1">
      <c r="B116" s="73" t="str">
        <f ca="1">IFERROR(__xludf.DUMMYFUNCTION("""COMPUTED_VALUE"""),"FORTALENE")</f>
        <v>FORTALENE</v>
      </c>
      <c r="C116" s="73" t="str">
        <f ca="1">IFERROR(__xludf.DUMMYFUNCTION("""COMPUTED_VALUE"""),"CAJA DE 30 TAB.")</f>
        <v>CAJA DE 30 TAB.</v>
      </c>
      <c r="D116" s="73" t="str">
        <f ca="1">IFERROR(__xludf.DUMMYFUNCTION("""COMPUTED_VALUE"""),"ZINC 20MG")</f>
        <v>ZINC 20MG</v>
      </c>
      <c r="E116" s="73" t="str">
        <f ca="1">IFERROR(__xludf.DUMMYFUNCTION("""COMPUTED_VALUE"""),"WINZZER")</f>
        <v>WINZZER</v>
      </c>
      <c r="F116" s="75">
        <f ca="1">IFERROR(__xludf.DUMMYFUNCTION("""COMPUTED_VALUE"""),45834)</f>
        <v>45834</v>
      </c>
      <c r="G116" s="74">
        <f ca="1">IFERROR(__xludf.DUMMYFUNCTION("""COMPUTED_VALUE"""),56)</f>
        <v>56</v>
      </c>
      <c r="H116" s="74">
        <f ca="1">IFERROR(__xludf.DUMMYFUNCTION("""COMPUTED_VALUE"""),78.4)</f>
        <v>78.400000000000006</v>
      </c>
      <c r="I116" s="74">
        <f ca="1">IFERROR(__xludf.DUMMYFUNCTION("""COMPUTED_VALUE"""),80)</f>
        <v>80</v>
      </c>
    </row>
    <row r="117" spans="2:9" ht="27" customHeight="1">
      <c r="B117" s="73" t="str">
        <f ca="1">IFERROR(__xludf.DUMMYFUNCTION("""COMPUTED_VALUE"""),"FORTALENE")</f>
        <v>FORTALENE</v>
      </c>
      <c r="C117" s="73" t="str">
        <f ca="1">IFERROR(__xludf.DUMMYFUNCTION("""COMPUTED_VALUE"""),"FRASCO 120ML. SUSP")</f>
        <v>FRASCO 120ML. SUSP</v>
      </c>
      <c r="D117" s="73" t="str">
        <f ca="1">IFERROR(__xludf.DUMMYFUNCTION("""COMPUTED_VALUE"""),"ZINC 10MG/5ML")</f>
        <v>ZINC 10MG/5ML</v>
      </c>
      <c r="E117" s="73" t="str">
        <f ca="1">IFERROR(__xludf.DUMMYFUNCTION("""COMPUTED_VALUE"""),"WINZZER")</f>
        <v>WINZZER</v>
      </c>
      <c r="F117" s="75">
        <f ca="1">IFERROR(__xludf.DUMMYFUNCTION("""COMPUTED_VALUE"""),45956)</f>
        <v>45956</v>
      </c>
      <c r="G117" s="74">
        <f ca="1">IFERROR(__xludf.DUMMYFUNCTION("""COMPUTED_VALUE"""),56)</f>
        <v>56</v>
      </c>
      <c r="H117" s="74">
        <f ca="1">IFERROR(__xludf.DUMMYFUNCTION("""COMPUTED_VALUE"""),78.4)</f>
        <v>78.400000000000006</v>
      </c>
      <c r="I117" s="74">
        <f ca="1">IFERROR(__xludf.DUMMYFUNCTION("""COMPUTED_VALUE"""),80)</f>
        <v>80</v>
      </c>
    </row>
    <row r="118" spans="2:9" ht="27" customHeight="1">
      <c r="B118" s="73" t="str">
        <f ca="1">IFERROR(__xludf.DUMMYFUNCTION("""COMPUTED_VALUE"""),"FOSFOBAC")</f>
        <v>FOSFOBAC</v>
      </c>
      <c r="C118" s="73" t="str">
        <f ca="1">IFERROR(__xludf.DUMMYFUNCTION("""COMPUTED_VALUE"""),"POLVO PARA SUSP. ORAL")</f>
        <v>POLVO PARA SUSP. ORAL</v>
      </c>
      <c r="D118" s="73" t="str">
        <f ca="1">IFERROR(__xludf.DUMMYFUNCTION("""COMPUTED_VALUE"""),"FOSFOMACINA 3G")</f>
        <v>FOSFOMACINA 3G</v>
      </c>
      <c r="E118" s="73" t="str">
        <f ca="1">IFERROR(__xludf.DUMMYFUNCTION("""COMPUTED_VALUE"""),"QUALIPHARM")</f>
        <v>QUALIPHARM</v>
      </c>
      <c r="F118" s="75">
        <f ca="1">IFERROR(__xludf.DUMMYFUNCTION("""COMPUTED_VALUE"""),45743)</f>
        <v>45743</v>
      </c>
      <c r="G118" s="74">
        <f ca="1">IFERROR(__xludf.DUMMYFUNCTION("""COMPUTED_VALUE"""),60)</f>
        <v>60</v>
      </c>
      <c r="H118" s="74">
        <f ca="1">IFERROR(__xludf.DUMMYFUNCTION("""COMPUTED_VALUE"""),84)</f>
        <v>84</v>
      </c>
      <c r="I118" s="74">
        <f ca="1">IFERROR(__xludf.DUMMYFUNCTION("""COMPUTED_VALUE"""),85)</f>
        <v>85</v>
      </c>
    </row>
    <row r="119" spans="2:9" ht="27" customHeight="1">
      <c r="B119" s="73" t="str">
        <f ca="1">IFERROR(__xludf.DUMMYFUNCTION("""COMPUTED_VALUE"""),"FOSFOMICINA")</f>
        <v>FOSFOMICINA</v>
      </c>
      <c r="C119" s="73" t="str">
        <f ca="1">IFERROR(__xludf.DUMMYFUNCTION("""COMPUTED_VALUE"""),"FRASCO IV 1 G")</f>
        <v>FRASCO IV 1 G</v>
      </c>
      <c r="D119" s="73" t="str">
        <f ca="1">IFERROR(__xludf.DUMMYFUNCTION("""COMPUTED_VALUE"""),"FOSFOMACINA 3G")</f>
        <v>FOSFOMACINA 3G</v>
      </c>
      <c r="E119" s="73" t="str">
        <f ca="1">IFERROR(__xludf.DUMMYFUNCTION("""COMPUTED_VALUE"""),"MEDICAL")</f>
        <v>MEDICAL</v>
      </c>
      <c r="F119" s="75">
        <f ca="1">IFERROR(__xludf.DUMMYFUNCTION("""COMPUTED_VALUE"""),45774)</f>
        <v>45774</v>
      </c>
      <c r="G119" s="74">
        <f ca="1">IFERROR(__xludf.DUMMYFUNCTION("""COMPUTED_VALUE"""),180)</f>
        <v>180</v>
      </c>
      <c r="H119" s="74">
        <f ca="1">IFERROR(__xludf.DUMMYFUNCTION("""COMPUTED_VALUE"""),252)</f>
        <v>252</v>
      </c>
      <c r="I119" s="74">
        <f ca="1">IFERROR(__xludf.DUMMYFUNCTION("""COMPUTED_VALUE"""),260)</f>
        <v>260</v>
      </c>
    </row>
    <row r="120" spans="2:9" ht="27" customHeight="1">
      <c r="B120" s="73" t="str">
        <f ca="1">IFERROR(__xludf.DUMMYFUNCTION("""COMPUTED_VALUE"""),"FRENEX")</f>
        <v>FRENEX</v>
      </c>
      <c r="C120" s="73" t="str">
        <f ca="1">IFERROR(__xludf.DUMMYFUNCTION("""COMPUTED_VALUE"""),"FRASCO 60ML. SUSP")</f>
        <v>FRASCO 60ML. SUSP</v>
      </c>
      <c r="D120" s="73" t="str">
        <f ca="1">IFERROR(__xludf.DUMMYFUNCTION("""COMPUTED_VALUE"""),"NITAZOXANIDA 100MG/5ML")</f>
        <v>NITAZOXANIDA 100MG/5ML</v>
      </c>
      <c r="E120" s="73" t="str">
        <f ca="1">IFERROR(__xludf.DUMMYFUNCTION("""COMPUTED_VALUE"""),"WINZZER")</f>
        <v>WINZZER</v>
      </c>
      <c r="F120" s="75">
        <f ca="1">IFERROR(__xludf.DUMMYFUNCTION("""COMPUTED_VALUE"""),45986)</f>
        <v>45986</v>
      </c>
      <c r="G120" s="74">
        <f ca="1">IFERROR(__xludf.DUMMYFUNCTION("""COMPUTED_VALUE"""),39)</f>
        <v>39</v>
      </c>
      <c r="H120" s="74">
        <f ca="1">IFERROR(__xludf.DUMMYFUNCTION("""COMPUTED_VALUE"""),54.6)</f>
        <v>54.6</v>
      </c>
      <c r="I120" s="74">
        <f ca="1">IFERROR(__xludf.DUMMYFUNCTION("""COMPUTED_VALUE"""),55)</f>
        <v>55</v>
      </c>
    </row>
    <row r="121" spans="2:9" ht="27" customHeight="1">
      <c r="B121" s="73" t="str">
        <f ca="1">IFERROR(__xludf.DUMMYFUNCTION("""COMPUTED_VALUE"""),"FRENEX")</f>
        <v>FRENEX</v>
      </c>
      <c r="C121" s="73" t="str">
        <f ca="1">IFERROR(__xludf.DUMMYFUNCTION("""COMPUTED_VALUE"""),"CAJA 6 TABLETAS")</f>
        <v>CAJA 6 TABLETAS</v>
      </c>
      <c r="D121" s="73" t="str">
        <f ca="1">IFERROR(__xludf.DUMMYFUNCTION("""COMPUTED_VALUE"""),"NITAZOXANIDA 500MG")</f>
        <v>NITAZOXANIDA 500MG</v>
      </c>
      <c r="E121" s="73" t="str">
        <f ca="1">IFERROR(__xludf.DUMMYFUNCTION("""COMPUTED_VALUE"""),"WINZZER")</f>
        <v>WINZZER</v>
      </c>
      <c r="F121" s="75">
        <f ca="1">IFERROR(__xludf.DUMMYFUNCTION("""COMPUTED_VALUE"""),45743)</f>
        <v>45743</v>
      </c>
      <c r="G121" s="74">
        <f ca="1">IFERROR(__xludf.DUMMYFUNCTION("""COMPUTED_VALUE"""),75.4)</f>
        <v>75.400000000000006</v>
      </c>
      <c r="H121" s="74">
        <f ca="1">IFERROR(__xludf.DUMMYFUNCTION("""COMPUTED_VALUE"""),105.56)</f>
        <v>105.56</v>
      </c>
      <c r="I121" s="74">
        <f ca="1">IFERROR(__xludf.DUMMYFUNCTION("""COMPUTED_VALUE"""),105)</f>
        <v>105</v>
      </c>
    </row>
    <row r="122" spans="2:9" ht="27" customHeight="1">
      <c r="B122" s="73" t="str">
        <f ca="1">IFERROR(__xludf.DUMMYFUNCTION("""COMPUTED_VALUE"""),"FUNGITER")</f>
        <v>FUNGITER</v>
      </c>
      <c r="C122" s="73" t="str">
        <f ca="1">IFERROR(__xludf.DUMMYFUNCTION("""COMPUTED_VALUE"""),"AEROSOL")</f>
        <v>AEROSOL</v>
      </c>
      <c r="D122" s="73" t="str">
        <f ca="1">IFERROR(__xludf.DUMMYFUNCTION("""COMPUTED_VALUE"""),"TERBINAFINA HCI 1%")</f>
        <v>TERBINAFINA HCI 1%</v>
      </c>
      <c r="E122" s="73" t="str">
        <f ca="1">IFERROR(__xludf.DUMMYFUNCTION("""COMPUTED_VALUE"""),"MEDPHARMA")</f>
        <v>MEDPHARMA</v>
      </c>
      <c r="F122" s="75">
        <f ca="1">IFERROR(__xludf.DUMMYFUNCTION("""COMPUTED_VALUE"""),45803)</f>
        <v>45803</v>
      </c>
      <c r="G122" s="74">
        <f ca="1">IFERROR(__xludf.DUMMYFUNCTION("""COMPUTED_VALUE"""),47.71)</f>
        <v>47.71</v>
      </c>
      <c r="H122" s="74">
        <f ca="1">IFERROR(__xludf.DUMMYFUNCTION("""COMPUTED_VALUE"""),66.794)</f>
        <v>66.793999999999997</v>
      </c>
      <c r="I122" s="74">
        <f ca="1">IFERROR(__xludf.DUMMYFUNCTION("""COMPUTED_VALUE"""),70)</f>
        <v>70</v>
      </c>
    </row>
    <row r="123" spans="2:9" ht="27" customHeight="1">
      <c r="B123" s="73" t="str">
        <f ca="1">IFERROR(__xludf.DUMMYFUNCTION("""COMPUTED_VALUE"""),"FUROSEMIDA")</f>
        <v>FUROSEMIDA</v>
      </c>
      <c r="C123" s="73" t="str">
        <f ca="1">IFERROR(__xludf.DUMMYFUNCTION("""COMPUTED_VALUE"""),"AMPOLLA 2ML")</f>
        <v>AMPOLLA 2ML</v>
      </c>
      <c r="D123" s="73" t="str">
        <f ca="1">IFERROR(__xludf.DUMMYFUNCTION("""COMPUTED_VALUE"""),"FUROSEMIDA 20MG")</f>
        <v>FUROSEMIDA 20MG</v>
      </c>
      <c r="E123" s="73" t="str">
        <f ca="1">IFERROR(__xludf.DUMMYFUNCTION("""COMPUTED_VALUE"""),"SOLUCIONES MÈDICAS")</f>
        <v>SOLUCIONES MÈDICAS</v>
      </c>
      <c r="F123" s="75">
        <f ca="1">IFERROR(__xludf.DUMMYFUNCTION("""COMPUTED_VALUE"""),45926)</f>
        <v>45926</v>
      </c>
      <c r="G123" s="74">
        <f ca="1">IFERROR(__xludf.DUMMYFUNCTION("""COMPUTED_VALUE"""),3.25)</f>
        <v>3.25</v>
      </c>
      <c r="H123" s="74">
        <f ca="1">IFERROR(__xludf.DUMMYFUNCTION("""COMPUTED_VALUE"""),4.55)</f>
        <v>4.55</v>
      </c>
      <c r="I123" s="74">
        <f ca="1">IFERROR(__xludf.DUMMYFUNCTION("""COMPUTED_VALUE"""),30)</f>
        <v>30</v>
      </c>
    </row>
    <row r="124" spans="2:9" ht="27" customHeight="1">
      <c r="B124" s="73" t="str">
        <f ca="1">IFERROR(__xludf.DUMMYFUNCTION("""COMPUTED_VALUE"""),"FUROSEMIDA MK")</f>
        <v>FUROSEMIDA MK</v>
      </c>
      <c r="C124" s="73" t="str">
        <f ca="1">IFERROR(__xludf.DUMMYFUNCTION("""COMPUTED_VALUE"""),"CAJA 50 TABLETAS")</f>
        <v>CAJA 50 TABLETAS</v>
      </c>
      <c r="D124" s="73" t="str">
        <f ca="1">IFERROR(__xludf.DUMMYFUNCTION("""COMPUTED_VALUE"""),"FUROSEMIDA 40MG")</f>
        <v>FUROSEMIDA 40MG</v>
      </c>
      <c r="E124" s="73" t="str">
        <f ca="1">IFERROR(__xludf.DUMMYFUNCTION("""COMPUTED_VALUE"""),"COIDE S.A.")</f>
        <v>COIDE S.A.</v>
      </c>
      <c r="F124" s="73" t="str">
        <f ca="1">IFERROR(__xludf.DUMMYFUNCTION("""COMPUTED_VALUE"""),"feb-30")</f>
        <v>feb-30</v>
      </c>
      <c r="G124" s="74">
        <f ca="1">IFERROR(__xludf.DUMMYFUNCTION("""COMPUTED_VALUE"""),95.84)</f>
        <v>95.84</v>
      </c>
      <c r="H124" s="74">
        <f ca="1">IFERROR(__xludf.DUMMYFUNCTION("""COMPUTED_VALUE"""),134.176)</f>
        <v>134.17599999999999</v>
      </c>
      <c r="I124" s="74">
        <f ca="1">IFERROR(__xludf.DUMMYFUNCTION("""COMPUTED_VALUE"""),135)</f>
        <v>135</v>
      </c>
    </row>
    <row r="125" spans="2:9" ht="27" customHeight="1">
      <c r="B125" s="73" t="str">
        <f ca="1">IFERROR(__xludf.DUMMYFUNCTION("""COMPUTED_VALUE"""),"GABEX PLUS")</f>
        <v>GABEX PLUS</v>
      </c>
      <c r="C125" s="73" t="str">
        <f ca="1">IFERROR(__xludf.DUMMYFUNCTION("""COMPUTED_VALUE"""),"CAJA DE 30 TAB.")</f>
        <v>CAJA DE 30 TAB.</v>
      </c>
      <c r="D125" s="73" t="str">
        <f ca="1">IFERROR(__xludf.DUMMYFUNCTION("""COMPUTED_VALUE"""),"GABAPENTINA + VITAMINAS B1 Y 12")</f>
        <v>GABAPENTINA + VITAMINAS B1 Y 12</v>
      </c>
      <c r="E125" s="73" t="str">
        <f ca="1">IFERROR(__xludf.DUMMYFUNCTION("""COMPUTED_VALUE"""),"MEDPHARMA")</f>
        <v>MEDPHARMA</v>
      </c>
      <c r="F125" s="75">
        <f ca="1">IFERROR(__xludf.DUMMYFUNCTION("""COMPUTED_VALUE"""),45773)</f>
        <v>45773</v>
      </c>
      <c r="G125" s="74">
        <f ca="1">IFERROR(__xludf.DUMMYFUNCTION("""COMPUTED_VALUE"""),132)</f>
        <v>132</v>
      </c>
      <c r="H125" s="74">
        <f ca="1">IFERROR(__xludf.DUMMYFUNCTION("""COMPUTED_VALUE"""),184.8)</f>
        <v>184.8</v>
      </c>
      <c r="I125" s="74">
        <f ca="1">IFERROR(__xludf.DUMMYFUNCTION("""COMPUTED_VALUE"""),220)</f>
        <v>220</v>
      </c>
    </row>
    <row r="126" spans="2:9" ht="27" customHeight="1">
      <c r="B126" s="73" t="str">
        <f ca="1">IFERROR(__xludf.DUMMYFUNCTION("""COMPUTED_VALUE"""),"GASTREXX")</f>
        <v>GASTREXX</v>
      </c>
      <c r="C126" s="73" t="str">
        <f ca="1">IFERROR(__xludf.DUMMYFUNCTION("""COMPUTED_VALUE"""),"CAJA DE 30 CAPSULAS")</f>
        <v>CAJA DE 30 CAPSULAS</v>
      </c>
      <c r="D126" s="73" t="str">
        <f ca="1">IFERROR(__xludf.DUMMYFUNCTION("""COMPUTED_VALUE"""),"ESOMEPRAZOL 40MG")</f>
        <v>ESOMEPRAZOL 40MG</v>
      </c>
      <c r="E126" s="73" t="str">
        <f ca="1">IFERROR(__xludf.DUMMYFUNCTION("""COMPUTED_VALUE"""),"MEDPHARMA")</f>
        <v>MEDPHARMA</v>
      </c>
      <c r="F126" s="75">
        <f ca="1">IFERROR(__xludf.DUMMYFUNCTION("""COMPUTED_VALUE"""),45714)</f>
        <v>45714</v>
      </c>
      <c r="G126" s="74">
        <f ca="1">IFERROR(__xludf.DUMMYFUNCTION("""COMPUTED_VALUE"""),214.03)</f>
        <v>214.03</v>
      </c>
      <c r="H126" s="74">
        <f ca="1">IFERROR(__xludf.DUMMYFUNCTION("""COMPUTED_VALUE"""),299.642)</f>
        <v>299.642</v>
      </c>
      <c r="I126" s="74">
        <f ca="1">IFERROR(__xludf.DUMMYFUNCTION("""COMPUTED_VALUE"""),300)</f>
        <v>300</v>
      </c>
    </row>
    <row r="127" spans="2:9" ht="27" customHeight="1">
      <c r="B127" s="73" t="str">
        <f ca="1">IFERROR(__xludf.DUMMYFUNCTION("""COMPUTED_VALUE"""),"GESIMAX GEL")</f>
        <v>GESIMAX GEL</v>
      </c>
      <c r="C127" s="73" t="str">
        <f ca="1">IFERROR(__xludf.DUMMYFUNCTION("""COMPUTED_VALUE"""),"GEL TOPICO 40G")</f>
        <v>GEL TOPICO 40G</v>
      </c>
      <c r="D127" s="73" t="str">
        <f ca="1">IFERROR(__xludf.DUMMYFUNCTION("""COMPUTED_VALUE"""),"NAPROXENO 10%")</f>
        <v>NAPROXENO 10%</v>
      </c>
      <c r="E127" s="73" t="str">
        <f ca="1">IFERROR(__xludf.DUMMYFUNCTION("""COMPUTED_VALUE"""),"WINZZER")</f>
        <v>WINZZER</v>
      </c>
      <c r="F127" s="75">
        <f ca="1">IFERROR(__xludf.DUMMYFUNCTION("""COMPUTED_VALUE"""),45895)</f>
        <v>45895</v>
      </c>
      <c r="G127" s="74">
        <f ca="1">IFERROR(__xludf.DUMMYFUNCTION("""COMPUTED_VALUE"""),48.57)</f>
        <v>48.57</v>
      </c>
      <c r="H127" s="74">
        <f ca="1">IFERROR(__xludf.DUMMYFUNCTION("""COMPUTED_VALUE"""),67.998)</f>
        <v>67.998000000000005</v>
      </c>
      <c r="I127" s="74">
        <f ca="1">IFERROR(__xludf.DUMMYFUNCTION("""COMPUTED_VALUE"""),70)</f>
        <v>70</v>
      </c>
    </row>
    <row r="128" spans="2:9" ht="27" customHeight="1">
      <c r="B128" s="73" t="str">
        <f ca="1">IFERROR(__xludf.DUMMYFUNCTION("""COMPUTED_VALUE"""),"GLISER-PLUS")</f>
        <v>GLISER-PLUS</v>
      </c>
      <c r="C128" s="73" t="str">
        <f ca="1">IFERROR(__xludf.DUMMYFUNCTION("""COMPUTED_VALUE"""),"CAJA 30 TABLETAS")</f>
        <v>CAJA 30 TABLETAS</v>
      </c>
      <c r="D128" s="73" t="str">
        <f ca="1">IFERROR(__xludf.DUMMYFUNCTION("""COMPUTED_VALUE"""),"METFORMINA + GLIMEPIRIDE")</f>
        <v>METFORMINA + GLIMEPIRIDE</v>
      </c>
      <c r="E128" s="73" t="str">
        <f ca="1">IFERROR(__xludf.DUMMYFUNCTION("""COMPUTED_VALUE"""),"FRAMA SWISS")</f>
        <v>FRAMA SWISS</v>
      </c>
      <c r="F128" s="75">
        <f ca="1">IFERROR(__xludf.DUMMYFUNCTION("""COMPUTED_VALUE"""),45956)</f>
        <v>45956</v>
      </c>
      <c r="G128" s="74">
        <f ca="1">IFERROR(__xludf.DUMMYFUNCTION("""COMPUTED_VALUE"""),125)</f>
        <v>125</v>
      </c>
      <c r="H128" s="74">
        <f ca="1">IFERROR(__xludf.DUMMYFUNCTION("""COMPUTED_VALUE"""),175)</f>
        <v>175</v>
      </c>
      <c r="I128" s="74">
        <f ca="1">IFERROR(__xludf.DUMMYFUNCTION("""COMPUTED_VALUE"""),175)</f>
        <v>175</v>
      </c>
    </row>
    <row r="129" spans="2:9" ht="27" customHeight="1">
      <c r="B129" s="73" t="str">
        <f ca="1">IFERROR(__xludf.DUMMYFUNCTION("""COMPUTED_VALUE"""),"GLUCONATO D CALCIO 10%")</f>
        <v>GLUCONATO D CALCIO 10%</v>
      </c>
      <c r="C129" s="73" t="str">
        <f ca="1">IFERROR(__xludf.DUMMYFUNCTION("""COMPUTED_VALUE"""),"AMPOLLA")</f>
        <v>AMPOLLA</v>
      </c>
      <c r="D129" s="73" t="str">
        <f ca="1">IFERROR(__xludf.DUMMYFUNCTION("""COMPUTED_VALUE"""),"CALCIO")</f>
        <v>CALCIO</v>
      </c>
      <c r="E129" s="73" t="str">
        <f ca="1">IFERROR(__xludf.DUMMYFUNCTION("""COMPUTED_VALUE"""),"SOLUCIONES MÈDICAS")</f>
        <v>SOLUCIONES MÈDICAS</v>
      </c>
      <c r="F129" s="75">
        <f ca="1">IFERROR(__xludf.DUMMYFUNCTION("""COMPUTED_VALUE"""),45834)</f>
        <v>45834</v>
      </c>
      <c r="G129" s="74">
        <f ca="1">IFERROR(__xludf.DUMMYFUNCTION("""COMPUTED_VALUE"""),8.07)</f>
        <v>8.07</v>
      </c>
      <c r="H129" s="74">
        <f ca="1">IFERROR(__xludf.DUMMYFUNCTION("""COMPUTED_VALUE"""),11.298)</f>
        <v>11.298</v>
      </c>
      <c r="I129" s="74">
        <f ca="1">IFERROR(__xludf.DUMMYFUNCTION("""COMPUTED_VALUE"""),100)</f>
        <v>100</v>
      </c>
    </row>
    <row r="130" spans="2:9" ht="27" customHeight="1">
      <c r="B130" s="73" t="str">
        <f ca="1">IFERROR(__xludf.DUMMYFUNCTION("""COMPUTED_VALUE"""),"HIDRALAZINA")</f>
        <v>HIDRALAZINA</v>
      </c>
      <c r="C130" s="73" t="str">
        <f ca="1">IFERROR(__xludf.DUMMYFUNCTION("""COMPUTED_VALUE"""),"AMPOLLA 1ML")</f>
        <v>AMPOLLA 1ML</v>
      </c>
      <c r="D130" s="73" t="str">
        <f ca="1">IFERROR(__xludf.DUMMYFUNCTION("""COMPUTED_VALUE"""),"HIDRALAZINA CLORIDRATO")</f>
        <v>HIDRALAZINA CLORIDRATO</v>
      </c>
      <c r="E130" s="73" t="str">
        <f ca="1">IFERROR(__xludf.DUMMYFUNCTION("""COMPUTED_VALUE"""),"SOLUCIONES MÈDICAS")</f>
        <v>SOLUCIONES MÈDICAS</v>
      </c>
      <c r="F130" s="75">
        <f ca="1">IFERROR(__xludf.DUMMYFUNCTION("""COMPUTED_VALUE"""),45743)</f>
        <v>45743</v>
      </c>
      <c r="G130" s="74">
        <f ca="1">IFERROR(__xludf.DUMMYFUNCTION("""COMPUTED_VALUE"""),75)</f>
        <v>75</v>
      </c>
      <c r="H130" s="74">
        <f ca="1">IFERROR(__xludf.DUMMYFUNCTION("""COMPUTED_VALUE"""),105)</f>
        <v>105</v>
      </c>
      <c r="I130" s="74">
        <f ca="1">IFERROR(__xludf.DUMMYFUNCTION("""COMPUTED_VALUE"""),110)</f>
        <v>110</v>
      </c>
    </row>
    <row r="131" spans="2:9" ht="27" customHeight="1">
      <c r="B131" s="73" t="str">
        <f ca="1">IFERROR(__xludf.DUMMYFUNCTION("""COMPUTED_VALUE"""),"HIMCOCID")</f>
        <v>HIMCOCID</v>
      </c>
      <c r="C131" s="73" t="str">
        <f ca="1">IFERROR(__xludf.DUMMYFUNCTION("""COMPUTED_VALUE"""),"FRASCO 200ML")</f>
        <v>FRASCO 200ML</v>
      </c>
      <c r="D131" s="73" t="str">
        <f ca="1">IFERROR(__xludf.DUMMYFUNCTION("""COMPUTED_VALUE"""),"VERATICA, DUGDHAPASHANA, MOUKTIKA")</f>
        <v>VERATICA, DUGDHAPASHANA, MOUKTIKA</v>
      </c>
      <c r="E131" s="73" t="str">
        <f ca="1">IFERROR(__xludf.DUMMYFUNCTION("""COMPUTED_VALUE"""),"HIMALAYA")</f>
        <v>HIMALAYA</v>
      </c>
      <c r="F131" s="75">
        <f ca="1">IFERROR(__xludf.DUMMYFUNCTION("""COMPUTED_VALUE"""),45956)</f>
        <v>45956</v>
      </c>
      <c r="G131" s="74">
        <f ca="1">IFERROR(__xludf.DUMMYFUNCTION("""COMPUTED_VALUE"""),52.4)</f>
        <v>52.4</v>
      </c>
      <c r="H131" s="74">
        <f ca="1">IFERROR(__xludf.DUMMYFUNCTION("""COMPUTED_VALUE"""),73.36)</f>
        <v>73.36</v>
      </c>
      <c r="I131" s="74">
        <f ca="1">IFERROR(__xludf.DUMMYFUNCTION("""COMPUTED_VALUE"""),75)</f>
        <v>75</v>
      </c>
    </row>
    <row r="132" spans="2:9" ht="27" customHeight="1">
      <c r="B132" s="73" t="str">
        <f ca="1">IFERROR(__xludf.DUMMYFUNCTION("""COMPUTED_VALUE"""),"ILACOX/MELOXICAN")</f>
        <v>ILACOX/MELOXICAN</v>
      </c>
      <c r="C132" s="73" t="str">
        <f ca="1">IFERROR(__xludf.DUMMYFUNCTION("""COMPUTED_VALUE"""),"SOLUCION INYECTABLE")</f>
        <v>SOLUCION INYECTABLE</v>
      </c>
      <c r="D132" s="73" t="str">
        <f ca="1">IFERROR(__xludf.DUMMYFUNCTION("""COMPUTED_VALUE"""),"el dolor, la sensibilidad, la inflamación y la rigidez ocasionados por la osteoartritis")</f>
        <v>el dolor, la sensibilidad, la inflamación y la rigidez ocasionados por la osteoartritis</v>
      </c>
      <c r="E132" s="73" t="str">
        <f ca="1">IFERROR(__xludf.DUMMYFUNCTION("""COMPUTED_VALUE"""),"UNIPHARM")</f>
        <v>UNIPHARM</v>
      </c>
      <c r="F132" s="75">
        <f ca="1">IFERROR(__xludf.DUMMYFUNCTION("""COMPUTED_VALUE"""),45927)</f>
        <v>45927</v>
      </c>
      <c r="G132" s="74">
        <f ca="1">IFERROR(__xludf.DUMMYFUNCTION("""COMPUTED_VALUE"""),28.63)</f>
        <v>28.63</v>
      </c>
      <c r="H132" s="74">
        <f ca="1">IFERROR(__xludf.DUMMYFUNCTION("""COMPUTED_VALUE"""),40.082)</f>
        <v>40.082000000000001</v>
      </c>
      <c r="I132" s="74">
        <f ca="1">IFERROR(__xludf.DUMMYFUNCTION("""COMPUTED_VALUE"""),50)</f>
        <v>50</v>
      </c>
    </row>
    <row r="133" spans="2:9" ht="27" customHeight="1">
      <c r="B133" s="73" t="str">
        <f ca="1">IFERROR(__xludf.DUMMYFUNCTION("""COMPUTED_VALUE"""),"I.R.S.")</f>
        <v>I.R.S.</v>
      </c>
      <c r="C133" s="73" t="str">
        <f ca="1">IFERROR(__xludf.DUMMYFUNCTION("""COMPUTED_VALUE"""),"GOTAS PEDIA. NASAL 20ML")</f>
        <v>GOTAS PEDIA. NASAL 20ML</v>
      </c>
      <c r="D133" s="73" t="str">
        <f ca="1">IFERROR(__xludf.DUMMYFUNCTION("""COMPUTED_VALUE"""),"ACETAMINOFEN, CLORHIDRATO DE FENILEFRINA, MALEATO DE BROMFENIRAMINA")</f>
        <v>ACETAMINOFEN, CLORHIDRATO DE FENILEFRINA, MALEATO DE BROMFENIRAMINA</v>
      </c>
      <c r="E133" s="73" t="str">
        <f ca="1">IFERROR(__xludf.DUMMYFUNCTION("""COMPUTED_VALUE"""),"INFASA")</f>
        <v>INFASA</v>
      </c>
      <c r="F133" s="75">
        <f ca="1">IFERROR(__xludf.DUMMYFUNCTION("""COMPUTED_VALUE"""),45865)</f>
        <v>45865</v>
      </c>
      <c r="G133" s="74">
        <f ca="1">IFERROR(__xludf.DUMMYFUNCTION("""COMPUTED_VALUE"""),53.62)</f>
        <v>53.62</v>
      </c>
      <c r="H133" s="74">
        <f ca="1">IFERROR(__xludf.DUMMYFUNCTION("""COMPUTED_VALUE"""),75.068)</f>
        <v>75.067999999999998</v>
      </c>
      <c r="I133" s="74">
        <f ca="1">IFERROR(__xludf.DUMMYFUNCTION("""COMPUTED_VALUE"""),80)</f>
        <v>80</v>
      </c>
    </row>
    <row r="134" spans="2:9" ht="27" customHeight="1">
      <c r="B134" s="73" t="str">
        <f ca="1">IFERROR(__xludf.DUMMYFUNCTION("""COMPUTED_VALUE"""),"IBUPROFENO SUSP.")</f>
        <v>IBUPROFENO SUSP.</v>
      </c>
      <c r="C134" s="73" t="str">
        <f ca="1">IFERROR(__xludf.DUMMYFUNCTION("""COMPUTED_VALUE"""),"FRASCO 60ML")</f>
        <v>FRASCO 60ML</v>
      </c>
      <c r="D134" s="73" t="str">
        <f ca="1">IFERROR(__xludf.DUMMYFUNCTION("""COMPUTED_VALUE"""),"IBUPROFENO 100MG.")</f>
        <v>IBUPROFENO 100MG.</v>
      </c>
      <c r="E134" s="73" t="str">
        <f ca="1">IFERROR(__xludf.DUMMYFUNCTION("""COMPUTED_VALUE"""),"UMEDICA")</f>
        <v>UMEDICA</v>
      </c>
      <c r="F134" s="75">
        <f ca="1">IFERROR(__xludf.DUMMYFUNCTION("""COMPUTED_VALUE"""),45866)</f>
        <v>45866</v>
      </c>
      <c r="G134" s="74">
        <f ca="1">IFERROR(__xludf.DUMMYFUNCTION("""COMPUTED_VALUE"""),10.5)</f>
        <v>10.5</v>
      </c>
      <c r="H134" s="74">
        <f ca="1">IFERROR(__xludf.DUMMYFUNCTION("""COMPUTED_VALUE"""),14.7)</f>
        <v>14.7</v>
      </c>
      <c r="I134" s="74">
        <f ca="1">IFERROR(__xludf.DUMMYFUNCTION("""COMPUTED_VALUE"""),15)</f>
        <v>15</v>
      </c>
    </row>
    <row r="135" spans="2:9" ht="27" customHeight="1">
      <c r="B135" s="73" t="str">
        <f ca="1">IFERROR(__xludf.DUMMYFUNCTION("""COMPUTED_VALUE"""),"IMIPENEM+ CILASTATINA")</f>
        <v>IMIPENEM+ CILASTATINA</v>
      </c>
      <c r="C135" s="73" t="str">
        <f ca="1">IFERROR(__xludf.DUMMYFUNCTION("""COMPUTED_VALUE"""),"FRASCO 0.05 POLVO")</f>
        <v>FRASCO 0.05 POLVO</v>
      </c>
      <c r="D135" s="73" t="str">
        <f ca="1">IFERROR(__xludf.DUMMYFUNCTION("""COMPUTED_VALUE"""),"infección de las válvulas y revestimiento del corazón")</f>
        <v>infección de las válvulas y revestimiento del corazón</v>
      </c>
      <c r="E135" s="73" t="str">
        <f ca="1">IFERROR(__xludf.DUMMYFUNCTION("""COMPUTED_VALUE"""),"VITALIS")</f>
        <v>VITALIS</v>
      </c>
      <c r="F135" s="75">
        <f ca="1">IFERROR(__xludf.DUMMYFUNCTION("""COMPUTED_VALUE"""),45869)</f>
        <v>45869</v>
      </c>
      <c r="G135" s="74">
        <f ca="1">IFERROR(__xludf.DUMMYFUNCTION("""COMPUTED_VALUE"""),48)</f>
        <v>48</v>
      </c>
      <c r="H135" s="74">
        <f ca="1">IFERROR(__xludf.DUMMYFUNCTION("""COMPUTED_VALUE"""),67.2)</f>
        <v>67.2</v>
      </c>
      <c r="I135" s="74">
        <f ca="1">IFERROR(__xludf.DUMMYFUNCTION("""COMPUTED_VALUE"""),75)</f>
        <v>75</v>
      </c>
    </row>
    <row r="136" spans="2:9" ht="27" customHeight="1">
      <c r="B136" s="73" t="str">
        <f ca="1">IFERROR(__xludf.DUMMYFUNCTION("""COMPUTED_VALUE"""),"INMUNOGRIP")</f>
        <v>INMUNOGRIP</v>
      </c>
      <c r="C136" s="73" t="str">
        <f ca="1">IFERROR(__xludf.DUMMYFUNCTION("""COMPUTED_VALUE"""),"FRASCO 180ML")</f>
        <v>FRASCO 180ML</v>
      </c>
      <c r="D136" s="73" t="str">
        <f ca="1">IFERROR(__xludf.DUMMYFUNCTION("""COMPUTED_VALUE"""),"JARABE NATURAL")</f>
        <v>JARABE NATURAL</v>
      </c>
      <c r="E136" s="73" t="str">
        <f ca="1">IFERROR(__xludf.DUMMYFUNCTION("""COMPUTED_VALUE"""),"VIZCAINO")</f>
        <v>VIZCAINO</v>
      </c>
      <c r="F136" s="75">
        <f ca="1">IFERROR(__xludf.DUMMYFUNCTION("""COMPUTED_VALUE"""),45896)</f>
        <v>45896</v>
      </c>
      <c r="G136" s="74">
        <f ca="1">IFERROR(__xludf.DUMMYFUNCTION("""COMPUTED_VALUE"""),92.54)</f>
        <v>92.54</v>
      </c>
      <c r="H136" s="74">
        <f ca="1">IFERROR(__xludf.DUMMYFUNCTION("""COMPUTED_VALUE"""),129.556)</f>
        <v>129.55600000000001</v>
      </c>
      <c r="I136" s="74">
        <f ca="1">IFERROR(__xludf.DUMMYFUNCTION("""COMPUTED_VALUE"""),180)</f>
        <v>180</v>
      </c>
    </row>
    <row r="137" spans="2:9" ht="27" customHeight="1">
      <c r="B137" s="73" t="str">
        <f ca="1">IFERROR(__xludf.DUMMYFUNCTION("""COMPUTED_VALUE"""),"INMUNOPHARA")</f>
        <v>INMUNOPHARA</v>
      </c>
      <c r="C137" s="73" t="str">
        <f ca="1">IFERROR(__xludf.DUMMYFUNCTION("""COMPUTED_VALUE"""),"FRASCO 80ML")</f>
        <v>FRASCO 80ML</v>
      </c>
      <c r="D137" s="73" t="str">
        <f ca="1">IFERROR(__xludf.DUMMYFUNCTION("""COMPUTED_VALUE"""),"EXTRACTO DE PELARGONIO, GLICEROLADO DE EQUINACEA")</f>
        <v>EXTRACTO DE PELARGONIO, GLICEROLADO DE EQUINACEA</v>
      </c>
      <c r="E137" s="73" t="str">
        <f ca="1">IFERROR(__xludf.DUMMYFUNCTION("""COMPUTED_VALUE"""),"PHARA")</f>
        <v>PHARA</v>
      </c>
      <c r="F137" s="75">
        <f ca="1">IFERROR(__xludf.DUMMYFUNCTION("""COMPUTED_VALUE"""),45683)</f>
        <v>45683</v>
      </c>
      <c r="G137" s="74">
        <f ca="1">IFERROR(__xludf.DUMMYFUNCTION("""COMPUTED_VALUE"""),117)</f>
        <v>117</v>
      </c>
      <c r="H137" s="74">
        <f ca="1">IFERROR(__xludf.DUMMYFUNCTION("""COMPUTED_VALUE"""),163.8)</f>
        <v>163.80000000000001</v>
      </c>
      <c r="I137" s="74">
        <f ca="1">IFERROR(__xludf.DUMMYFUNCTION("""COMPUTED_VALUE"""),165)</f>
        <v>165</v>
      </c>
    </row>
    <row r="138" spans="2:9" ht="27" customHeight="1">
      <c r="B138" s="73" t="str">
        <f ca="1">IFERROR(__xludf.DUMMYFUNCTION("""COMPUTED_VALUE"""),"INMUNOPHARA")</f>
        <v>INMUNOPHARA</v>
      </c>
      <c r="C138" s="73" t="str">
        <f ca="1">IFERROR(__xludf.DUMMYFUNCTION("""COMPUTED_VALUE"""),"FRASCO 40ML")</f>
        <v>FRASCO 40ML</v>
      </c>
      <c r="D138" s="73" t="str">
        <f ca="1">IFERROR(__xludf.DUMMYFUNCTION("""COMPUTED_VALUE"""),"EXTRACTO DE PELARGONIO, GLICEROLADO DE EQUINACEA")</f>
        <v>EXTRACTO DE PELARGONIO, GLICEROLADO DE EQUINACEA</v>
      </c>
      <c r="E138" s="73" t="str">
        <f ca="1">IFERROR(__xludf.DUMMYFUNCTION("""COMPUTED_VALUE"""),"PHARA")</f>
        <v>PHARA</v>
      </c>
      <c r="F138" s="75">
        <f ca="1">IFERROR(__xludf.DUMMYFUNCTION("""COMPUTED_VALUE"""),45683)</f>
        <v>45683</v>
      </c>
      <c r="G138" s="74">
        <f ca="1">IFERROR(__xludf.DUMMYFUNCTION("""COMPUTED_VALUE"""),68.8)</f>
        <v>68.8</v>
      </c>
      <c r="H138" s="74">
        <f ca="1">IFERROR(__xludf.DUMMYFUNCTION("""COMPUTED_VALUE"""),96.32)</f>
        <v>96.32</v>
      </c>
      <c r="I138" s="74">
        <f ca="1">IFERROR(__xludf.DUMMYFUNCTION("""COMPUTED_VALUE"""),100)</f>
        <v>100</v>
      </c>
    </row>
    <row r="139" spans="2:9" ht="27" customHeight="1">
      <c r="B139" s="73" t="str">
        <f ca="1">IFERROR(__xludf.DUMMYFUNCTION("""COMPUTED_VALUE"""),"INSULEX N")</f>
        <v>INSULEX N</v>
      </c>
      <c r="C139" s="73" t="str">
        <f ca="1">IFERROR(__xludf.DUMMYFUNCTION("""COMPUTED_VALUE"""),"FRASCO 10ML")</f>
        <v>FRASCO 10ML</v>
      </c>
      <c r="D139" s="73" t="str">
        <f ca="1">IFERROR(__xludf.DUMMYFUNCTION("""COMPUTED_VALUE"""),"INSULINA ISOFONA (INSULINA CRISTALINA)")</f>
        <v>INSULINA ISOFONA (INSULINA CRISTALINA)</v>
      </c>
      <c r="E139" s="73" t="str">
        <f ca="1">IFERROR(__xludf.DUMMYFUNCTION("""COMPUTED_VALUE"""),"PISA")</f>
        <v>PISA</v>
      </c>
      <c r="F139" s="75">
        <f ca="1">IFERROR(__xludf.DUMMYFUNCTION("""COMPUTED_VALUE"""),45684)</f>
        <v>45684</v>
      </c>
      <c r="G139" s="74">
        <f ca="1">IFERROR(__xludf.DUMMYFUNCTION("""COMPUTED_VALUE"""),3)</f>
        <v>3</v>
      </c>
      <c r="H139" s="74">
        <f ca="1">IFERROR(__xludf.DUMMYFUNCTION("""COMPUTED_VALUE"""),4.2)</f>
        <v>4.2</v>
      </c>
      <c r="I139" s="74">
        <f ca="1">IFERROR(__xludf.DUMMYFUNCTION("""COMPUTED_VALUE"""),15)</f>
        <v>15</v>
      </c>
    </row>
    <row r="140" spans="2:9" ht="27" customHeight="1">
      <c r="B140" s="73" t="str">
        <f ca="1">IFERROR(__xludf.DUMMYFUNCTION("""COMPUTED_VALUE"""),"IPRAK 750SP")</f>
        <v>IPRAK 750SP</v>
      </c>
      <c r="C140" s="73" t="str">
        <f ca="1">IFERROR(__xludf.DUMMYFUNCTION("""COMPUTED_VALUE"""),"FRASCO 10ML")</f>
        <v>FRASCO 10ML</v>
      </c>
      <c r="D140" s="73" t="str">
        <f ca="1">IFERROR(__xludf.DUMMYFUNCTION("""COMPUTED_VALUE"""),"BROMURO DE IPATROPIUM 750MCG/1ML")</f>
        <v>BROMURO DE IPATROPIUM 750MCG/1ML</v>
      </c>
      <c r="E140" s="73" t="str">
        <f ca="1">IFERROR(__xludf.DUMMYFUNCTION("""COMPUTED_VALUE"""),"DONOVAN WERKE")</f>
        <v>DONOVAN WERKE</v>
      </c>
      <c r="F140" s="75">
        <f ca="1">IFERROR(__xludf.DUMMYFUNCTION("""COMPUTED_VALUE"""),45715)</f>
        <v>45715</v>
      </c>
      <c r="G140" s="74">
        <f ca="1">IFERROR(__xludf.DUMMYFUNCTION("""COMPUTED_VALUE"""),160)</f>
        <v>160</v>
      </c>
      <c r="H140" s="74">
        <f ca="1">IFERROR(__xludf.DUMMYFUNCTION("""COMPUTED_VALUE"""),224)</f>
        <v>224</v>
      </c>
      <c r="I140" s="74">
        <f ca="1">IFERROR(__xludf.DUMMYFUNCTION("""COMPUTED_VALUE"""),225)</f>
        <v>225</v>
      </c>
    </row>
    <row r="141" spans="2:9" ht="27" customHeight="1">
      <c r="B141" s="73" t="str">
        <f ca="1">IFERROR(__xludf.DUMMYFUNCTION("""COMPUTED_VALUE"""),"ISOCRANEOL")</f>
        <v>ISOCRANEOL</v>
      </c>
      <c r="C141" s="73" t="str">
        <f ca="1">IFERROR(__xludf.DUMMYFUNCTION("""COMPUTED_VALUE"""),"CAJA DE 10 TAB.")</f>
        <v>CAJA DE 10 TAB.</v>
      </c>
      <c r="D141" s="73" t="str">
        <f ca="1">IFERROR(__xludf.DUMMYFUNCTION("""COMPUTED_VALUE"""),"CITICOLINA 500MG")</f>
        <v>CITICOLINA 500MG</v>
      </c>
      <c r="E141" s="73" t="str">
        <f ca="1">IFERROR(__xludf.DUMMYFUNCTION("""COMPUTED_VALUE"""),"VIZCAINO")</f>
        <v>VIZCAINO</v>
      </c>
      <c r="F141" s="75">
        <f ca="1">IFERROR(__xludf.DUMMYFUNCTION("""COMPUTED_VALUE"""),45927)</f>
        <v>45927</v>
      </c>
      <c r="G141" s="74">
        <f ca="1">IFERROR(__xludf.DUMMYFUNCTION("""COMPUTED_VALUE"""),155.8)</f>
        <v>155.80000000000001</v>
      </c>
      <c r="H141" s="74">
        <f ca="1">IFERROR(__xludf.DUMMYFUNCTION("""COMPUTED_VALUE"""),218.12)</f>
        <v>218.12</v>
      </c>
      <c r="I141" s="74">
        <f ca="1">IFERROR(__xludf.DUMMYFUNCTION("""COMPUTED_VALUE"""),220)</f>
        <v>220</v>
      </c>
    </row>
    <row r="142" spans="2:9" ht="27" customHeight="1">
      <c r="B142" s="73" t="str">
        <f ca="1">IFERROR(__xludf.DUMMYFUNCTION("""COMPUTED_VALUE"""),"ISOPRINOSINE 250 MG")</f>
        <v>ISOPRINOSINE 250 MG</v>
      </c>
      <c r="C142" s="73" t="str">
        <f ca="1">IFERROR(__xludf.DUMMYFUNCTION("""COMPUTED_VALUE"""),"JARABE FRASCO 5ML")</f>
        <v>JARABE FRASCO 5ML</v>
      </c>
      <c r="D142" s="73" t="str">
        <f ca="1">IFERROR(__xludf.DUMMYFUNCTION("""COMPUTED_VALUE"""),"METISOPRINOL VIA ORAL 5 ML")</f>
        <v>METISOPRINOL VIA ORAL 5 ML</v>
      </c>
      <c r="E142" s="73" t="str">
        <f ca="1">IFERROR(__xludf.DUMMYFUNCTION("""COMPUTED_VALUE"""),"NEW PORT (RESCO)")</f>
        <v>NEW PORT (RESCO)</v>
      </c>
      <c r="F142" s="75">
        <f ca="1">IFERROR(__xludf.DUMMYFUNCTION("""COMPUTED_VALUE"""),45927)</f>
        <v>45927</v>
      </c>
      <c r="G142" s="74">
        <f ca="1">IFERROR(__xludf.DUMMYFUNCTION("""COMPUTED_VALUE"""),47.17)</f>
        <v>47.17</v>
      </c>
      <c r="H142" s="74">
        <f ca="1">IFERROR(__xludf.DUMMYFUNCTION("""COMPUTED_VALUE"""),66.038)</f>
        <v>66.037999999999997</v>
      </c>
      <c r="I142" s="74">
        <f ca="1">IFERROR(__xludf.DUMMYFUNCTION("""COMPUTED_VALUE"""),70)</f>
        <v>70</v>
      </c>
    </row>
    <row r="143" spans="2:9" ht="27" customHeight="1">
      <c r="B143" s="73" t="str">
        <f ca="1">IFERROR(__xludf.DUMMYFUNCTION("""COMPUTED_VALUE"""),"KEROLAC")</f>
        <v>KEROLAC</v>
      </c>
      <c r="C143" s="73" t="str">
        <f ca="1">IFERROR(__xludf.DUMMYFUNCTION("""COMPUTED_VALUE"""),"AMPOLLA 2ML")</f>
        <v>AMPOLLA 2ML</v>
      </c>
      <c r="D143" s="73" t="str">
        <f ca="1">IFERROR(__xludf.DUMMYFUNCTION("""COMPUTED_VALUE"""),"KETOROLACO TROMETAMOL 60MG/2ML")</f>
        <v>KETOROLACO TROMETAMOL 60MG/2ML</v>
      </c>
      <c r="E143" s="73" t="str">
        <f ca="1">IFERROR(__xludf.DUMMYFUNCTION("""COMPUTED_VALUE"""),"QUALIPHARM")</f>
        <v>QUALIPHARM</v>
      </c>
      <c r="F143" s="75">
        <f ca="1">IFERROR(__xludf.DUMMYFUNCTION("""COMPUTED_VALUE"""),45987)</f>
        <v>45987</v>
      </c>
      <c r="G143" s="74">
        <f ca="1">IFERROR(__xludf.DUMMYFUNCTION("""COMPUTED_VALUE"""),20)</f>
        <v>20</v>
      </c>
      <c r="H143" s="74">
        <f ca="1">IFERROR(__xludf.DUMMYFUNCTION("""COMPUTED_VALUE"""),28)</f>
        <v>28</v>
      </c>
      <c r="I143" s="74">
        <f ca="1">IFERROR(__xludf.DUMMYFUNCTION("""COMPUTED_VALUE"""),35)</f>
        <v>35</v>
      </c>
    </row>
    <row r="144" spans="2:9" ht="27" customHeight="1">
      <c r="B144" s="73" t="str">
        <f ca="1">IFERROR(__xludf.DUMMYFUNCTION("""COMPUTED_VALUE"""),"KETAMINA")</f>
        <v>KETAMINA</v>
      </c>
      <c r="C144" s="73" t="str">
        <f ca="1">IFERROR(__xludf.DUMMYFUNCTION("""COMPUTED_VALUE"""),"SOLUCIÒN INYECTABLE 10ML")</f>
        <v>SOLUCIÒN INYECTABLE 10ML</v>
      </c>
      <c r="D144" s="73" t="str">
        <f ca="1">IFERROR(__xludf.DUMMYFUNCTION("""COMPUTED_VALUE"""),"KETAMINA 50MG/ML")</f>
        <v>KETAMINA 50MG/ML</v>
      </c>
      <c r="E144" s="73" t="str">
        <f ca="1">IFERROR(__xludf.DUMMYFUNCTION("""COMPUTED_VALUE"""),"QUALITY")</f>
        <v>QUALITY</v>
      </c>
      <c r="F144" s="75">
        <f ca="1">IFERROR(__xludf.DUMMYFUNCTION("""COMPUTED_VALUE"""),46018)</f>
        <v>46018</v>
      </c>
      <c r="G144" s="74">
        <f ca="1">IFERROR(__xludf.DUMMYFUNCTION("""COMPUTED_VALUE"""),115)</f>
        <v>115</v>
      </c>
      <c r="H144" s="74">
        <f ca="1">IFERROR(__xludf.DUMMYFUNCTION("""COMPUTED_VALUE"""),161)</f>
        <v>161</v>
      </c>
      <c r="I144" s="74">
        <f ca="1">IFERROR(__xludf.DUMMYFUNCTION("""COMPUTED_VALUE"""),165)</f>
        <v>165</v>
      </c>
    </row>
    <row r="145" spans="2:9" ht="27" customHeight="1">
      <c r="B145" s="73" t="str">
        <f ca="1">IFERROR(__xludf.DUMMYFUNCTION("""COMPUTED_VALUE"""),"KID VIT")</f>
        <v>KID VIT</v>
      </c>
      <c r="C145" s="73" t="str">
        <f ca="1">IFERROR(__xludf.DUMMYFUNCTION("""COMPUTED_VALUE"""),"SPRAY 10ML")</f>
        <v>SPRAY 10ML</v>
      </c>
      <c r="D145" s="73" t="str">
        <f ca="1">IFERROR(__xludf.DUMMYFUNCTION("""COMPUTED_VALUE"""),"SUPLEMENTO ALIMENTICIO")</f>
        <v>SUPLEMENTO ALIMENTICIO</v>
      </c>
      <c r="E145" s="73" t="str">
        <f ca="1">IFERROR(__xludf.DUMMYFUNCTION("""COMPUTED_VALUE"""),"FARMEX")</f>
        <v>FARMEX</v>
      </c>
      <c r="F145" s="75">
        <f ca="1">IFERROR(__xludf.DUMMYFUNCTION("""COMPUTED_VALUE"""),45864)</f>
        <v>45864</v>
      </c>
      <c r="G145" s="74">
        <f ca="1">IFERROR(__xludf.DUMMYFUNCTION("""COMPUTED_VALUE"""),60)</f>
        <v>60</v>
      </c>
      <c r="H145" s="74">
        <f ca="1">IFERROR(__xludf.DUMMYFUNCTION("""COMPUTED_VALUE"""),84)</f>
        <v>84</v>
      </c>
      <c r="I145" s="74">
        <f ca="1">IFERROR(__xludf.DUMMYFUNCTION("""COMPUTED_VALUE"""),85)</f>
        <v>85</v>
      </c>
    </row>
    <row r="146" spans="2:9" ht="27" customHeight="1">
      <c r="B146" s="73" t="str">
        <f ca="1">IFERROR(__xludf.DUMMYFUNCTION("""COMPUTED_VALUE"""),"LACIMEN")</f>
        <v>LACIMEN</v>
      </c>
      <c r="C146" s="73" t="str">
        <f ca="1">IFERROR(__xludf.DUMMYFUNCTION("""COMPUTED_VALUE"""),"AMPOLLA 20ML")</f>
        <v>AMPOLLA 20ML</v>
      </c>
      <c r="D146" s="73" t="str">
        <f ca="1">IFERROR(__xludf.DUMMYFUNCTION("""COMPUTED_VALUE"""),"LABETALOL")</f>
        <v>LABETALOL</v>
      </c>
      <c r="E146" s="73" t="str">
        <f ca="1">IFERROR(__xludf.DUMMYFUNCTION("""COMPUTED_VALUE"""),"MENARINI")</f>
        <v>MENARINI</v>
      </c>
      <c r="F146" s="75">
        <f ca="1">IFERROR(__xludf.DUMMYFUNCTION("""COMPUTED_VALUE"""),45714)</f>
        <v>45714</v>
      </c>
      <c r="G146" s="74">
        <f ca="1">IFERROR(__xludf.DUMMYFUNCTION("""COMPUTED_VALUE"""),190.8)</f>
        <v>190.8</v>
      </c>
      <c r="H146" s="74">
        <f ca="1">IFERROR(__xludf.DUMMYFUNCTION("""COMPUTED_VALUE"""),267.12)</f>
        <v>267.12</v>
      </c>
      <c r="I146" s="74">
        <f ca="1">IFERROR(__xludf.DUMMYFUNCTION("""COMPUTED_VALUE"""),270)</f>
        <v>270</v>
      </c>
    </row>
    <row r="147" spans="2:9" ht="27" customHeight="1">
      <c r="B147" s="73" t="str">
        <f ca="1">IFERROR(__xludf.DUMMYFUNCTION("""COMPUTED_VALUE"""),"LAXIGLICOL")</f>
        <v>LAXIGLICOL</v>
      </c>
      <c r="C147" s="73" t="str">
        <f ca="1">IFERROR(__xludf.DUMMYFUNCTION("""COMPUTED_VALUE"""),"FRASCO 119G")</f>
        <v>FRASCO 119G</v>
      </c>
      <c r="D147" s="73" t="str">
        <f ca="1">IFERROR(__xludf.DUMMYFUNCTION("""COMPUTED_VALUE"""),"POLIETILENGLICOL")</f>
        <v>POLIETILENGLICOL</v>
      </c>
      <c r="E147" s="73" t="str">
        <f ca="1">IFERROR(__xludf.DUMMYFUNCTION("""COMPUTED_VALUE"""),"QUALIPHARM")</f>
        <v>QUALIPHARM</v>
      </c>
      <c r="F147" s="75">
        <f ca="1">IFERROR(__xludf.DUMMYFUNCTION("""COMPUTED_VALUE"""),45836)</f>
        <v>45836</v>
      </c>
      <c r="G147" s="74">
        <f ca="1">IFERROR(__xludf.DUMMYFUNCTION("""COMPUTED_VALUE"""),65)</f>
        <v>65</v>
      </c>
      <c r="H147" s="74">
        <f ca="1">IFERROR(__xludf.DUMMYFUNCTION("""COMPUTED_VALUE"""),91)</f>
        <v>91</v>
      </c>
      <c r="I147" s="74">
        <f ca="1">IFERROR(__xludf.DUMMYFUNCTION("""COMPUTED_VALUE"""),90)</f>
        <v>90</v>
      </c>
    </row>
    <row r="148" spans="2:9" ht="27" customHeight="1">
      <c r="B148" s="73" t="str">
        <f ca="1">IFERROR(__xludf.DUMMYFUNCTION("""COMPUTED_VALUE"""),"LEVEN-VIT FORTE")</f>
        <v>LEVEN-VIT FORTE</v>
      </c>
      <c r="C148" s="73" t="str">
        <f ca="1">IFERROR(__xludf.DUMMYFUNCTION("""COMPUTED_VALUE"""),"CAJA 10 AMP. BEBIBLES")</f>
        <v>CAJA 10 AMP. BEBIBLES</v>
      </c>
      <c r="D148" s="73" t="str">
        <f ca="1">IFERROR(__xludf.DUMMYFUNCTION("""COMPUTED_VALUE"""),"ASPARTATO DE ARGININA")</f>
        <v>ASPARTATO DE ARGININA</v>
      </c>
      <c r="E148" s="73" t="str">
        <f ca="1">IFERROR(__xludf.DUMMYFUNCTION("""COMPUTED_VALUE"""),"LEVEN/RESCO")</f>
        <v>LEVEN/RESCO</v>
      </c>
      <c r="F148" s="73" t="str">
        <f ca="1">IFERROR(__xludf.DUMMYFUNCTION("""COMPUTED_VALUE"""),"feb-29")</f>
        <v>feb-29</v>
      </c>
      <c r="G148" s="74">
        <f ca="1">IFERROR(__xludf.DUMMYFUNCTION("""COMPUTED_VALUE"""),71.57)</f>
        <v>71.569999999999993</v>
      </c>
      <c r="H148" s="74">
        <f ca="1">IFERROR(__xludf.DUMMYFUNCTION("""COMPUTED_VALUE"""),100.198)</f>
        <v>100.19799999999999</v>
      </c>
      <c r="I148" s="74">
        <f ca="1">IFERROR(__xludf.DUMMYFUNCTION("""COMPUTED_VALUE"""),115)</f>
        <v>115</v>
      </c>
    </row>
    <row r="149" spans="2:9" ht="27" customHeight="1">
      <c r="B149" s="73" t="str">
        <f ca="1">IFERROR(__xludf.DUMMYFUNCTION("""COMPUTED_VALUE"""),"LEVOFLAXIN 500MG")</f>
        <v>LEVOFLAXIN 500MG</v>
      </c>
      <c r="C149" s="73" t="str">
        <f ca="1">IFERROR(__xludf.DUMMYFUNCTION("""COMPUTED_VALUE"""),"CAJA 7 TAB.")</f>
        <v>CAJA 7 TAB.</v>
      </c>
      <c r="D149" s="73" t="str">
        <f ca="1">IFERROR(__xludf.DUMMYFUNCTION("""COMPUTED_VALUE"""),"LEVOFLOXACINA 500MG")</f>
        <v>LEVOFLOXACINA 500MG</v>
      </c>
      <c r="E149" s="73" t="str">
        <f ca="1">IFERROR(__xludf.DUMMYFUNCTION("""COMPUTED_VALUE"""),"WINZZER")</f>
        <v>WINZZER</v>
      </c>
      <c r="F149" s="75">
        <f ca="1">IFERROR(__xludf.DUMMYFUNCTION("""COMPUTED_VALUE"""),45742)</f>
        <v>45742</v>
      </c>
      <c r="G149" s="74">
        <f ca="1">IFERROR(__xludf.DUMMYFUNCTION("""COMPUTED_VALUE"""),100)</f>
        <v>100</v>
      </c>
      <c r="H149" s="74">
        <f ca="1">IFERROR(__xludf.DUMMYFUNCTION("""COMPUTED_VALUE"""),140)</f>
        <v>140</v>
      </c>
      <c r="I149" s="74">
        <f ca="1">IFERROR(__xludf.DUMMYFUNCTION("""COMPUTED_VALUE"""),180)</f>
        <v>180</v>
      </c>
    </row>
    <row r="150" spans="2:9" ht="27" customHeight="1">
      <c r="B150" s="73" t="str">
        <f ca="1">IFERROR(__xludf.DUMMYFUNCTION("""COMPUTED_VALUE"""),"LEVOFLAXIN 750MG")</f>
        <v>LEVOFLAXIN 750MG</v>
      </c>
      <c r="C150" s="73" t="str">
        <f ca="1">IFERROR(__xludf.DUMMYFUNCTION("""COMPUTED_VALUE"""),"CAJA 5 TAB.")</f>
        <v>CAJA 5 TAB.</v>
      </c>
      <c r="D150" s="73" t="str">
        <f ca="1">IFERROR(__xludf.DUMMYFUNCTION("""COMPUTED_VALUE"""),"LEVOFLOXACINA 750MG")</f>
        <v>LEVOFLOXACINA 750MG</v>
      </c>
      <c r="E150" s="73" t="str">
        <f ca="1">IFERROR(__xludf.DUMMYFUNCTION("""COMPUTED_VALUE"""),"WINZZER")</f>
        <v>WINZZER</v>
      </c>
      <c r="F150" s="75">
        <f ca="1">IFERROR(__xludf.DUMMYFUNCTION("""COMPUTED_VALUE"""),45956)</f>
        <v>45956</v>
      </c>
      <c r="G150" s="74">
        <f ca="1">IFERROR(__xludf.DUMMYFUNCTION("""COMPUTED_VALUE"""),126)</f>
        <v>126</v>
      </c>
      <c r="H150" s="74">
        <f ca="1">IFERROR(__xludf.DUMMYFUNCTION("""COMPUTED_VALUE"""),176.4)</f>
        <v>176.4</v>
      </c>
      <c r="I150" s="74">
        <f ca="1">IFERROR(__xludf.DUMMYFUNCTION("""COMPUTED_VALUE"""),200)</f>
        <v>200</v>
      </c>
    </row>
    <row r="151" spans="2:9" ht="27" customHeight="1">
      <c r="B151" s="73" t="str">
        <f ca="1">IFERROR(__xludf.DUMMYFUNCTION("""COMPUTED_VALUE"""),"LIDOCAINA SIMPLE")</f>
        <v>LIDOCAINA SIMPLE</v>
      </c>
      <c r="C151" s="73" t="str">
        <f ca="1">IFERROR(__xludf.DUMMYFUNCTION("""COMPUTED_VALUE"""),"FRASCO 50ML")</f>
        <v>FRASCO 50ML</v>
      </c>
      <c r="D151" s="73" t="str">
        <f ca="1">IFERROR(__xludf.DUMMYFUNCTION("""COMPUTED_VALUE"""),"LIDOCAINA CLORHIDRATO")</f>
        <v>LIDOCAINA CLORHIDRATO</v>
      </c>
      <c r="E151" s="73" t="str">
        <f ca="1">IFERROR(__xludf.DUMMYFUNCTION("""COMPUTED_VALUE"""),"VITALIS")</f>
        <v>VITALIS</v>
      </c>
      <c r="F151" s="75">
        <f ca="1">IFERROR(__xludf.DUMMYFUNCTION("""COMPUTED_VALUE"""),45896)</f>
        <v>45896</v>
      </c>
      <c r="G151" s="74">
        <f ca="1">IFERROR(__xludf.DUMMYFUNCTION("""COMPUTED_VALUE"""),32)</f>
        <v>32</v>
      </c>
      <c r="H151" s="74">
        <f ca="1">IFERROR(__xludf.DUMMYFUNCTION("""COMPUTED_VALUE"""),44.8)</f>
        <v>44.8</v>
      </c>
      <c r="I151" s="74">
        <f ca="1">IFERROR(__xludf.DUMMYFUNCTION("""COMPUTED_VALUE"""),50)</f>
        <v>50</v>
      </c>
    </row>
    <row r="152" spans="2:9" ht="27" customHeight="1">
      <c r="B152" s="73" t="str">
        <f ca="1">IFERROR(__xludf.DUMMYFUNCTION("""COMPUTED_VALUE"""),"LIMTOX")</f>
        <v>LIMTOX</v>
      </c>
      <c r="C152" s="73" t="str">
        <f ca="1">IFERROR(__xludf.DUMMYFUNCTION("""COMPUTED_VALUE"""),"CAJA 60 SOBRES")</f>
        <v>CAJA 60 SOBRES</v>
      </c>
      <c r="D152" s="73" t="str">
        <f ca="1">IFERROR(__xludf.DUMMYFUNCTION("""COMPUTED_VALUE"""),"LIMTOX")</f>
        <v>LIMTOX</v>
      </c>
      <c r="E152" s="73" t="str">
        <f ca="1">IFERROR(__xludf.DUMMYFUNCTION("""COMPUTED_VALUE"""),"PHARMALAT")</f>
        <v>PHARMALAT</v>
      </c>
      <c r="F152" s="75">
        <f ca="1">IFERROR(__xludf.DUMMYFUNCTION("""COMPUTED_VALUE"""),45956)</f>
        <v>45956</v>
      </c>
      <c r="G152" s="74">
        <f ca="1">IFERROR(__xludf.DUMMYFUNCTION("""COMPUTED_VALUE"""),690)</f>
        <v>690</v>
      </c>
      <c r="H152" s="74">
        <f ca="1">IFERROR(__xludf.DUMMYFUNCTION("""COMPUTED_VALUE"""),966)</f>
        <v>966</v>
      </c>
      <c r="I152" s="74">
        <f ca="1">IFERROR(__xludf.DUMMYFUNCTION("""COMPUTED_VALUE"""),970)</f>
        <v>970</v>
      </c>
    </row>
    <row r="153" spans="2:9" ht="27" customHeight="1">
      <c r="B153" s="73" t="str">
        <f ca="1">IFERROR(__xludf.DUMMYFUNCTION("""COMPUTED_VALUE"""),"LIV.52 DS")</f>
        <v>LIV.52 DS</v>
      </c>
      <c r="C153" s="73" t="str">
        <f ca="1">IFERROR(__xludf.DUMMYFUNCTION("""COMPUTED_VALUE"""),"FRACO DE 60 TAB.")</f>
        <v>FRACO DE 60 TAB.</v>
      </c>
      <c r="D153" s="73" t="str">
        <f ca="1">IFERROR(__xludf.DUMMYFUNCTION("""COMPUTED_VALUE"""),"LIV.52DS")</f>
        <v>LIV.52DS</v>
      </c>
      <c r="E153" s="73" t="str">
        <f ca="1">IFERROR(__xludf.DUMMYFUNCTION("""COMPUTED_VALUE"""),"HIMALAYA")</f>
        <v>HIMALAYA</v>
      </c>
      <c r="F153" s="75">
        <f ca="1">IFERROR(__xludf.DUMMYFUNCTION("""COMPUTED_VALUE"""),45926)</f>
        <v>45926</v>
      </c>
      <c r="G153" s="74">
        <f ca="1">IFERROR(__xludf.DUMMYFUNCTION("""COMPUTED_VALUE"""),124.6)</f>
        <v>124.6</v>
      </c>
      <c r="H153" s="74">
        <f ca="1">IFERROR(__xludf.DUMMYFUNCTION("""COMPUTED_VALUE"""),174.44)</f>
        <v>174.44</v>
      </c>
      <c r="I153" s="74">
        <f ca="1">IFERROR(__xludf.DUMMYFUNCTION("""COMPUTED_VALUE"""),175)</f>
        <v>175</v>
      </c>
    </row>
    <row r="154" spans="2:9" ht="27" customHeight="1">
      <c r="B154" s="73" t="str">
        <f ca="1">IFERROR(__xludf.DUMMYFUNCTION("""COMPUTED_VALUE"""),"LOPERAMIDA MK")</f>
        <v>LOPERAMIDA MK</v>
      </c>
      <c r="C154" s="73" t="str">
        <f ca="1">IFERROR(__xludf.DUMMYFUNCTION("""COMPUTED_VALUE"""),"CAJA DE 30 TABL.")</f>
        <v>CAJA DE 30 TABL.</v>
      </c>
      <c r="D154" s="73" t="str">
        <f ca="1">IFERROR(__xludf.DUMMYFUNCTION("""COMPUTED_VALUE"""),"LOPERAMIDE HUDROCHLORIDE")</f>
        <v>LOPERAMIDE HUDROCHLORIDE</v>
      </c>
      <c r="E154" s="73" t="str">
        <f ca="1">IFERROR(__xludf.DUMMYFUNCTION("""COMPUTED_VALUE"""),"SELECTPHARMA")</f>
        <v>SELECTPHARMA</v>
      </c>
      <c r="F154" s="75">
        <f ca="1">IFERROR(__xludf.DUMMYFUNCTION("""COMPUTED_VALUE"""),45804)</f>
        <v>45804</v>
      </c>
      <c r="G154" s="74">
        <f ca="1">IFERROR(__xludf.DUMMYFUNCTION("""COMPUTED_VALUE"""),12.97)</f>
        <v>12.97</v>
      </c>
      <c r="H154" s="74">
        <f ca="1">IFERROR(__xludf.DUMMYFUNCTION("""COMPUTED_VALUE"""),18.158)</f>
        <v>18.158000000000001</v>
      </c>
      <c r="I154" s="74">
        <f ca="1">IFERROR(__xludf.DUMMYFUNCTION("""COMPUTED_VALUE"""),20)</f>
        <v>20</v>
      </c>
    </row>
    <row r="155" spans="2:9" ht="27" customHeight="1">
      <c r="B155" s="73" t="str">
        <f ca="1">IFERROR(__xludf.DUMMYFUNCTION("""COMPUTED_VALUE"""),"LOTRIAL")</f>
        <v>LOTRIAL</v>
      </c>
      <c r="C155" s="73" t="str">
        <f ca="1">IFERROR(__xludf.DUMMYFUNCTION("""COMPUTED_VALUE"""),"AMPOLLA 2ML")</f>
        <v>AMPOLLA 2ML</v>
      </c>
      <c r="D155" s="73" t="str">
        <f ca="1">IFERROR(__xludf.DUMMYFUNCTION("""COMPUTED_VALUE"""),"ENALAPRILATO")</f>
        <v>ENALAPRILATO</v>
      </c>
      <c r="E155" s="73" t="str">
        <f ca="1">IFERROR(__xludf.DUMMYFUNCTION("""COMPUTED_VALUE"""),"MEGALABS")</f>
        <v>MEGALABS</v>
      </c>
      <c r="F155" s="75">
        <f ca="1">IFERROR(__xludf.DUMMYFUNCTION("""COMPUTED_VALUE"""),45834)</f>
        <v>45834</v>
      </c>
      <c r="G155" s="74">
        <f ca="1">IFERROR(__xludf.DUMMYFUNCTION("""COMPUTED_VALUE"""),175)</f>
        <v>175</v>
      </c>
      <c r="H155" s="74">
        <f ca="1">IFERROR(__xludf.DUMMYFUNCTION("""COMPUTED_VALUE"""),245)</f>
        <v>245</v>
      </c>
      <c r="I155" s="74">
        <f ca="1">IFERROR(__xludf.DUMMYFUNCTION("""COMPUTED_VALUE"""),250)</f>
        <v>250</v>
      </c>
    </row>
    <row r="156" spans="2:9" ht="27" customHeight="1">
      <c r="B156" s="73" t="str">
        <f ca="1">IFERROR(__xludf.DUMMYFUNCTION("""COMPUTED_VALUE"""),"LUBRIWELL")</f>
        <v>LUBRIWELL</v>
      </c>
      <c r="C156" s="73" t="str">
        <f ca="1">IFERROR(__xludf.DUMMYFUNCTION("""COMPUTED_VALUE"""),"GOTAS")</f>
        <v>GOTAS</v>
      </c>
      <c r="D156" s="73" t="str">
        <f ca="1">IFERROR(__xludf.DUMMYFUNCTION("""COMPUTED_VALUE"""),"CARBOXIMETILCELULOSA SODICA0.5%")</f>
        <v>CARBOXIMETILCELULOSA SODICA0.5%</v>
      </c>
      <c r="E156" s="73" t="str">
        <f ca="1">IFERROR(__xludf.DUMMYFUNCTION("""COMPUTED_VALUE"""),"WELLCO")</f>
        <v>WELLCO</v>
      </c>
      <c r="F156" s="75">
        <f ca="1">IFERROR(__xludf.DUMMYFUNCTION("""COMPUTED_VALUE"""),45987)</f>
        <v>45987</v>
      </c>
      <c r="G156" s="74">
        <f ca="1">IFERROR(__xludf.DUMMYFUNCTION("""COMPUTED_VALUE"""),51.6)</f>
        <v>51.6</v>
      </c>
      <c r="H156" s="74">
        <f ca="1">IFERROR(__xludf.DUMMYFUNCTION("""COMPUTED_VALUE"""),72.24)</f>
        <v>72.239999999999995</v>
      </c>
      <c r="I156" s="74">
        <f ca="1">IFERROR(__xludf.DUMMYFUNCTION("""COMPUTED_VALUE"""),90)</f>
        <v>90</v>
      </c>
    </row>
    <row r="157" spans="2:9" ht="27" customHeight="1">
      <c r="B157" s="73" t="str">
        <f ca="1">IFERROR(__xludf.DUMMYFUNCTION("""COMPUTED_VALUE"""),"LUTEVISTA")</f>
        <v>LUTEVISTA</v>
      </c>
      <c r="C157" s="73" t="str">
        <f ca="1">IFERROR(__xludf.DUMMYFUNCTION("""COMPUTED_VALUE"""),"CAJA 30 GELCAPS")</f>
        <v>CAJA 30 GELCAPS</v>
      </c>
      <c r="D157" s="73" t="str">
        <f ca="1">IFERROR(__xludf.DUMMYFUNCTION("""COMPUTED_VALUE"""),"SUPLEMENTO VITAMÍNICO")</f>
        <v>SUPLEMENTO VITAMÍNICO</v>
      </c>
      <c r="E157" s="73" t="str">
        <f ca="1">IFERROR(__xludf.DUMMYFUNCTION("""COMPUTED_VALUE"""),"BROPHARMA")</f>
        <v>BROPHARMA</v>
      </c>
      <c r="F157" s="75">
        <f ca="1">IFERROR(__xludf.DUMMYFUNCTION("""COMPUTED_VALUE"""),45715)</f>
        <v>45715</v>
      </c>
      <c r="G157" s="74">
        <f ca="1">IFERROR(__xludf.DUMMYFUNCTION("""COMPUTED_VALUE"""),90)</f>
        <v>90</v>
      </c>
      <c r="H157" s="74">
        <f ca="1">IFERROR(__xludf.DUMMYFUNCTION("""COMPUTED_VALUE"""),126)</f>
        <v>126</v>
      </c>
      <c r="I157" s="74">
        <f ca="1">IFERROR(__xludf.DUMMYFUNCTION("""COMPUTED_VALUE"""),140)</f>
        <v>140</v>
      </c>
    </row>
    <row r="158" spans="2:9" ht="27" customHeight="1">
      <c r="B158" s="73" t="str">
        <f ca="1">IFERROR(__xludf.DUMMYFUNCTION("""COMPUTED_VALUE"""),"MACROVITAM")</f>
        <v>MACROVITAM</v>
      </c>
      <c r="C158" s="73" t="str">
        <f ca="1">IFERROR(__xludf.DUMMYFUNCTION("""COMPUTED_VALUE"""),"CAJA 30 TAB.")</f>
        <v>CAJA 30 TAB.</v>
      </c>
      <c r="D158" s="73" t="str">
        <f ca="1">IFERROR(__xludf.DUMMYFUNCTION("""COMPUTED_VALUE"""),"MULTIVITAMINICO")</f>
        <v>MULTIVITAMINICO</v>
      </c>
      <c r="E158" s="73" t="str">
        <f ca="1">IFERROR(__xludf.DUMMYFUNCTION("""COMPUTED_VALUE"""),"PHARMALAT")</f>
        <v>PHARMALAT</v>
      </c>
      <c r="F158" s="75">
        <f ca="1">IFERROR(__xludf.DUMMYFUNCTION("""COMPUTED_VALUE"""),45684)</f>
        <v>45684</v>
      </c>
      <c r="G158" s="74">
        <f ca="1">IFERROR(__xludf.DUMMYFUNCTION("""COMPUTED_VALUE"""),73.15)</f>
        <v>73.150000000000006</v>
      </c>
      <c r="H158" s="74">
        <f ca="1">IFERROR(__xludf.DUMMYFUNCTION("""COMPUTED_VALUE"""),102.41)</f>
        <v>102.41</v>
      </c>
      <c r="I158" s="74">
        <f ca="1">IFERROR(__xludf.DUMMYFUNCTION("""COMPUTED_VALUE"""),105)</f>
        <v>105</v>
      </c>
    </row>
    <row r="159" spans="2:9" ht="27" customHeight="1">
      <c r="B159" s="73" t="str">
        <f ca="1">IFERROR(__xludf.DUMMYFUNCTION("""COMPUTED_VALUE"""),"MAGNAGEL")</f>
        <v>MAGNAGEL</v>
      </c>
      <c r="C159" s="73" t="str">
        <f ca="1">IFERROR(__xludf.DUMMYFUNCTION("""COMPUTED_VALUE"""),"FRASCO 360ML")</f>
        <v>FRASCO 360ML</v>
      </c>
      <c r="D159" s="73" t="str">
        <f ca="1">IFERROR(__xludf.DUMMYFUNCTION("""COMPUTED_VALUE"""),"HIDRÓXIDO DE ALUMINIO, HIDRÓXIDO DE MAGNESIO, SIMETICONA")</f>
        <v>HIDRÓXIDO DE ALUMINIO, HIDRÓXIDO DE MAGNESIO, SIMETICONA</v>
      </c>
      <c r="E159" s="73" t="str">
        <f ca="1">IFERROR(__xludf.DUMMYFUNCTION("""COMPUTED_VALUE"""),"ARA STENDHAL")</f>
        <v>ARA STENDHAL</v>
      </c>
      <c r="F159" s="75">
        <f ca="1">IFERROR(__xludf.DUMMYFUNCTION("""COMPUTED_VALUE"""),45774)</f>
        <v>45774</v>
      </c>
      <c r="G159" s="74">
        <f ca="1">IFERROR(__xludf.DUMMYFUNCTION("""COMPUTED_VALUE"""),26)</f>
        <v>26</v>
      </c>
      <c r="H159" s="74">
        <f ca="1">IFERROR(__xludf.DUMMYFUNCTION("""COMPUTED_VALUE"""),36.4)</f>
        <v>36.4</v>
      </c>
      <c r="I159" s="74">
        <f ca="1">IFERROR(__xludf.DUMMYFUNCTION("""COMPUTED_VALUE"""),40)</f>
        <v>40</v>
      </c>
    </row>
    <row r="160" spans="2:9" ht="27" customHeight="1">
      <c r="B160" s="73" t="str">
        <f ca="1">IFERROR(__xludf.DUMMYFUNCTION("""COMPUTED_VALUE"""),"MANITOL")</f>
        <v>MANITOL</v>
      </c>
      <c r="C160" s="73" t="str">
        <f ca="1">IFERROR(__xludf.DUMMYFUNCTION("""COMPUTED_VALUE"""),"FRASCO 10ML")</f>
        <v>FRASCO 10ML</v>
      </c>
      <c r="D160" s="73" t="str">
        <f ca="1">IFERROR(__xludf.DUMMYFUNCTION("""COMPUTED_VALUE"""),"MANITOL AL 25%")</f>
        <v>MANITOL AL 25%</v>
      </c>
      <c r="E160" s="73" t="str">
        <f ca="1">IFERROR(__xludf.DUMMYFUNCTION("""COMPUTED_VALUE"""),"RUIPHARMA")</f>
        <v>RUIPHARMA</v>
      </c>
      <c r="F160" s="75">
        <f ca="1">IFERROR(__xludf.DUMMYFUNCTION("""COMPUTED_VALUE"""),45714)</f>
        <v>45714</v>
      </c>
      <c r="G160" s="74">
        <f ca="1">IFERROR(__xludf.DUMMYFUNCTION("""COMPUTED_VALUE"""),48)</f>
        <v>48</v>
      </c>
      <c r="H160" s="74">
        <f ca="1">IFERROR(__xludf.DUMMYFUNCTION("""COMPUTED_VALUE"""),67.2)</f>
        <v>67.2</v>
      </c>
      <c r="I160" s="74">
        <f ca="1">IFERROR(__xludf.DUMMYFUNCTION("""COMPUTED_VALUE"""),70)</f>
        <v>70</v>
      </c>
    </row>
    <row r="161" spans="2:9" ht="27" customHeight="1">
      <c r="B161" s="73" t="str">
        <f ca="1">IFERROR(__xludf.DUMMYFUNCTION("""COMPUTED_VALUE"""),"MEDISUM")</f>
        <v>MEDISUM</v>
      </c>
      <c r="C161" s="73" t="str">
        <f ca="1">IFERROR(__xludf.DUMMYFUNCTION("""COMPUTED_VALUE"""),"SPRAY")</f>
        <v>SPRAY</v>
      </c>
      <c r="D161" s="73" t="str">
        <f ca="1">IFERROR(__xludf.DUMMYFUNCTION("""COMPUTED_VALUE"""),"PROTECTOR SOLAR")</f>
        <v>PROTECTOR SOLAR</v>
      </c>
      <c r="E161" s="73" t="str">
        <f ca="1">IFERROR(__xludf.DUMMYFUNCTION("""COMPUTED_VALUE"""),"ACM LAB. DERMATOLOGIQUE")</f>
        <v>ACM LAB. DERMATOLOGIQUE</v>
      </c>
      <c r="F161" s="75">
        <f ca="1">IFERROR(__xludf.DUMMYFUNCTION("""COMPUTED_VALUE"""),45894)</f>
        <v>45894</v>
      </c>
      <c r="G161" s="74">
        <f ca="1">IFERROR(__xludf.DUMMYFUNCTION("""COMPUTED_VALUE"""),127.81)</f>
        <v>127.81</v>
      </c>
      <c r="H161" s="74">
        <f ca="1">IFERROR(__xludf.DUMMYFUNCTION("""COMPUTED_VALUE"""),178.934)</f>
        <v>178.934</v>
      </c>
      <c r="I161" s="74">
        <f ca="1">IFERROR(__xludf.DUMMYFUNCTION("""COMPUTED_VALUE"""),180)</f>
        <v>180</v>
      </c>
    </row>
    <row r="162" spans="2:9" ht="27" customHeight="1">
      <c r="B162" s="73" t="str">
        <f ca="1">IFERROR(__xludf.DUMMYFUNCTION("""COMPUTED_VALUE"""),"MENADERM OTOLÓGICO")</f>
        <v>MENADERM OTOLÓGICO</v>
      </c>
      <c r="C162" s="73" t="str">
        <f ca="1">IFERROR(__xludf.DUMMYFUNCTION("""COMPUTED_VALUE"""),"GOTERO 10ML")</f>
        <v>GOTERO 10ML</v>
      </c>
      <c r="D162" s="73" t="str">
        <f ca="1">IFERROR(__xludf.DUMMYFUNCTION("""COMPUTED_VALUE"""),"BECLOMETASONA 0.25MG+CLIOQUINOL 0.01G/ML")</f>
        <v>BECLOMETASONA 0.25MG+CLIOQUINOL 0.01G/ML</v>
      </c>
      <c r="E162" s="73" t="str">
        <f ca="1">IFERROR(__xludf.DUMMYFUNCTION("""COMPUTED_VALUE"""),"MENARINI")</f>
        <v>MENARINI</v>
      </c>
      <c r="F162" s="75">
        <f ca="1">IFERROR(__xludf.DUMMYFUNCTION("""COMPUTED_VALUE"""),45926)</f>
        <v>45926</v>
      </c>
      <c r="G162" s="74">
        <f ca="1">IFERROR(__xludf.DUMMYFUNCTION("""COMPUTED_VALUE"""),87.28)</f>
        <v>87.28</v>
      </c>
      <c r="H162" s="74">
        <f ca="1">IFERROR(__xludf.DUMMYFUNCTION("""COMPUTED_VALUE"""),122.192)</f>
        <v>122.19199999999999</v>
      </c>
      <c r="I162" s="74">
        <f ca="1">IFERROR(__xludf.DUMMYFUNCTION("""COMPUTED_VALUE"""),125)</f>
        <v>125</v>
      </c>
    </row>
    <row r="163" spans="2:9" ht="27" customHeight="1">
      <c r="B163" s="73" t="str">
        <f ca="1">IFERROR(__xludf.DUMMYFUNCTION("""COMPUTED_VALUE"""),"MERLIX DEXKETOFRENO")</f>
        <v>MERLIX DEXKETOFRENO</v>
      </c>
      <c r="C163" s="73" t="str">
        <f ca="1">IFERROR(__xludf.DUMMYFUNCTION("""COMPUTED_VALUE"""),"SOBRES SOLUCION ORAL")</f>
        <v>SOBRES SOLUCION ORAL</v>
      </c>
      <c r="D163" s="73" t="str">
        <f ca="1">IFERROR(__xludf.DUMMYFUNCTION("""COMPUTED_VALUE"""),"DEXKETOFRENO 25MG")</f>
        <v>DEXKETOFRENO 25MG</v>
      </c>
      <c r="E163" s="73" t="str">
        <f ca="1">IFERROR(__xludf.DUMMYFUNCTION("""COMPUTED_VALUE"""),"LUMINOVA (COIDE)")</f>
        <v>LUMINOVA (COIDE)</v>
      </c>
      <c r="F163" s="75">
        <f ca="1">IFERROR(__xludf.DUMMYFUNCTION("""COMPUTED_VALUE"""),45803)</f>
        <v>45803</v>
      </c>
      <c r="G163" s="74">
        <f ca="1">IFERROR(__xludf.DUMMYFUNCTION("""COMPUTED_VALUE"""),6.9)</f>
        <v>6.9</v>
      </c>
      <c r="H163" s="74">
        <f ca="1">IFERROR(__xludf.DUMMYFUNCTION("""COMPUTED_VALUE"""),9.66)</f>
        <v>9.66</v>
      </c>
      <c r="I163" s="74">
        <f ca="1">IFERROR(__xludf.DUMMYFUNCTION("""COMPUTED_VALUE"""),10)</f>
        <v>10</v>
      </c>
    </row>
    <row r="164" spans="2:9" ht="27" customHeight="1">
      <c r="B164" s="73" t="str">
        <f ca="1">IFERROR(__xludf.DUMMYFUNCTION("""COMPUTED_VALUE"""),"MERLIX DEXKETOFRENO")</f>
        <v>MERLIX DEXKETOFRENO</v>
      </c>
      <c r="C164" s="73" t="str">
        <f ca="1">IFERROR(__xludf.DUMMYFUNCTION("""COMPUTED_VALUE"""),"AMPOLLAS")</f>
        <v>AMPOLLAS</v>
      </c>
      <c r="D164" s="73" t="str">
        <f ca="1">IFERROR(__xludf.DUMMYFUNCTION("""COMPUTED_VALUE"""),"DEXKETOFRENO 25MG")</f>
        <v>DEXKETOFRENO 25MG</v>
      </c>
      <c r="E164" s="73" t="str">
        <f ca="1">IFERROR(__xludf.DUMMYFUNCTION("""COMPUTED_VALUE"""),"LUMINOVA (COIDE)")</f>
        <v>LUMINOVA (COIDE)</v>
      </c>
      <c r="F164" s="75">
        <f ca="1">IFERROR(__xludf.DUMMYFUNCTION("""COMPUTED_VALUE"""),45803)</f>
        <v>45803</v>
      </c>
      <c r="G164" s="74">
        <f ca="1">IFERROR(__xludf.DUMMYFUNCTION("""COMPUTED_VALUE"""),10)</f>
        <v>10</v>
      </c>
      <c r="H164" s="74">
        <f ca="1">IFERROR(__xludf.DUMMYFUNCTION("""COMPUTED_VALUE"""),14)</f>
        <v>14</v>
      </c>
      <c r="I164" s="74">
        <f ca="1">IFERROR(__xludf.DUMMYFUNCTION("""COMPUTED_VALUE"""),35)</f>
        <v>35</v>
      </c>
    </row>
    <row r="165" spans="2:9" ht="27" customHeight="1">
      <c r="B165" s="73" t="str">
        <f ca="1">IFERROR(__xludf.DUMMYFUNCTION("""COMPUTED_VALUE"""),"MEROPENEM 500MG")</f>
        <v>MEROPENEM 500MG</v>
      </c>
      <c r="C165" s="73" t="str">
        <f ca="1">IFERROR(__xludf.DUMMYFUNCTION("""COMPUTED_VALUE"""),"POLVO PARA SOLUCIÓN INYEC.")</f>
        <v>POLVO PARA SOLUCIÓN INYEC.</v>
      </c>
      <c r="D165" s="73" t="str">
        <f ca="1">IFERROR(__xludf.DUMMYFUNCTION("""COMPUTED_VALUE"""),"MEROPENEM 500MG")</f>
        <v>MEROPENEM 500MG</v>
      </c>
      <c r="E165" s="73" t="str">
        <f ca="1">IFERROR(__xludf.DUMMYFUNCTION("""COMPUTED_VALUE"""),"VITALIS")</f>
        <v>VITALIS</v>
      </c>
      <c r="F165" s="75">
        <f ca="1">IFERROR(__xludf.DUMMYFUNCTION("""COMPUTED_VALUE"""),45715)</f>
        <v>45715</v>
      </c>
      <c r="G165" s="74">
        <f ca="1">IFERROR(__xludf.DUMMYFUNCTION("""COMPUTED_VALUE"""),28.5)</f>
        <v>28.5</v>
      </c>
      <c r="H165" s="74">
        <f ca="1">IFERROR(__xludf.DUMMYFUNCTION("""COMPUTED_VALUE"""),39.9)</f>
        <v>39.9</v>
      </c>
      <c r="I165" s="74">
        <f ca="1">IFERROR(__xludf.DUMMYFUNCTION("""COMPUTED_VALUE"""),100)</f>
        <v>100</v>
      </c>
    </row>
    <row r="166" spans="2:9" ht="27" customHeight="1">
      <c r="B166" s="73" t="str">
        <f ca="1">IFERROR(__xludf.DUMMYFUNCTION("""COMPUTED_VALUE"""),"METFORMINA 850MG")</f>
        <v>METFORMINA 850MG</v>
      </c>
      <c r="C166" s="73" t="str">
        <f ca="1">IFERROR(__xludf.DUMMYFUNCTION("""COMPUTED_VALUE"""),"BLISTER 10 TAB.")</f>
        <v>BLISTER 10 TAB.</v>
      </c>
      <c r="D166" s="73" t="str">
        <f ca="1">IFERROR(__xludf.DUMMYFUNCTION("""COMPUTED_VALUE"""),"METFORMINA 850MG")</f>
        <v>METFORMINA 850MG</v>
      </c>
      <c r="E166" s="73" t="str">
        <f ca="1">IFERROR(__xludf.DUMMYFUNCTION("""COMPUTED_VALUE"""),"UMEDICA")</f>
        <v>UMEDICA</v>
      </c>
      <c r="F166" s="75">
        <f ca="1">IFERROR(__xludf.DUMMYFUNCTION("""COMPUTED_VALUE"""),45955)</f>
        <v>45955</v>
      </c>
      <c r="G166" s="74">
        <f ca="1">IFERROR(__xludf.DUMMYFUNCTION("""COMPUTED_VALUE"""),10)</f>
        <v>10</v>
      </c>
      <c r="H166" s="74">
        <f ca="1">IFERROR(__xludf.DUMMYFUNCTION("""COMPUTED_VALUE"""),14)</f>
        <v>14</v>
      </c>
      <c r="I166" s="74">
        <f ca="1">IFERROR(__xludf.DUMMYFUNCTION("""COMPUTED_VALUE"""),15)</f>
        <v>15</v>
      </c>
    </row>
    <row r="167" spans="2:9" ht="27" customHeight="1">
      <c r="B167" s="73" t="str">
        <f ca="1">IFERROR(__xludf.DUMMYFUNCTION("""COMPUTED_VALUE"""),"METILPREDNISOLONA")</f>
        <v>METILPREDNISOLONA</v>
      </c>
      <c r="C167" s="73" t="str">
        <f ca="1">IFERROR(__xludf.DUMMYFUNCTION("""COMPUTED_VALUE"""),"FRASCO IV")</f>
        <v>FRASCO IV</v>
      </c>
      <c r="D167" s="73" t="str">
        <f ca="1">IFERROR(__xludf.DUMMYFUNCTION("""COMPUTED_VALUE"""),"METILPERDNISOLOLA 1G.")</f>
        <v>METILPERDNISOLOLA 1G.</v>
      </c>
      <c r="E167" s="73" t="str">
        <f ca="1">IFERROR(__xludf.DUMMYFUNCTION("""COMPUTED_VALUE"""),"DISSA/SELECTPHARMA")</f>
        <v>DISSA/SELECTPHARMA</v>
      </c>
      <c r="F167" s="75">
        <f ca="1">IFERROR(__xludf.DUMMYFUNCTION("""COMPUTED_VALUE"""),45684)</f>
        <v>45684</v>
      </c>
      <c r="G167" s="74">
        <f ca="1">IFERROR(__xludf.DUMMYFUNCTION("""COMPUTED_VALUE"""),51)</f>
        <v>51</v>
      </c>
      <c r="H167" s="74">
        <f ca="1">IFERROR(__xludf.DUMMYFUNCTION("""COMPUTED_VALUE"""),71.4)</f>
        <v>71.400000000000006</v>
      </c>
      <c r="I167" s="74">
        <f ca="1">IFERROR(__xludf.DUMMYFUNCTION("""COMPUTED_VALUE"""),130)</f>
        <v>130</v>
      </c>
    </row>
    <row r="168" spans="2:9" ht="27" customHeight="1">
      <c r="B168" s="73" t="str">
        <f ca="1">IFERROR(__xludf.DUMMYFUNCTION("""COMPUTED_VALUE"""),"METOCARBAN")</f>
        <v>METOCARBAN</v>
      </c>
      <c r="C168" s="73" t="str">
        <f ca="1">IFERROR(__xludf.DUMMYFUNCTION("""COMPUTED_VALUE"""),"AMPOLLA 5ML")</f>
        <v>AMPOLLA 5ML</v>
      </c>
      <c r="D168" s="73" t="str">
        <f ca="1">IFERROR(__xludf.DUMMYFUNCTION("""COMPUTED_VALUE"""),"METOCARBAMOL 100MG")</f>
        <v>METOCARBAMOL 100MG</v>
      </c>
      <c r="E168" s="73" t="str">
        <f ca="1">IFERROR(__xludf.DUMMYFUNCTION("""COMPUTED_VALUE"""),"INFASA")</f>
        <v>INFASA</v>
      </c>
      <c r="F168" s="75">
        <f ca="1">IFERROR(__xludf.DUMMYFUNCTION("""COMPUTED_VALUE"""),45775)</f>
        <v>45775</v>
      </c>
      <c r="G168" s="74">
        <f ca="1">IFERROR(__xludf.DUMMYFUNCTION("""COMPUTED_VALUE"""),18.35)</f>
        <v>18.350000000000001</v>
      </c>
      <c r="H168" s="74">
        <f ca="1">IFERROR(__xludf.DUMMYFUNCTION("""COMPUTED_VALUE"""),25.69)</f>
        <v>25.69</v>
      </c>
      <c r="I168" s="74">
        <f ca="1">IFERROR(__xludf.DUMMYFUNCTION("""COMPUTED_VALUE"""),30)</f>
        <v>30</v>
      </c>
    </row>
    <row r="169" spans="2:9" ht="27" customHeight="1">
      <c r="B169" s="73" t="str">
        <f ca="1">IFERROR(__xludf.DUMMYFUNCTION("""COMPUTED_VALUE"""),"METOCARBAN AC")</f>
        <v>METOCARBAN AC</v>
      </c>
      <c r="C169" s="73" t="str">
        <f ca="1">IFERROR(__xludf.DUMMYFUNCTION("""COMPUTED_VALUE"""),"CAJA 30 TAB.")</f>
        <v>CAJA 30 TAB.</v>
      </c>
      <c r="D169" s="73" t="str">
        <f ca="1">IFERROR(__xludf.DUMMYFUNCTION("""COMPUTED_VALUE"""),"METOCARBAMOL 400MG + ACETAMINOFÉN 250MG")</f>
        <v>METOCARBAMOL 400MG + ACETAMINOFÉN 250MG</v>
      </c>
      <c r="E169" s="73" t="str">
        <f ca="1">IFERROR(__xludf.DUMMYFUNCTION("""COMPUTED_VALUE"""),"INFASA")</f>
        <v>INFASA</v>
      </c>
      <c r="F169" s="75">
        <f ca="1">IFERROR(__xludf.DUMMYFUNCTION("""COMPUTED_VALUE"""),45805)</f>
        <v>45805</v>
      </c>
      <c r="G169" s="74">
        <f ca="1">IFERROR(__xludf.DUMMYFUNCTION("""COMPUTED_VALUE"""),54.7)</f>
        <v>54.7</v>
      </c>
      <c r="H169" s="74">
        <f ca="1">IFERROR(__xludf.DUMMYFUNCTION("""COMPUTED_VALUE"""),76.58)</f>
        <v>76.58</v>
      </c>
      <c r="I169" s="74">
        <f ca="1">IFERROR(__xludf.DUMMYFUNCTION("""COMPUTED_VALUE"""),80)</f>
        <v>80</v>
      </c>
    </row>
    <row r="170" spans="2:9" ht="27" customHeight="1">
      <c r="B170" s="73" t="str">
        <f ca="1">IFERROR(__xludf.DUMMYFUNCTION("""COMPUTED_VALUE"""),"METOCLOPRAMIDA")</f>
        <v>METOCLOPRAMIDA</v>
      </c>
      <c r="C170" s="73" t="str">
        <f ca="1">IFERROR(__xludf.DUMMYFUNCTION("""COMPUTED_VALUE"""),"AMPOLLA")</f>
        <v>AMPOLLA</v>
      </c>
      <c r="D170" s="73" t="str">
        <f ca="1">IFERROR(__xludf.DUMMYFUNCTION("""COMPUTED_VALUE"""),"METOCLOPRAMIDA")</f>
        <v>METOCLOPRAMIDA</v>
      </c>
      <c r="E170" s="73" t="str">
        <f ca="1">IFERROR(__xludf.DUMMYFUNCTION("""COMPUTED_VALUE"""),"SELECTPHARMA")</f>
        <v>SELECTPHARMA</v>
      </c>
      <c r="F170" s="75">
        <f ca="1">IFERROR(__xludf.DUMMYFUNCTION("""COMPUTED_VALUE"""),46017)</f>
        <v>46017</v>
      </c>
      <c r="G170" s="74">
        <f ca="1">IFERROR(__xludf.DUMMYFUNCTION("""COMPUTED_VALUE"""),3.34)</f>
        <v>3.34</v>
      </c>
      <c r="H170" s="74">
        <f ca="1">IFERROR(__xludf.DUMMYFUNCTION("""COMPUTED_VALUE"""),4.676)</f>
        <v>4.6760000000000002</v>
      </c>
      <c r="I170" s="74">
        <f ca="1">IFERROR(__xludf.DUMMYFUNCTION("""COMPUTED_VALUE"""),30)</f>
        <v>30</v>
      </c>
    </row>
    <row r="171" spans="2:9" ht="27" customHeight="1">
      <c r="B171" s="73" t="str">
        <f ca="1">IFERROR(__xludf.DUMMYFUNCTION("""COMPUTED_VALUE"""),"MIDAZOLAM")</f>
        <v>MIDAZOLAM</v>
      </c>
      <c r="C171" s="73" t="str">
        <f ca="1">IFERROR(__xludf.DUMMYFUNCTION("""COMPUTED_VALUE"""),"AMPOLLA")</f>
        <v>AMPOLLA</v>
      </c>
      <c r="D171" s="73" t="str">
        <f ca="1">IFERROR(__xludf.DUMMYFUNCTION("""COMPUTED_VALUE"""),"MIDAZOLAM")</f>
        <v>MIDAZOLAM</v>
      </c>
      <c r="E171" s="73" t="str">
        <f ca="1">IFERROR(__xludf.DUMMYFUNCTION("""COMPUTED_VALUE"""),"ARPHARMA")</f>
        <v>ARPHARMA</v>
      </c>
      <c r="F171" s="75">
        <f ca="1">IFERROR(__xludf.DUMMYFUNCTION("""COMPUTED_VALUE"""),45835)</f>
        <v>45835</v>
      </c>
      <c r="G171" s="74">
        <f ca="1">IFERROR(__xludf.DUMMYFUNCTION("""COMPUTED_VALUE"""),58)</f>
        <v>58</v>
      </c>
      <c r="H171" s="74">
        <f ca="1">IFERROR(__xludf.DUMMYFUNCTION("""COMPUTED_VALUE"""),81.2)</f>
        <v>81.2</v>
      </c>
      <c r="I171" s="74">
        <f ca="1">IFERROR(__xludf.DUMMYFUNCTION("""COMPUTED_VALUE"""),85)</f>
        <v>85</v>
      </c>
    </row>
    <row r="172" spans="2:9" ht="27" customHeight="1">
      <c r="B172" s="73" t="str">
        <f ca="1">IFERROR(__xludf.DUMMYFUNCTION("""COMPUTED_VALUE"""),"MINART AM")</f>
        <v>MINART AM</v>
      </c>
      <c r="C172" s="73" t="str">
        <f ca="1">IFERROR(__xludf.DUMMYFUNCTION("""COMPUTED_VALUE"""),"CAJA 14 TABLETAS")</f>
        <v>CAJA 14 TABLETAS</v>
      </c>
      <c r="D172" s="73" t="str">
        <f ca="1">IFERROR(__xludf.DUMMYFUNCTION("""COMPUTED_VALUE"""),"CANDESARTÁN CILEXETIL 16MG/AMLODIPINA2.5MG")</f>
        <v>CANDESARTÁN CILEXETIL 16MG/AMLODIPINA2.5MG</v>
      </c>
      <c r="E172" s="73" t="str">
        <f ca="1">IFERROR(__xludf.DUMMYFUNCTION("""COMPUTED_VALUE"""),"MERCK Bofasa")</f>
        <v>MERCK Bofasa</v>
      </c>
      <c r="F172" s="75">
        <f ca="1">IFERROR(__xludf.DUMMYFUNCTION("""COMPUTED_VALUE"""),45864)</f>
        <v>45864</v>
      </c>
      <c r="G172" s="74">
        <f ca="1">IFERROR(__xludf.DUMMYFUNCTION("""COMPUTED_VALUE"""),184.2)</f>
        <v>184.2</v>
      </c>
      <c r="H172" s="74">
        <f ca="1">IFERROR(__xludf.DUMMYFUNCTION("""COMPUTED_VALUE"""),257.88)</f>
        <v>257.88</v>
      </c>
      <c r="I172" s="74">
        <f ca="1">IFERROR(__xludf.DUMMYFUNCTION("""COMPUTED_VALUE"""),260)</f>
        <v>260</v>
      </c>
    </row>
    <row r="173" spans="2:9" ht="27" customHeight="1">
      <c r="B173" s="73" t="str">
        <f ca="1">IFERROR(__xludf.DUMMYFUNCTION("""COMPUTED_VALUE"""),"MORFINA")</f>
        <v>MORFINA</v>
      </c>
      <c r="C173" s="73" t="str">
        <f ca="1">IFERROR(__xludf.DUMMYFUNCTION("""COMPUTED_VALUE"""),"AMPOLLA")</f>
        <v>AMPOLLA</v>
      </c>
      <c r="D173" s="73" t="str">
        <f ca="1">IFERROR(__xludf.DUMMYFUNCTION("""COMPUTED_VALUE"""),"MOFINA SULFATO 10MG/ML")</f>
        <v>MOFINA SULFATO 10MG/ML</v>
      </c>
      <c r="E173" s="73" t="str">
        <f ca="1">IFERROR(__xludf.DUMMYFUNCTION("""COMPUTED_VALUE"""),"ARPHARMA")</f>
        <v>ARPHARMA</v>
      </c>
      <c r="F173" s="75">
        <f ca="1">IFERROR(__xludf.DUMMYFUNCTION("""COMPUTED_VALUE"""),45986)</f>
        <v>45986</v>
      </c>
      <c r="G173" s="74">
        <f ca="1">IFERROR(__xludf.DUMMYFUNCTION("""COMPUTED_VALUE"""),52.5)</f>
        <v>52.5</v>
      </c>
      <c r="H173" s="74">
        <f ca="1">IFERROR(__xludf.DUMMYFUNCTION("""COMPUTED_VALUE"""),73.5)</f>
        <v>73.5</v>
      </c>
      <c r="I173" s="74">
        <f ca="1">IFERROR(__xludf.DUMMYFUNCTION("""COMPUTED_VALUE"""),75)</f>
        <v>75</v>
      </c>
    </row>
    <row r="174" spans="2:9" ht="27" customHeight="1">
      <c r="B174" s="73" t="str">
        <f ca="1">IFERROR(__xludf.DUMMYFUNCTION("""COMPUTED_VALUE"""),"NAGREG")</f>
        <v>NAGREG</v>
      </c>
      <c r="C174" s="73" t="str">
        <f ca="1">IFERROR(__xludf.DUMMYFUNCTION("""COMPUTED_VALUE"""),"CAJA 10 TABLETAS")</f>
        <v>CAJA 10 TABLETAS</v>
      </c>
      <c r="D174" s="73" t="str">
        <f ca="1">IFERROR(__xludf.DUMMYFUNCTION("""COMPUTED_VALUE"""),"RUPATADINA 10MG")</f>
        <v>RUPATADINA 10MG</v>
      </c>
      <c r="E174" s="73" t="str">
        <f ca="1">IFERROR(__xludf.DUMMYFUNCTION("""COMPUTED_VALUE"""),"ALTIAN PHARMA")</f>
        <v>ALTIAN PHARMA</v>
      </c>
      <c r="F174" s="75">
        <f ca="1">IFERROR(__xludf.DUMMYFUNCTION("""COMPUTED_VALUE"""),45835)</f>
        <v>45835</v>
      </c>
      <c r="G174" s="74">
        <f ca="1">IFERROR(__xludf.DUMMYFUNCTION("""COMPUTED_VALUE"""),122.3)</f>
        <v>122.3</v>
      </c>
      <c r="H174" s="74">
        <f ca="1">IFERROR(__xludf.DUMMYFUNCTION("""COMPUTED_VALUE"""),171.22)</f>
        <v>171.22</v>
      </c>
      <c r="I174" s="74">
        <f ca="1">IFERROR(__xludf.DUMMYFUNCTION("""COMPUTED_VALUE"""),175)</f>
        <v>175</v>
      </c>
    </row>
    <row r="175" spans="2:9" ht="27" customHeight="1">
      <c r="B175" s="73" t="str">
        <f ca="1">IFERROR(__xludf.DUMMYFUNCTION("""COMPUTED_VALUE"""),"NATRASOL 50MG")</f>
        <v>NATRASOL 50MG</v>
      </c>
      <c r="C175" s="73" t="str">
        <f ca="1">IFERROR(__xludf.DUMMYFUNCTION("""COMPUTED_VALUE"""),"CAJA 30 TABLETAS")</f>
        <v>CAJA 30 TABLETAS</v>
      </c>
      <c r="D175" s="73" t="str">
        <f ca="1">IFERROR(__xludf.DUMMYFUNCTION("""COMPUTED_VALUE"""),"LOSARTÀN POTASICO 50MG")</f>
        <v>LOSARTÀN POTASICO 50MG</v>
      </c>
      <c r="E175" s="73" t="str">
        <f ca="1">IFERROR(__xludf.DUMMYFUNCTION("""COMPUTED_VALUE"""),"FARMA SWISS")</f>
        <v>FARMA SWISS</v>
      </c>
      <c r="F175" s="75">
        <f ca="1">IFERROR(__xludf.DUMMYFUNCTION("""COMPUTED_VALUE"""),46018)</f>
        <v>46018</v>
      </c>
      <c r="G175" s="74">
        <f ca="1">IFERROR(__xludf.DUMMYFUNCTION("""COMPUTED_VALUE"""),80)</f>
        <v>80</v>
      </c>
      <c r="H175" s="74">
        <f ca="1">IFERROR(__xludf.DUMMYFUNCTION("""COMPUTED_VALUE"""),112)</f>
        <v>112</v>
      </c>
      <c r="I175" s="74">
        <f ca="1">IFERROR(__xludf.DUMMYFUNCTION("""COMPUTED_VALUE"""),115)</f>
        <v>115</v>
      </c>
    </row>
    <row r="176" spans="2:9" ht="27" customHeight="1">
      <c r="B176" s="73" t="str">
        <f ca="1">IFERROR(__xludf.DUMMYFUNCTION("""COMPUTED_VALUE"""),"NAUSEOL")</f>
        <v>NAUSEOL</v>
      </c>
      <c r="C176" s="73" t="str">
        <f ca="1">IFERROR(__xludf.DUMMYFUNCTION("""COMPUTED_VALUE"""),"AMPOLLA")</f>
        <v>AMPOLLA</v>
      </c>
      <c r="D176" s="73" t="str">
        <f ca="1">IFERROR(__xludf.DUMMYFUNCTION("""COMPUTED_VALUE"""),"NAUSEOL")</f>
        <v>NAUSEOL</v>
      </c>
      <c r="E176" s="73" t="str">
        <f ca="1">IFERROR(__xludf.DUMMYFUNCTION("""COMPUTED_VALUE"""),"BONIN H&amp;L")</f>
        <v>BONIN H&amp;L</v>
      </c>
      <c r="F176" s="75">
        <f ca="1">IFERROR(__xludf.DUMMYFUNCTION("""COMPUTED_VALUE"""),45686)</f>
        <v>45686</v>
      </c>
      <c r="G176" s="74">
        <f ca="1">IFERROR(__xludf.DUMMYFUNCTION("""COMPUTED_VALUE"""),6.9)</f>
        <v>6.9</v>
      </c>
      <c r="H176" s="74">
        <f ca="1">IFERROR(__xludf.DUMMYFUNCTION("""COMPUTED_VALUE"""),9.66)</f>
        <v>9.66</v>
      </c>
      <c r="I176" s="74">
        <f ca="1">IFERROR(__xludf.DUMMYFUNCTION("""COMPUTED_VALUE"""),30)</f>
        <v>30</v>
      </c>
    </row>
    <row r="177" spans="2:9" ht="27" customHeight="1">
      <c r="B177" s="73" t="str">
        <f ca="1">IFERROR(__xludf.DUMMYFUNCTION("""COMPUTED_VALUE"""),"NAUXIL")</f>
        <v>NAUXIL</v>
      </c>
      <c r="C177" s="73" t="str">
        <f ca="1">IFERROR(__xludf.DUMMYFUNCTION("""COMPUTED_VALUE"""),"FRASCO 30ML")</f>
        <v>FRASCO 30ML</v>
      </c>
      <c r="D177" s="73" t="str">
        <f ca="1">IFERROR(__xludf.DUMMYFUNCTION("""COMPUTED_VALUE"""),"DOXILAMINA 10MG+PIRIDOXINA 10MG")</f>
        <v>DOXILAMINA 10MG+PIRIDOXINA 10MG</v>
      </c>
      <c r="E177" s="73" t="str">
        <f ca="1">IFERROR(__xludf.DUMMYFUNCTION("""COMPUTED_VALUE"""),"QUALIPHARM")</f>
        <v>QUALIPHARM</v>
      </c>
      <c r="F177" s="75">
        <f ca="1">IFERROR(__xludf.DUMMYFUNCTION("""COMPUTED_VALUE"""),46017)</f>
        <v>46017</v>
      </c>
      <c r="G177" s="74">
        <f ca="1">IFERROR(__xludf.DUMMYFUNCTION("""COMPUTED_VALUE"""),20)</f>
        <v>20</v>
      </c>
      <c r="H177" s="74">
        <f ca="1">IFERROR(__xludf.DUMMYFUNCTION("""COMPUTED_VALUE"""),28)</f>
        <v>28</v>
      </c>
      <c r="I177" s="74">
        <f ca="1">IFERROR(__xludf.DUMMYFUNCTION("""COMPUTED_VALUE"""),30)</f>
        <v>30</v>
      </c>
    </row>
    <row r="178" spans="2:9" ht="27" customHeight="1">
      <c r="B178" s="73" t="str">
        <f ca="1">IFERROR(__xludf.DUMMYFUNCTION("""COMPUTED_VALUE"""),"NEOTREX")</f>
        <v>NEOTREX</v>
      </c>
      <c r="C178" s="73" t="str">
        <f ca="1">IFERROR(__xludf.DUMMYFUNCTION("""COMPUTED_VALUE"""),"CAJA 20 TABLETAS")</f>
        <v>CAJA 20 TABLETAS</v>
      </c>
      <c r="D178" s="73" t="str">
        <f ca="1">IFERROR(__xludf.DUMMYFUNCTION("""COMPUTED_VALUE"""),"LEVOSULPIRIDE 25MG")</f>
        <v>LEVOSULPIRIDE 25MG</v>
      </c>
      <c r="E178" s="73" t="str">
        <f ca="1">IFERROR(__xludf.DUMMYFUNCTION("""COMPUTED_VALUE"""),"FARMEX")</f>
        <v>FARMEX</v>
      </c>
      <c r="F178" s="75">
        <f ca="1">IFERROR(__xludf.DUMMYFUNCTION("""COMPUTED_VALUE"""),45715)</f>
        <v>45715</v>
      </c>
      <c r="G178" s="74">
        <f ca="1">IFERROR(__xludf.DUMMYFUNCTION("""COMPUTED_VALUE"""),65)</f>
        <v>65</v>
      </c>
      <c r="H178" s="74">
        <f ca="1">IFERROR(__xludf.DUMMYFUNCTION("""COMPUTED_VALUE"""),91)</f>
        <v>91</v>
      </c>
      <c r="I178" s="74">
        <f ca="1">IFERROR(__xludf.DUMMYFUNCTION("""COMPUTED_VALUE"""),100)</f>
        <v>100</v>
      </c>
    </row>
    <row r="179" spans="2:9" ht="27" customHeight="1">
      <c r="B179" s="73" t="str">
        <f ca="1">IFERROR(__xludf.DUMMYFUNCTION("""COMPUTED_VALUE"""),"NEURO EXKEN")</f>
        <v>NEURO EXKEN</v>
      </c>
      <c r="C179" s="73" t="str">
        <f ca="1">IFERROR(__xludf.DUMMYFUNCTION("""COMPUTED_VALUE"""),"CAJA 20 TABLETAS")</f>
        <v>CAJA 20 TABLETAS</v>
      </c>
      <c r="D179" s="73" t="str">
        <f ca="1">IFERROR(__xludf.DUMMYFUNCTION("""COMPUTED_VALUE"""),"DEXKETOPROFENO/VITAMINAS NEUROTROPAS B1, B6 y B12")</f>
        <v>DEXKETOPROFENO/VITAMINAS NEUROTROPAS B1, B6 y B12</v>
      </c>
      <c r="E179" s="73" t="str">
        <f ca="1">IFERROR(__xludf.DUMMYFUNCTION("""COMPUTED_VALUE"""),"PHARA")</f>
        <v>PHARA</v>
      </c>
      <c r="F179" s="75">
        <f ca="1">IFERROR(__xludf.DUMMYFUNCTION("""COMPUTED_VALUE"""),45683)</f>
        <v>45683</v>
      </c>
      <c r="G179" s="74">
        <f ca="1">IFERROR(__xludf.DUMMYFUNCTION("""COMPUTED_VALUE"""),84.03)</f>
        <v>84.03</v>
      </c>
      <c r="H179" s="74">
        <f ca="1">IFERROR(__xludf.DUMMYFUNCTION("""COMPUTED_VALUE"""),117.642)</f>
        <v>117.642</v>
      </c>
      <c r="I179" s="74">
        <f ca="1">IFERROR(__xludf.DUMMYFUNCTION("""COMPUTED_VALUE"""),125)</f>
        <v>125</v>
      </c>
    </row>
    <row r="180" spans="2:9" ht="27" customHeight="1">
      <c r="B180" s="73" t="str">
        <f ca="1">IFERROR(__xludf.DUMMYFUNCTION("""COMPUTED_VALUE"""),"NIC")</f>
        <v>NIC</v>
      </c>
      <c r="C180" s="73" t="str">
        <f ca="1">IFERROR(__xludf.DUMMYFUNCTION("""COMPUTED_VALUE"""),"CAJA 10 TABLETAS")</f>
        <v>CAJA 10 TABLETAS</v>
      </c>
      <c r="D180" s="73" t="str">
        <f ca="1">IFERROR(__xludf.DUMMYFUNCTION("""COMPUTED_VALUE"""),"CLARITROMICINA 500MG")</f>
        <v>CLARITROMICINA 500MG</v>
      </c>
      <c r="E180" s="73" t="str">
        <f ca="1">IFERROR(__xludf.DUMMYFUNCTION("""COMPUTED_VALUE"""),"FARMEX")</f>
        <v>FARMEX</v>
      </c>
      <c r="F180" s="75">
        <f ca="1">IFERROR(__xludf.DUMMYFUNCTION("""COMPUTED_VALUE"""),46018)</f>
        <v>46018</v>
      </c>
      <c r="G180" s="74">
        <f ca="1">IFERROR(__xludf.DUMMYFUNCTION("""COMPUTED_VALUE"""),110)</f>
        <v>110</v>
      </c>
      <c r="H180" s="74">
        <f ca="1">IFERROR(__xludf.DUMMYFUNCTION("""COMPUTED_VALUE"""),154)</f>
        <v>154</v>
      </c>
      <c r="I180" s="74">
        <f ca="1">IFERROR(__xludf.DUMMYFUNCTION("""COMPUTED_VALUE"""),155)</f>
        <v>155</v>
      </c>
    </row>
    <row r="181" spans="2:9" ht="27" customHeight="1">
      <c r="B181" s="73" t="str">
        <f ca="1">IFERROR(__xludf.DUMMYFUNCTION("""COMPUTED_VALUE"""),"NIC")</f>
        <v>NIC</v>
      </c>
      <c r="C181" s="73" t="str">
        <f ca="1">IFERROR(__xludf.DUMMYFUNCTION("""COMPUTED_VALUE"""),"FRASCO 60ML")</f>
        <v>FRASCO 60ML</v>
      </c>
      <c r="D181" s="73" t="str">
        <f ca="1">IFERROR(__xludf.DUMMYFUNCTION("""COMPUTED_VALUE"""),"CLARITROMICINA 250MG")</f>
        <v>CLARITROMICINA 250MG</v>
      </c>
      <c r="E181" s="73" t="str">
        <f ca="1">IFERROR(__xludf.DUMMYFUNCTION("""COMPUTED_VALUE"""),"FARMEX")</f>
        <v>FARMEX</v>
      </c>
      <c r="F181" s="75">
        <f ca="1">IFERROR(__xludf.DUMMYFUNCTION("""COMPUTED_VALUE"""),45774)</f>
        <v>45774</v>
      </c>
      <c r="G181" s="74">
        <f ca="1">IFERROR(__xludf.DUMMYFUNCTION("""COMPUTED_VALUE"""),110)</f>
        <v>110</v>
      </c>
      <c r="H181" s="74">
        <f ca="1">IFERROR(__xludf.DUMMYFUNCTION("""COMPUTED_VALUE"""),154)</f>
        <v>154</v>
      </c>
      <c r="I181" s="74">
        <f ca="1">IFERROR(__xludf.DUMMYFUNCTION("""COMPUTED_VALUE"""),155)</f>
        <v>155</v>
      </c>
    </row>
    <row r="182" spans="2:9" ht="27" customHeight="1">
      <c r="B182" s="73" t="str">
        <f ca="1">IFERROR(__xludf.DUMMYFUNCTION("""COMPUTED_VALUE"""),"NOLAXONA")</f>
        <v>NOLAXONA</v>
      </c>
      <c r="C182" s="73" t="str">
        <f ca="1">IFERROR(__xludf.DUMMYFUNCTION("""COMPUTED_VALUE"""),"AMPOLLA")</f>
        <v>AMPOLLA</v>
      </c>
      <c r="D182" s="73" t="str">
        <f ca="1">IFERROR(__xludf.DUMMYFUNCTION("""COMPUTED_VALUE"""),"CLORHIDRATO DE NOLAXONA")</f>
        <v>CLORHIDRATO DE NOLAXONA</v>
      </c>
      <c r="E182" s="73"/>
      <c r="F182" s="75">
        <f ca="1">IFERROR(__xludf.DUMMYFUNCTION("""COMPUTED_VALUE"""),45684)</f>
        <v>45684</v>
      </c>
      <c r="G182" s="74">
        <f ca="1">IFERROR(__xludf.DUMMYFUNCTION("""COMPUTED_VALUE"""),68)</f>
        <v>68</v>
      </c>
      <c r="H182" s="74">
        <f ca="1">IFERROR(__xludf.DUMMYFUNCTION("""COMPUTED_VALUE"""),95.2)</f>
        <v>95.2</v>
      </c>
      <c r="I182" s="74">
        <f ca="1">IFERROR(__xludf.DUMMYFUNCTION("""COMPUTED_VALUE"""),95)</f>
        <v>95</v>
      </c>
    </row>
    <row r="183" spans="2:9" ht="27" customHeight="1">
      <c r="B183" s="73" t="str">
        <f ca="1">IFERROR(__xludf.DUMMYFUNCTION("""COMPUTED_VALUE"""),"NORBRAIN")</f>
        <v>NORBRAIN</v>
      </c>
      <c r="C183" s="73" t="str">
        <f ca="1">IFERROR(__xludf.DUMMYFUNCTION("""COMPUTED_VALUE"""),"CAJA 30 SOBRES")</f>
        <v>CAJA 30 SOBRES</v>
      </c>
      <c r="D183" s="73" t="str">
        <f ca="1">IFERROR(__xludf.DUMMYFUNCTION("""COMPUTED_VALUE"""),"ACIDO OLEICO, AACIDO ROSMARÍNICO, CALÉNDULA, ACIDO GAMMA-AMNOBUTÍTICO")</f>
        <v>ACIDO OLEICO, AACIDO ROSMARÍNICO, CALÉNDULA, ACIDO GAMMA-AMNOBUTÍTICO</v>
      </c>
      <c r="E183" s="73" t="str">
        <f ca="1">IFERROR(__xludf.DUMMYFUNCTION("""COMPUTED_VALUE"""),"PHARMALAT")</f>
        <v>PHARMALAT</v>
      </c>
      <c r="F183" s="75">
        <f ca="1">IFERROR(__xludf.DUMMYFUNCTION("""COMPUTED_VALUE"""),45987)</f>
        <v>45987</v>
      </c>
      <c r="G183" s="74">
        <f ca="1">IFERROR(__xludf.DUMMYFUNCTION("""COMPUTED_VALUE"""),1348)</f>
        <v>1348</v>
      </c>
      <c r="H183" s="74">
        <f ca="1">IFERROR(__xludf.DUMMYFUNCTION("""COMPUTED_VALUE"""),1887.2)</f>
        <v>1887.2</v>
      </c>
      <c r="I183" s="74">
        <f ca="1">IFERROR(__xludf.DUMMYFUNCTION("""COMPUTED_VALUE"""),1900)</f>
        <v>1900</v>
      </c>
    </row>
    <row r="184" spans="2:9" ht="27" customHeight="1">
      <c r="B184" s="73" t="str">
        <f ca="1">IFERROR(__xludf.DUMMYFUNCTION("""COMPUTED_VALUE"""),"NOREPENEFRINA")</f>
        <v>NOREPENEFRINA</v>
      </c>
      <c r="C184" s="73" t="str">
        <f ca="1">IFERROR(__xludf.DUMMYFUNCTION("""COMPUTED_VALUE"""),"AMPOLLA 4 ML")</f>
        <v>AMPOLLA 4 ML</v>
      </c>
      <c r="D184" s="73" t="str">
        <f ca="1">IFERROR(__xludf.DUMMYFUNCTION("""COMPUTED_VALUE"""),"se usa para aumentar la presión arterial baja")</f>
        <v>se usa para aumentar la presión arterial baja</v>
      </c>
      <c r="E184" s="73" t="str">
        <f ca="1">IFERROR(__xludf.DUMMYFUNCTION("""COMPUTED_VALUE"""),"QUALITY")</f>
        <v>QUALITY</v>
      </c>
      <c r="F184" s="75">
        <f ca="1">IFERROR(__xludf.DUMMYFUNCTION("""COMPUTED_VALUE"""),45714)</f>
        <v>45714</v>
      </c>
      <c r="G184" s="74">
        <f ca="1">IFERROR(__xludf.DUMMYFUNCTION("""COMPUTED_VALUE"""),51.75)</f>
        <v>51.75</v>
      </c>
      <c r="H184" s="74">
        <f ca="1">IFERROR(__xludf.DUMMYFUNCTION("""COMPUTED_VALUE"""),72.45)</f>
        <v>72.45</v>
      </c>
      <c r="I184" s="74">
        <f ca="1">IFERROR(__xludf.DUMMYFUNCTION("""COMPUTED_VALUE"""),75)</f>
        <v>75</v>
      </c>
    </row>
    <row r="185" spans="2:9" ht="27" customHeight="1">
      <c r="B185" s="73" t="str">
        <f ca="1">IFERROR(__xludf.DUMMYFUNCTION("""COMPUTED_VALUE"""),"NOVA CISTEINA")</f>
        <v>NOVA CISTEINA</v>
      </c>
      <c r="C185" s="73" t="str">
        <f ca="1">IFERROR(__xludf.DUMMYFUNCTION("""COMPUTED_VALUE"""),"COMPRIMIDO EFERVECENTE")</f>
        <v>COMPRIMIDO EFERVECENTE</v>
      </c>
      <c r="D185" s="73" t="str">
        <f ca="1">IFERROR(__xludf.DUMMYFUNCTION("""COMPUTED_VALUE"""),"N-ACETILCISTEÍNA")</f>
        <v>N-ACETILCISTEÍNA</v>
      </c>
      <c r="E185" s="73" t="str">
        <f ca="1">IFERROR(__xludf.DUMMYFUNCTION("""COMPUTED_VALUE"""),"NOVALAB")</f>
        <v>NOVALAB</v>
      </c>
      <c r="F185" s="75">
        <f ca="1">IFERROR(__xludf.DUMMYFUNCTION("""COMPUTED_VALUE"""),45835)</f>
        <v>45835</v>
      </c>
      <c r="G185" s="74">
        <f ca="1">IFERROR(__xludf.DUMMYFUNCTION("""COMPUTED_VALUE"""),110.25)</f>
        <v>110.25</v>
      </c>
      <c r="H185" s="74">
        <f ca="1">IFERROR(__xludf.DUMMYFUNCTION("""COMPUTED_VALUE"""),154.35)</f>
        <v>154.35</v>
      </c>
      <c r="I185" s="74">
        <f ca="1">IFERROR(__xludf.DUMMYFUNCTION("""COMPUTED_VALUE"""),160)</f>
        <v>160</v>
      </c>
    </row>
    <row r="186" spans="2:9" ht="27" customHeight="1">
      <c r="B186" s="73" t="str">
        <f ca="1">IFERROR(__xludf.DUMMYFUNCTION("""COMPUTED_VALUE"""),"NÚCLEO C.M.P. FORTE")</f>
        <v>NÚCLEO C.M.P. FORTE</v>
      </c>
      <c r="C186" s="73" t="str">
        <f ca="1">IFERROR(__xludf.DUMMYFUNCTION("""COMPUTED_VALUE"""),"CAJA 30 CAPSULAS")</f>
        <v>CAJA 30 CAPSULAS</v>
      </c>
      <c r="D186" s="73" t="str">
        <f ca="1">IFERROR(__xludf.DUMMYFUNCTION("""COMPUTED_VALUE"""),"CAJA 30 CAPSULAS")</f>
        <v>CAJA 30 CAPSULAS</v>
      </c>
      <c r="E186" s="73" t="str">
        <f ca="1">IFERROR(__xludf.DUMMYFUNCTION("""COMPUTED_VALUE"""),"BOFASA")</f>
        <v>BOFASA</v>
      </c>
      <c r="F186" s="75">
        <f ca="1">IFERROR(__xludf.DUMMYFUNCTION("""COMPUTED_VALUE"""),45773)</f>
        <v>45773</v>
      </c>
      <c r="G186" s="74">
        <f ca="1">IFERROR(__xludf.DUMMYFUNCTION("""COMPUTED_VALUE"""),130.45)</f>
        <v>130.44999999999999</v>
      </c>
      <c r="H186" s="74">
        <f ca="1">IFERROR(__xludf.DUMMYFUNCTION("""COMPUTED_VALUE"""),182.63)</f>
        <v>182.63</v>
      </c>
      <c r="I186" s="74">
        <f ca="1">IFERROR(__xludf.DUMMYFUNCTION("""COMPUTED_VALUE"""),198)</f>
        <v>198</v>
      </c>
    </row>
    <row r="187" spans="2:9" ht="27" customHeight="1">
      <c r="B187" s="73" t="str">
        <f ca="1">IFERROR(__xludf.DUMMYFUNCTION("""COMPUTED_VALUE"""),"NÚCLEO C.M.P. FORTE")</f>
        <v>NÚCLEO C.M.P. FORTE</v>
      </c>
      <c r="C187" s="73" t="str">
        <f ca="1">IFERROR(__xludf.DUMMYFUNCTION("""COMPUTED_VALUE"""),"CAJA 3 AMPOLLAS")</f>
        <v>CAJA 3 AMPOLLAS</v>
      </c>
      <c r="D187" s="73" t="str">
        <f ca="1">IFERROR(__xludf.DUMMYFUNCTION("""COMPUTED_VALUE"""),"CAJA 3 AMPOLLAS")</f>
        <v>CAJA 3 AMPOLLAS</v>
      </c>
      <c r="E187" s="73" t="str">
        <f ca="1">IFERROR(__xludf.DUMMYFUNCTION("""COMPUTED_VALUE"""),"BOFASA")</f>
        <v>BOFASA</v>
      </c>
      <c r="F187" s="75">
        <f ca="1">IFERROR(__xludf.DUMMYFUNCTION("""COMPUTED_VALUE"""),45834)</f>
        <v>45834</v>
      </c>
      <c r="G187" s="74">
        <f ca="1">IFERROR(__xludf.DUMMYFUNCTION("""COMPUTED_VALUE"""),123.45)</f>
        <v>123.45</v>
      </c>
      <c r="H187" s="74">
        <f ca="1">IFERROR(__xludf.DUMMYFUNCTION("""COMPUTED_VALUE"""),172.83)</f>
        <v>172.83</v>
      </c>
      <c r="I187" s="74">
        <f ca="1">IFERROR(__xludf.DUMMYFUNCTION("""COMPUTED_VALUE"""),175)</f>
        <v>175</v>
      </c>
    </row>
    <row r="188" spans="2:9" ht="27" customHeight="1">
      <c r="B188" s="73" t="str">
        <f ca="1">IFERROR(__xludf.DUMMYFUNCTION("""COMPUTED_VALUE"""),"ODCAN")</f>
        <v>ODCAN</v>
      </c>
      <c r="C188" s="73" t="str">
        <f ca="1">IFERROR(__xludf.DUMMYFUNCTION("""COMPUTED_VALUE"""),"CAJA 2 TAB.")</f>
        <v>CAJA 2 TAB.</v>
      </c>
      <c r="D188" s="73" t="str">
        <f ca="1">IFERROR(__xludf.DUMMYFUNCTION("""COMPUTED_VALUE"""),"FLUCONAZOL")</f>
        <v>FLUCONAZOL</v>
      </c>
      <c r="E188" s="73" t="str">
        <f ca="1">IFERROR(__xludf.DUMMYFUNCTION("""COMPUTED_VALUE"""),"PRISM")</f>
        <v>PRISM</v>
      </c>
      <c r="F188" s="75">
        <f ca="1">IFERROR(__xludf.DUMMYFUNCTION("""COMPUTED_VALUE"""),45956)</f>
        <v>45956</v>
      </c>
      <c r="G188" s="74">
        <f ca="1">IFERROR(__xludf.DUMMYFUNCTION("""COMPUTED_VALUE"""),10)</f>
        <v>10</v>
      </c>
      <c r="H188" s="74">
        <f ca="1">IFERROR(__xludf.DUMMYFUNCTION("""COMPUTED_VALUE"""),14)</f>
        <v>14</v>
      </c>
      <c r="I188" s="74">
        <f ca="1">IFERROR(__xludf.DUMMYFUNCTION("""COMPUTED_VALUE"""),15)</f>
        <v>15</v>
      </c>
    </row>
    <row r="189" spans="2:9" ht="27" customHeight="1">
      <c r="B189" s="73" t="str">
        <f ca="1">IFERROR(__xludf.DUMMYFUNCTION("""COMPUTED_VALUE"""),"OMEPPRAZOL 20MG")</f>
        <v>OMEPPRAZOL 20MG</v>
      </c>
      <c r="C189" s="73" t="str">
        <f ca="1">IFERROR(__xludf.DUMMYFUNCTION("""COMPUTED_VALUE"""),"BLISTER DE 10 TAB.")</f>
        <v>BLISTER DE 10 TAB.</v>
      </c>
      <c r="D189" s="73" t="str">
        <f ca="1">IFERROR(__xludf.DUMMYFUNCTION("""COMPUTED_VALUE"""),"OMEPFRAZOL 20MG")</f>
        <v>OMEPFRAZOL 20MG</v>
      </c>
      <c r="E189" s="73" t="str">
        <f ca="1">IFERROR(__xludf.DUMMYFUNCTION("""COMPUTED_VALUE"""),"CAPLIN POINT")</f>
        <v>CAPLIN POINT</v>
      </c>
      <c r="F189" s="75">
        <f ca="1">IFERROR(__xludf.DUMMYFUNCTION("""COMPUTED_VALUE"""),45835)</f>
        <v>45835</v>
      </c>
      <c r="G189" s="74">
        <f ca="1">IFERROR(__xludf.DUMMYFUNCTION("""COMPUTED_VALUE"""),10.3)</f>
        <v>10.3</v>
      </c>
      <c r="H189" s="74">
        <f ca="1">IFERROR(__xludf.DUMMYFUNCTION("""COMPUTED_VALUE"""),14.42)</f>
        <v>14.42</v>
      </c>
      <c r="I189" s="74">
        <f ca="1">IFERROR(__xludf.DUMMYFUNCTION("""COMPUTED_VALUE"""),20)</f>
        <v>20</v>
      </c>
    </row>
    <row r="190" spans="2:9" ht="27" customHeight="1">
      <c r="B190" s="73" t="str">
        <f ca="1">IFERROR(__xludf.DUMMYFUNCTION("""COMPUTED_VALUE"""),"OMEPRAZOL 40MG")</f>
        <v>OMEPRAZOL 40MG</v>
      </c>
      <c r="C190" s="73" t="str">
        <f ca="1">IFERROR(__xludf.DUMMYFUNCTION("""COMPUTED_VALUE"""),"FRASCO IV")</f>
        <v>FRASCO IV</v>
      </c>
      <c r="D190" s="73" t="str">
        <f ca="1">IFERROR(__xludf.DUMMYFUNCTION("""COMPUTED_VALUE"""),"OMEPRAZOL 40MG")</f>
        <v>OMEPRAZOL 40MG</v>
      </c>
      <c r="E190" s="73" t="str">
        <f ca="1">IFERROR(__xludf.DUMMYFUNCTION("""COMPUTED_VALUE"""),"VITALIS")</f>
        <v>VITALIS</v>
      </c>
      <c r="F190" s="75">
        <f ca="1">IFERROR(__xludf.DUMMYFUNCTION("""COMPUTED_VALUE"""),45927)</f>
        <v>45927</v>
      </c>
      <c r="G190" s="74">
        <f ca="1">IFERROR(__xludf.DUMMYFUNCTION("""COMPUTED_VALUE"""),8.7)</f>
        <v>8.6999999999999993</v>
      </c>
      <c r="H190" s="74">
        <f ca="1">IFERROR(__xludf.DUMMYFUNCTION("""COMPUTED_VALUE"""),12.18)</f>
        <v>12.18</v>
      </c>
      <c r="I190" s="74">
        <f ca="1">IFERROR(__xludf.DUMMYFUNCTION("""COMPUTED_VALUE"""),40)</f>
        <v>40</v>
      </c>
    </row>
    <row r="191" spans="2:9" ht="27" customHeight="1">
      <c r="B191" s="73" t="str">
        <f ca="1">IFERROR(__xludf.DUMMYFUNCTION("""COMPUTED_VALUE"""),"ONDASETRÓN 8MG.")</f>
        <v>ONDASETRÓN 8MG.</v>
      </c>
      <c r="C191" s="73" t="str">
        <f ca="1">IFERROR(__xludf.DUMMYFUNCTION("""COMPUTED_VALUE"""),"AMPOLLA")</f>
        <v>AMPOLLA</v>
      </c>
      <c r="D191" s="73" t="str">
        <f ca="1">IFERROR(__xludf.DUMMYFUNCTION("""COMPUTED_VALUE"""),"ONDASETRÓN")</f>
        <v>ONDASETRÓN</v>
      </c>
      <c r="E191" s="73" t="str">
        <f ca="1">IFERROR(__xludf.DUMMYFUNCTION("""COMPUTED_VALUE"""),"P&amp;C PHARMA")</f>
        <v>P&amp;C PHARMA</v>
      </c>
      <c r="F191" s="75">
        <f ca="1">IFERROR(__xludf.DUMMYFUNCTION("""COMPUTED_VALUE"""),45865)</f>
        <v>45865</v>
      </c>
      <c r="G191" s="74">
        <f ca="1">IFERROR(__xludf.DUMMYFUNCTION("""COMPUTED_VALUE"""),35)</f>
        <v>35</v>
      </c>
      <c r="H191" s="74">
        <f ca="1">IFERROR(__xludf.DUMMYFUNCTION("""COMPUTED_VALUE"""),49)</f>
        <v>49</v>
      </c>
      <c r="I191" s="74">
        <f ca="1">IFERROR(__xludf.DUMMYFUNCTION("""COMPUTED_VALUE"""),85)</f>
        <v>85</v>
      </c>
    </row>
    <row r="192" spans="2:9" ht="27" customHeight="1">
      <c r="B192" s="73" t="str">
        <f ca="1">IFERROR(__xludf.DUMMYFUNCTION("""COMPUTED_VALUE"""),"ORAXIMA")</f>
        <v>ORAXIMA</v>
      </c>
      <c r="C192" s="73" t="str">
        <f ca="1">IFERROR(__xludf.DUMMYFUNCTION("""COMPUTED_VALUE"""),"SPRAY 30ML")</f>
        <v>SPRAY 30ML</v>
      </c>
      <c r="D192" s="73" t="str">
        <f ca="1">IFERROR(__xludf.DUMMYFUNCTION("""COMPUTED_VALUE"""),"PROPOLEO, MANZANILLA, ACEITES ESENCIALES")</f>
        <v>PROPOLEO, MANZANILLA, ACEITES ESENCIALES</v>
      </c>
      <c r="E192" s="73" t="str">
        <f ca="1">IFERROR(__xludf.DUMMYFUNCTION("""COMPUTED_VALUE"""),"VIZCAINO")</f>
        <v>VIZCAINO</v>
      </c>
      <c r="F192" s="75">
        <f ca="1">IFERROR(__xludf.DUMMYFUNCTION("""COMPUTED_VALUE"""),45864)</f>
        <v>45864</v>
      </c>
      <c r="G192" s="74">
        <f ca="1">IFERROR(__xludf.DUMMYFUNCTION("""COMPUTED_VALUE"""),96.04)</f>
        <v>96.04</v>
      </c>
      <c r="H192" s="74">
        <f ca="1">IFERROR(__xludf.DUMMYFUNCTION("""COMPUTED_VALUE"""),134.456)</f>
        <v>134.45599999999999</v>
      </c>
      <c r="I192" s="74">
        <f ca="1">IFERROR(__xludf.DUMMYFUNCTION("""COMPUTED_VALUE"""),130)</f>
        <v>130</v>
      </c>
    </row>
    <row r="193" spans="2:9" ht="27" customHeight="1">
      <c r="B193" s="73" t="str">
        <f ca="1">IFERROR(__xludf.DUMMYFUNCTION("""COMPUTED_VALUE"""),"OSMAX")</f>
        <v>OSMAX</v>
      </c>
      <c r="C193" s="73" t="str">
        <f ca="1">IFERROR(__xludf.DUMMYFUNCTION("""COMPUTED_VALUE"""),"CAJA 4 TAB.")</f>
        <v>CAJA 4 TAB.</v>
      </c>
      <c r="D193" s="73" t="str">
        <f ca="1">IFERROR(__xludf.DUMMYFUNCTION("""COMPUTED_VALUE"""),"ALENDRONATO SÓDICO 70MG")</f>
        <v>ALENDRONATO SÓDICO 70MG</v>
      </c>
      <c r="E193" s="73" t="str">
        <f ca="1">IFERROR(__xludf.DUMMYFUNCTION("""COMPUTED_VALUE"""),"NIUMED GROUP")</f>
        <v>NIUMED GROUP</v>
      </c>
      <c r="F193" s="75">
        <f ca="1">IFERROR(__xludf.DUMMYFUNCTION("""COMPUTED_VALUE"""),45864)</f>
        <v>45864</v>
      </c>
      <c r="G193" s="74">
        <f ca="1">IFERROR(__xludf.DUMMYFUNCTION("""COMPUTED_VALUE"""),57.5)</f>
        <v>57.5</v>
      </c>
      <c r="H193" s="74">
        <f ca="1">IFERROR(__xludf.DUMMYFUNCTION("""COMPUTED_VALUE"""),80.5)</f>
        <v>80.5</v>
      </c>
      <c r="I193" s="74">
        <f ca="1">IFERROR(__xludf.DUMMYFUNCTION("""COMPUTED_VALUE"""),80)</f>
        <v>80</v>
      </c>
    </row>
    <row r="194" spans="2:9" ht="27" customHeight="1">
      <c r="B194" s="73" t="str">
        <f ca="1">IFERROR(__xludf.DUMMYFUNCTION("""COMPUTED_VALUE"""),"OTROZOL 500")</f>
        <v>OTROZOL 500</v>
      </c>
      <c r="C194" s="73" t="str">
        <f ca="1">IFERROR(__xludf.DUMMYFUNCTION("""COMPUTED_VALUE"""),"FRASCO 100ML.")</f>
        <v>FRASCO 100ML.</v>
      </c>
      <c r="D194" s="73" t="str">
        <f ca="1">IFERROR(__xludf.DUMMYFUNCTION("""COMPUTED_VALUE"""),"METRONIDAZOL 500MG")</f>
        <v>METRONIDAZOL 500MG</v>
      </c>
      <c r="E194" s="73" t="str">
        <f ca="1">IFERROR(__xludf.DUMMYFUNCTION("""COMPUTED_VALUE"""),"PISA")</f>
        <v>PISA</v>
      </c>
      <c r="F194" s="75">
        <f ca="1">IFERROR(__xludf.DUMMYFUNCTION("""COMPUTED_VALUE"""),45926)</f>
        <v>45926</v>
      </c>
      <c r="G194" s="74">
        <f ca="1">IFERROR(__xludf.DUMMYFUNCTION("""COMPUTED_VALUE"""),20)</f>
        <v>20</v>
      </c>
      <c r="H194" s="74">
        <f ca="1">IFERROR(__xludf.DUMMYFUNCTION("""COMPUTED_VALUE"""),28)</f>
        <v>28</v>
      </c>
      <c r="I194" s="74">
        <f ca="1">IFERROR(__xludf.DUMMYFUNCTION("""COMPUTED_VALUE"""),30)</f>
        <v>30</v>
      </c>
    </row>
    <row r="195" spans="2:9" ht="27" customHeight="1">
      <c r="B195" s="73" t="str">
        <f ca="1">IFERROR(__xludf.DUMMYFUNCTION("""COMPUTED_VALUE"""),"PAÑAL DESECHABLE NIÑO")</f>
        <v>PAÑAL DESECHABLE NIÑO</v>
      </c>
      <c r="C195" s="73" t="str">
        <f ca="1">IFERROR(__xludf.DUMMYFUNCTION("""COMPUTED_VALUE"""),"UNIDAD")</f>
        <v>UNIDAD</v>
      </c>
      <c r="D195" s="73" t="str">
        <f ca="1">IFERROR(__xludf.DUMMYFUNCTION("""COMPUTED_VALUE"""),"PAÑALES")</f>
        <v>PAÑALES</v>
      </c>
      <c r="E195" s="73" t="str">
        <f ca="1">IFERROR(__xludf.DUMMYFUNCTION("""COMPUTED_VALUE"""),"SUPER MAS")</f>
        <v>SUPER MAS</v>
      </c>
      <c r="F195" s="75">
        <f ca="1">IFERROR(__xludf.DUMMYFUNCTION("""COMPUTED_VALUE"""),45714)</f>
        <v>45714</v>
      </c>
      <c r="G195" s="74">
        <f ca="1">IFERROR(__xludf.DUMMYFUNCTION("""COMPUTED_VALUE"""),3)</f>
        <v>3</v>
      </c>
      <c r="H195" s="74">
        <f ca="1">IFERROR(__xludf.DUMMYFUNCTION("""COMPUTED_VALUE"""),4.2)</f>
        <v>4.2</v>
      </c>
      <c r="I195" s="74">
        <f ca="1">IFERROR(__xludf.DUMMYFUNCTION("""COMPUTED_VALUE"""),5)</f>
        <v>5</v>
      </c>
    </row>
    <row r="196" spans="2:9" ht="27" customHeight="1">
      <c r="B196" s="73" t="str">
        <f ca="1">IFERROR(__xludf.DUMMYFUNCTION("""COMPUTED_VALUE"""),"Pañale Desechable Adulto")</f>
        <v>Pañale Desechable Adulto</v>
      </c>
      <c r="C196" s="73" t="str">
        <f ca="1">IFERROR(__xludf.DUMMYFUNCTION("""COMPUTED_VALUE"""),"paquete 6")</f>
        <v>paquete 6</v>
      </c>
      <c r="D196" s="73" t="str">
        <f ca="1">IFERROR(__xludf.DUMMYFUNCTION("""COMPUTED_VALUE"""),"INNOVA MED")</f>
        <v>INNOVA MED</v>
      </c>
      <c r="E196" s="73" t="str">
        <f ca="1">IFERROR(__xludf.DUMMYFUNCTION("""COMPUTED_VALUE"""),"SUPER MAS")</f>
        <v>SUPER MAS</v>
      </c>
      <c r="F196" s="75">
        <f ca="1">IFERROR(__xludf.DUMMYFUNCTION("""COMPUTED_VALUE"""),45956)</f>
        <v>45956</v>
      </c>
      <c r="G196" s="74">
        <f ca="1">IFERROR(__xludf.DUMMYFUNCTION("""COMPUTED_VALUE"""),6.5)</f>
        <v>6.5</v>
      </c>
      <c r="H196" s="74">
        <f ca="1">IFERROR(__xludf.DUMMYFUNCTION("""COMPUTED_VALUE"""),9.1)</f>
        <v>9.1</v>
      </c>
      <c r="I196" s="74">
        <f ca="1">IFERROR(__xludf.DUMMYFUNCTION("""COMPUTED_VALUE"""),10)</f>
        <v>10</v>
      </c>
    </row>
    <row r="197" spans="2:9" ht="27" customHeight="1">
      <c r="B197" s="73" t="str">
        <f ca="1">IFERROR(__xludf.DUMMYFUNCTION("""COMPUTED_VALUE"""),"PARACO-DENK 500/30 MG")</f>
        <v>PARACO-DENK 500/30 MG</v>
      </c>
      <c r="C197" s="73" t="str">
        <f ca="1">IFERROR(__xludf.DUMMYFUNCTION("""COMPUTED_VALUE"""),"CAJA 20 COMPRIMIDOS")</f>
        <v>CAJA 20 COMPRIMIDOS</v>
      </c>
      <c r="D197" s="73" t="str">
        <f ca="1">IFERROR(__xludf.DUMMYFUNCTION("""COMPUTED_VALUE"""),"PARACETAMOL 500MG/FOSFATO DE CODEÍNA HEMIHIDRATADO 30MG")</f>
        <v>PARACETAMOL 500MG/FOSFATO DE CODEÍNA HEMIHIDRATADO 30MG</v>
      </c>
      <c r="E197" s="73" t="str">
        <f ca="1">IFERROR(__xludf.DUMMYFUNCTION("""COMPUTED_VALUE"""),"QUALIPHARM")</f>
        <v>QUALIPHARM</v>
      </c>
      <c r="F197" s="75">
        <f ca="1">IFERROR(__xludf.DUMMYFUNCTION("""COMPUTED_VALUE"""),45926)</f>
        <v>45926</v>
      </c>
      <c r="G197" s="74">
        <f ca="1">IFERROR(__xludf.DUMMYFUNCTION("""COMPUTED_VALUE"""),79.09)</f>
        <v>79.09</v>
      </c>
      <c r="H197" s="74">
        <f ca="1">IFERROR(__xludf.DUMMYFUNCTION("""COMPUTED_VALUE"""),110.726)</f>
        <v>110.726</v>
      </c>
      <c r="I197" s="74">
        <f ca="1">IFERROR(__xludf.DUMMYFUNCTION("""COMPUTED_VALUE"""),110)</f>
        <v>110</v>
      </c>
    </row>
    <row r="198" spans="2:9" ht="27" customHeight="1">
      <c r="B198" s="73" t="str">
        <f ca="1">IFERROR(__xludf.DUMMYFUNCTION("""COMPUTED_VALUE"""),"PARACONICA")</f>
        <v>PARACONICA</v>
      </c>
      <c r="C198" s="73" t="str">
        <f ca="1">IFERROR(__xludf.DUMMYFUNCTION("""COMPUTED_VALUE"""),"FRASCO IV")</f>
        <v>FRASCO IV</v>
      </c>
      <c r="D198" s="73" t="str">
        <f ca="1">IFERROR(__xludf.DUMMYFUNCTION("""COMPUTED_VALUE"""),"PARACONICA")</f>
        <v>PARACONICA</v>
      </c>
      <c r="E198" s="73" t="str">
        <f ca="1">IFERROR(__xludf.DUMMYFUNCTION("""COMPUTED_VALUE"""),"LANQUETAN")</f>
        <v>LANQUETAN</v>
      </c>
      <c r="F198" s="75">
        <f ca="1">IFERROR(__xludf.DUMMYFUNCTION("""COMPUTED_VALUE"""),45683)</f>
        <v>45683</v>
      </c>
      <c r="G198" s="74">
        <f ca="1">IFERROR(__xludf.DUMMYFUNCTION("""COMPUTED_VALUE"""),60)</f>
        <v>60</v>
      </c>
      <c r="H198" s="74">
        <f ca="1">IFERROR(__xludf.DUMMYFUNCTION("""COMPUTED_VALUE"""),84)</f>
        <v>84</v>
      </c>
      <c r="I198" s="74">
        <f ca="1">IFERROR(__xludf.DUMMYFUNCTION("""COMPUTED_VALUE"""),90)</f>
        <v>90</v>
      </c>
    </row>
    <row r="199" spans="2:9" ht="27" customHeight="1">
      <c r="B199" s="73" t="str">
        <f ca="1">IFERROR(__xludf.DUMMYFUNCTION("""COMPUTED_VALUE"""),"PENICLOR")</f>
        <v>PENICLOR</v>
      </c>
      <c r="C199" s="73" t="str">
        <f ca="1">IFERROR(__xludf.DUMMYFUNCTION("""COMPUTED_VALUE"""),"CAPSULA BLISTER")</f>
        <v>CAPSULA BLISTER</v>
      </c>
      <c r="D199" s="73" t="str">
        <f ca="1">IFERROR(__xludf.DUMMYFUNCTION("""COMPUTED_VALUE"""),"DICLOXACILINA 500MG")</f>
        <v>DICLOXACILINA 500MG</v>
      </c>
      <c r="E199" s="73" t="str">
        <f ca="1">IFERROR(__xludf.DUMMYFUNCTION("""COMPUTED_VALUE"""),"PHARMADEL")</f>
        <v>PHARMADEL</v>
      </c>
      <c r="F199" s="75">
        <f ca="1">IFERROR(__xludf.DUMMYFUNCTION("""COMPUTED_VALUE"""),45834)</f>
        <v>45834</v>
      </c>
      <c r="G199" s="74">
        <f ca="1">IFERROR(__xludf.DUMMYFUNCTION("""COMPUTED_VALUE"""),45)</f>
        <v>45</v>
      </c>
      <c r="H199" s="74">
        <f ca="1">IFERROR(__xludf.DUMMYFUNCTION("""COMPUTED_VALUE"""),63)</f>
        <v>63</v>
      </c>
      <c r="I199" s="74">
        <f ca="1">IFERROR(__xludf.DUMMYFUNCTION("""COMPUTED_VALUE"""),65)</f>
        <v>65</v>
      </c>
    </row>
    <row r="200" spans="2:9" ht="27" customHeight="1">
      <c r="B200" s="73" t="str">
        <f ca="1">IFERROR(__xludf.DUMMYFUNCTION("""COMPUTED_VALUE"""),"PENICLOR")</f>
        <v>PENICLOR</v>
      </c>
      <c r="C200" s="73" t="str">
        <f ca="1">IFERROR(__xludf.DUMMYFUNCTION("""COMPUTED_VALUE"""),"FRASCO 90ML")</f>
        <v>FRASCO 90ML</v>
      </c>
      <c r="D200" s="73" t="str">
        <f ca="1">IFERROR(__xludf.DUMMYFUNCTION("""COMPUTED_VALUE"""),"DICLOXACILINA 250MG/5ML")</f>
        <v>DICLOXACILINA 250MG/5ML</v>
      </c>
      <c r="E200" s="73" t="str">
        <f ca="1">IFERROR(__xludf.DUMMYFUNCTION("""COMPUTED_VALUE"""),"PHARMADEL")</f>
        <v>PHARMADEL</v>
      </c>
      <c r="F200" s="75">
        <f ca="1">IFERROR(__xludf.DUMMYFUNCTION("""COMPUTED_VALUE"""),45926)</f>
        <v>45926</v>
      </c>
      <c r="G200" s="74">
        <f ca="1">IFERROR(__xludf.DUMMYFUNCTION("""COMPUTED_VALUE"""),100)</f>
        <v>100</v>
      </c>
      <c r="H200" s="74">
        <f ca="1">IFERROR(__xludf.DUMMYFUNCTION("""COMPUTED_VALUE"""),140)</f>
        <v>140</v>
      </c>
      <c r="I200" s="74">
        <f ca="1">IFERROR(__xludf.DUMMYFUNCTION("""COMPUTED_VALUE"""),145)</f>
        <v>145</v>
      </c>
    </row>
    <row r="201" spans="2:9" ht="27" customHeight="1">
      <c r="B201" s="73" t="str">
        <f ca="1">IFERROR(__xludf.DUMMYFUNCTION("""COMPUTED_VALUE"""),"PHANEX")</f>
        <v>PHANEX</v>
      </c>
      <c r="C201" s="73" t="str">
        <f ca="1">IFERROR(__xludf.DUMMYFUNCTION("""COMPUTED_VALUE"""),"CAJA 30 SOBRES")</f>
        <v>CAJA 30 SOBRES</v>
      </c>
      <c r="D201" s="73" t="str">
        <f ca="1">IFERROR(__xludf.DUMMYFUNCTION("""COMPUTED_VALUE"""),"ESOMEPRAZOL 10MG")</f>
        <v>ESOMEPRAZOL 10MG</v>
      </c>
      <c r="E201" s="73" t="str">
        <f ca="1">IFERROR(__xludf.DUMMYFUNCTION("""COMPUTED_VALUE"""),"PHARA")</f>
        <v>PHARA</v>
      </c>
      <c r="F201" s="75">
        <f ca="1">IFERROR(__xludf.DUMMYFUNCTION("""COMPUTED_VALUE"""),45956)</f>
        <v>45956</v>
      </c>
      <c r="G201" s="74">
        <f ca="1">IFERROR(__xludf.DUMMYFUNCTION("""COMPUTED_VALUE"""),121.18)</f>
        <v>121.18</v>
      </c>
      <c r="H201" s="74">
        <f ca="1">IFERROR(__xludf.DUMMYFUNCTION("""COMPUTED_VALUE"""),169.652)</f>
        <v>169.65199999999999</v>
      </c>
      <c r="I201" s="74">
        <f ca="1">IFERROR(__xludf.DUMMYFUNCTION("""COMPUTED_VALUE"""),170)</f>
        <v>170</v>
      </c>
    </row>
    <row r="202" spans="2:9" ht="27" customHeight="1">
      <c r="B202" s="73" t="str">
        <f ca="1">IFERROR(__xludf.DUMMYFUNCTION("""COMPUTED_VALUE"""),"PHARA AMEB")</f>
        <v>PHARA AMEB</v>
      </c>
      <c r="C202" s="73" t="str">
        <f ca="1">IFERROR(__xludf.DUMMYFUNCTION("""COMPUTED_VALUE"""),"BLISTER 10 TAB.")</f>
        <v>BLISTER 10 TAB.</v>
      </c>
      <c r="D202" s="73" t="str">
        <f ca="1">IFERROR(__xludf.DUMMYFUNCTION("""COMPUTED_VALUE"""),"METRONIDAZOL 500MG")</f>
        <v>METRONIDAZOL 500MG</v>
      </c>
      <c r="E202" s="73" t="str">
        <f ca="1">IFERROR(__xludf.DUMMYFUNCTION("""COMPUTED_VALUE"""),"PHARA")</f>
        <v>PHARA</v>
      </c>
      <c r="F202" s="75">
        <f ca="1">IFERROR(__xludf.DUMMYFUNCTION("""COMPUTED_VALUE"""),45715)</f>
        <v>45715</v>
      </c>
      <c r="G202" s="74">
        <f ca="1">IFERROR(__xludf.DUMMYFUNCTION("""COMPUTED_VALUE"""),28)</f>
        <v>28</v>
      </c>
      <c r="H202" s="74">
        <f ca="1">IFERROR(__xludf.DUMMYFUNCTION("""COMPUTED_VALUE"""),39.2)</f>
        <v>39.200000000000003</v>
      </c>
      <c r="I202" s="74">
        <f ca="1">IFERROR(__xludf.DUMMYFUNCTION("""COMPUTED_VALUE"""),45)</f>
        <v>45</v>
      </c>
    </row>
    <row r="203" spans="2:9" ht="27" customHeight="1">
      <c r="B203" s="73" t="str">
        <f ca="1">IFERROR(__xludf.DUMMYFUNCTION("""COMPUTED_VALUE"""),"PHARA ENTEROBIOTICS")</f>
        <v>PHARA ENTEROBIOTICS</v>
      </c>
      <c r="C203" s="73" t="str">
        <f ca="1">IFERROR(__xludf.DUMMYFUNCTION("""COMPUTED_VALUE"""),"CAJA 10 AMP. BEBIBLES")</f>
        <v>CAJA 10 AMP. BEBIBLES</v>
      </c>
      <c r="D203" s="73" t="str">
        <f ca="1">IFERROR(__xludf.DUMMYFUNCTION("""COMPUTED_VALUE"""),"ESPORAS DE BACILIUS CLAUSII")</f>
        <v>ESPORAS DE BACILIUS CLAUSII</v>
      </c>
      <c r="E203" s="73" t="str">
        <f ca="1">IFERROR(__xludf.DUMMYFUNCTION("""COMPUTED_VALUE"""),"PHARA")</f>
        <v>PHARA</v>
      </c>
      <c r="F203" s="75">
        <f ca="1">IFERROR(__xludf.DUMMYFUNCTION("""COMPUTED_VALUE"""),45864)</f>
        <v>45864</v>
      </c>
      <c r="G203" s="74">
        <f ca="1">IFERROR(__xludf.DUMMYFUNCTION("""COMPUTED_VALUE"""),110)</f>
        <v>110</v>
      </c>
      <c r="H203" s="74">
        <f ca="1">IFERROR(__xludf.DUMMYFUNCTION("""COMPUTED_VALUE"""),154)</f>
        <v>154</v>
      </c>
      <c r="I203" s="74">
        <f ca="1">IFERROR(__xludf.DUMMYFUNCTION("""COMPUTED_VALUE"""),155)</f>
        <v>155</v>
      </c>
    </row>
    <row r="204" spans="2:9" ht="27" customHeight="1">
      <c r="B204" s="73" t="str">
        <f ca="1">IFERROR(__xludf.DUMMYFUNCTION("""COMPUTED_VALUE"""),"PHARA VIT GERIÁTRICO")</f>
        <v>PHARA VIT GERIÁTRICO</v>
      </c>
      <c r="C204" s="73" t="str">
        <f ca="1">IFERROR(__xludf.DUMMYFUNCTION("""COMPUTED_VALUE"""),"30 AMPOLLAS BEBIBLES")</f>
        <v>30 AMPOLLAS BEBIBLES</v>
      </c>
      <c r="D204" s="73" t="str">
        <f ca="1">IFERROR(__xludf.DUMMYFUNCTION("""COMPUTED_VALUE"""),"MULTIVITAMINICO")</f>
        <v>MULTIVITAMINICO</v>
      </c>
      <c r="E204" s="73" t="str">
        <f ca="1">IFERROR(__xludf.DUMMYFUNCTION("""COMPUTED_VALUE"""),"PHARA FARMECO")</f>
        <v>PHARA FARMECO</v>
      </c>
      <c r="F204" s="75">
        <f ca="1">IFERROR(__xludf.DUMMYFUNCTION("""COMPUTED_VALUE"""),45773)</f>
        <v>45773</v>
      </c>
      <c r="G204" s="74">
        <f ca="1">IFERROR(__xludf.DUMMYFUNCTION("""COMPUTED_VALUE"""),180)</f>
        <v>180</v>
      </c>
      <c r="H204" s="74">
        <f ca="1">IFERROR(__xludf.DUMMYFUNCTION("""COMPUTED_VALUE"""),252)</f>
        <v>252</v>
      </c>
      <c r="I204" s="74">
        <f ca="1">IFERROR(__xludf.DUMMYFUNCTION("""COMPUTED_VALUE"""),255)</f>
        <v>255</v>
      </c>
    </row>
    <row r="205" spans="2:9" ht="27" customHeight="1">
      <c r="B205" s="73" t="str">
        <f ca="1">IFERROR(__xludf.DUMMYFUNCTION("""COMPUTED_VALUE"""),"PIODAY M")</f>
        <v>PIODAY M</v>
      </c>
      <c r="C205" s="73" t="str">
        <f ca="1">IFERROR(__xludf.DUMMYFUNCTION("""COMPUTED_VALUE"""),"CAJA 30 TABLETAS")</f>
        <v>CAJA 30 TABLETAS</v>
      </c>
      <c r="D205" s="73" t="str">
        <f ca="1">IFERROR(__xludf.DUMMYFUNCTION("""COMPUTED_VALUE"""),"PIOGLITAZONA 15mg + METFORMINA clorhidrato 500 mg tabletas")</f>
        <v>PIOGLITAZONA 15mg + METFORMINA clorhidrato 500 mg tabletas</v>
      </c>
      <c r="E205" s="73" t="str">
        <f ca="1">IFERROR(__xludf.DUMMYFUNCTION("""COMPUTED_VALUE"""),"PRISM")</f>
        <v>PRISM</v>
      </c>
      <c r="F205" s="75">
        <f ca="1">IFERROR(__xludf.DUMMYFUNCTION("""COMPUTED_VALUE"""),45956)</f>
        <v>45956</v>
      </c>
      <c r="G205" s="74">
        <f ca="1">IFERROR(__xludf.DUMMYFUNCTION("""COMPUTED_VALUE"""),189.54)</f>
        <v>189.54</v>
      </c>
      <c r="H205" s="74">
        <f ca="1">IFERROR(__xludf.DUMMYFUNCTION("""COMPUTED_VALUE"""),265.356)</f>
        <v>265.35599999999999</v>
      </c>
      <c r="I205" s="74">
        <f ca="1">IFERROR(__xludf.DUMMYFUNCTION("""COMPUTED_VALUE"""),270)</f>
        <v>270</v>
      </c>
    </row>
    <row r="206" spans="2:9" ht="27" customHeight="1">
      <c r="B206" s="73" t="str">
        <f ca="1">IFERROR(__xludf.DUMMYFUNCTION("""COMPUTED_VALUE"""),"PIPERACILINA Y TAZOBACTAM")</f>
        <v>PIPERACILINA Y TAZOBACTAM</v>
      </c>
      <c r="C206" s="73" t="str">
        <f ca="1">IFERROR(__xludf.DUMMYFUNCTION("""COMPUTED_VALUE"""),"FRASCO IV")</f>
        <v>FRASCO IV</v>
      </c>
      <c r="D206" s="73" t="str">
        <f ca="1">IFERROR(__xludf.DUMMYFUNCTION("""COMPUTED_VALUE"""),"PIPERACILINA Y TAZOBACTAM")</f>
        <v>PIPERACILINA Y TAZOBACTAM</v>
      </c>
      <c r="E206" s="73" t="str">
        <f ca="1">IFERROR(__xludf.DUMMYFUNCTION("""COMPUTED_VALUE"""),"POLIFARMA")</f>
        <v>POLIFARMA</v>
      </c>
      <c r="F206" s="75">
        <f ca="1">IFERROR(__xludf.DUMMYFUNCTION("""COMPUTED_VALUE"""),45683)</f>
        <v>45683</v>
      </c>
      <c r="G206" s="74">
        <f ca="1">IFERROR(__xludf.DUMMYFUNCTION("""COMPUTED_VALUE"""),46.55)</f>
        <v>46.55</v>
      </c>
      <c r="H206" s="74">
        <f ca="1">IFERROR(__xludf.DUMMYFUNCTION("""COMPUTED_VALUE"""),65.17)</f>
        <v>65.17</v>
      </c>
      <c r="I206" s="74">
        <f ca="1">IFERROR(__xludf.DUMMYFUNCTION("""COMPUTED_VALUE"""),70)</f>
        <v>70</v>
      </c>
    </row>
    <row r="207" spans="2:9" ht="27" customHeight="1">
      <c r="B207" s="73" t="str">
        <f ca="1">IFERROR(__xludf.DUMMYFUNCTION("""COMPUTED_VALUE"""),"PRANEX")</f>
        <v>PRANEX</v>
      </c>
      <c r="C207" s="73" t="str">
        <f ca="1">IFERROR(__xludf.DUMMYFUNCTION("""COMPUTED_VALUE"""),"CAJA 15 CAPSULAS")</f>
        <v>CAJA 15 CAPSULAS</v>
      </c>
      <c r="D207" s="73" t="str">
        <f ca="1">IFERROR(__xludf.DUMMYFUNCTION("""COMPUTED_VALUE"""),"ESOMEPRAZOL 40MG")</f>
        <v>ESOMEPRAZOL 40MG</v>
      </c>
      <c r="E207" s="73" t="str">
        <f ca="1">IFERROR(__xludf.DUMMYFUNCTION("""COMPUTED_VALUE"""),"PHARA")</f>
        <v>PHARA</v>
      </c>
      <c r="F207" s="75">
        <f ca="1">IFERROR(__xludf.DUMMYFUNCTION("""COMPUTED_VALUE"""),45956)</f>
        <v>45956</v>
      </c>
      <c r="G207" s="74">
        <f ca="1">IFERROR(__xludf.DUMMYFUNCTION("""COMPUTED_VALUE"""),100)</f>
        <v>100</v>
      </c>
      <c r="H207" s="74">
        <f ca="1">IFERROR(__xludf.DUMMYFUNCTION("""COMPUTED_VALUE"""),140)</f>
        <v>140</v>
      </c>
      <c r="I207" s="74">
        <f ca="1">IFERROR(__xludf.DUMMYFUNCTION("""COMPUTED_VALUE"""),200)</f>
        <v>200</v>
      </c>
    </row>
    <row r="208" spans="2:9" ht="27" customHeight="1">
      <c r="B208" s="73" t="str">
        <f ca="1">IFERROR(__xludf.DUMMYFUNCTION("""COMPUTED_VALUE"""),"PREDNICET 20MG")</f>
        <v>PREDNICET 20MG</v>
      </c>
      <c r="C208" s="73" t="str">
        <f ca="1">IFERROR(__xludf.DUMMYFUNCTION("""COMPUTED_VALUE"""),"CAJA 10 TABLETAS")</f>
        <v>CAJA 10 TABLETAS</v>
      </c>
      <c r="D208" s="73" t="str">
        <f ca="1">IFERROR(__xludf.DUMMYFUNCTION("""COMPUTED_VALUE"""),"PREDNISOLONA 20MG")</f>
        <v>PREDNISOLONA 20MG</v>
      </c>
      <c r="E208" s="73" t="str">
        <f ca="1">IFERROR(__xludf.DUMMYFUNCTION("""COMPUTED_VALUE"""),"MEDPHARMA")</f>
        <v>MEDPHARMA</v>
      </c>
      <c r="F208" s="75">
        <f ca="1">IFERROR(__xludf.DUMMYFUNCTION("""COMPUTED_VALUE"""),45957)</f>
        <v>45957</v>
      </c>
      <c r="G208" s="74">
        <f ca="1">IFERROR(__xludf.DUMMYFUNCTION("""COMPUTED_VALUE"""),69.28)</f>
        <v>69.28</v>
      </c>
      <c r="H208" s="74">
        <f ca="1">IFERROR(__xludf.DUMMYFUNCTION("""COMPUTED_VALUE"""),96.992)</f>
        <v>96.992000000000004</v>
      </c>
      <c r="I208" s="74">
        <f ca="1">IFERROR(__xludf.DUMMYFUNCTION("""COMPUTED_VALUE"""),100)</f>
        <v>100</v>
      </c>
    </row>
    <row r="209" spans="2:9" ht="27" customHeight="1">
      <c r="B209" s="73" t="str">
        <f ca="1">IFERROR(__xludf.DUMMYFUNCTION("""COMPUTED_VALUE"""),"PRELACTA")</f>
        <v>PRELACTA</v>
      </c>
      <c r="C209" s="73" t="str">
        <f ca="1">IFERROR(__xludf.DUMMYFUNCTION("""COMPUTED_VALUE"""),"CAJA 28 TABLETAS")</f>
        <v>CAJA 28 TABLETAS</v>
      </c>
      <c r="D209" s="73" t="str">
        <f ca="1">IFERROR(__xludf.DUMMYFUNCTION("""COMPUTED_VALUE"""),"SUPLEMENTO DE VITAMINAS Y MINERALES")</f>
        <v>SUPLEMENTO DE VITAMINAS Y MINERALES</v>
      </c>
      <c r="E209" s="73" t="str">
        <f ca="1">IFERROR(__xludf.DUMMYFUNCTION("""COMPUTED_VALUE"""),"QUALIPHARM")</f>
        <v>QUALIPHARM</v>
      </c>
      <c r="F209" s="75">
        <f ca="1">IFERROR(__xludf.DUMMYFUNCTION("""COMPUTED_VALUE"""),46017)</f>
        <v>46017</v>
      </c>
      <c r="G209" s="74">
        <f ca="1">IFERROR(__xludf.DUMMYFUNCTION("""COMPUTED_VALUE"""),65)</f>
        <v>65</v>
      </c>
      <c r="H209" s="74">
        <f ca="1">IFERROR(__xludf.DUMMYFUNCTION("""COMPUTED_VALUE"""),91)</f>
        <v>91</v>
      </c>
      <c r="I209" s="74">
        <f ca="1">IFERROR(__xludf.DUMMYFUNCTION("""COMPUTED_VALUE"""),100)</f>
        <v>100</v>
      </c>
    </row>
    <row r="210" spans="2:9" ht="27" customHeight="1">
      <c r="B210" s="73" t="str">
        <f ca="1">IFERROR(__xludf.DUMMYFUNCTION("""COMPUTED_VALUE"""),"PRONOCTIUM 3MG.")</f>
        <v>PRONOCTIUM 3MG.</v>
      </c>
      <c r="C210" s="73" t="str">
        <f ca="1">IFERROR(__xludf.DUMMYFUNCTION("""COMPUTED_VALUE"""),"COMPRIMIDOS")</f>
        <v>COMPRIMIDOS</v>
      </c>
      <c r="D210" s="73" t="str">
        <f ca="1">IFERROR(__xludf.DUMMYFUNCTION("""COMPUTED_VALUE"""),"ESZOPICLONA")</f>
        <v>ESZOPICLONA</v>
      </c>
      <c r="E210" s="73" t="str">
        <f ca="1">IFERROR(__xludf.DUMMYFUNCTION("""COMPUTED_VALUE"""),"VIZCAINO")</f>
        <v>VIZCAINO</v>
      </c>
      <c r="F210" s="75">
        <f ca="1">IFERROR(__xludf.DUMMYFUNCTION("""COMPUTED_VALUE"""),45895)</f>
        <v>45895</v>
      </c>
      <c r="G210" s="74">
        <f ca="1">IFERROR(__xludf.DUMMYFUNCTION("""COMPUTED_VALUE"""),171)</f>
        <v>171</v>
      </c>
      <c r="H210" s="74">
        <f ca="1">IFERROR(__xludf.DUMMYFUNCTION("""COMPUTED_VALUE"""),239.4)</f>
        <v>239.4</v>
      </c>
      <c r="I210" s="74">
        <f ca="1">IFERROR(__xludf.DUMMYFUNCTION("""COMPUTED_VALUE"""),240)</f>
        <v>240</v>
      </c>
    </row>
    <row r="211" spans="2:9" ht="27" customHeight="1">
      <c r="B211" s="73" t="str">
        <f ca="1">IFERROR(__xludf.DUMMYFUNCTION("""COMPUTED_VALUE"""),"PROGETIN")</f>
        <v>PROGETIN</v>
      </c>
      <c r="C211" s="73" t="str">
        <f ca="1">IFERROR(__xludf.DUMMYFUNCTION("""COMPUTED_VALUE"""),"CAJA DE 1 AMPOLLA")</f>
        <v>CAJA DE 1 AMPOLLA</v>
      </c>
      <c r="D211" s="73" t="str">
        <f ca="1">IFERROR(__xludf.DUMMYFUNCTION("""COMPUTED_VALUE"""),"ovulación")</f>
        <v>ovulación</v>
      </c>
      <c r="E211" s="73" t="str">
        <f ca="1">IFERROR(__xludf.DUMMYFUNCTION("""COMPUTED_VALUE"""),"COIDE S.A.")</f>
        <v>COIDE S.A.</v>
      </c>
      <c r="F211" s="73" t="str">
        <f ca="1">IFERROR(__xludf.DUMMYFUNCTION("""COMPUTED_VALUE"""),"feb-30")</f>
        <v>feb-30</v>
      </c>
      <c r="G211" s="74">
        <f ca="1">IFERROR(__xludf.DUMMYFUNCTION("""COMPUTED_VALUE"""),30)</f>
        <v>30</v>
      </c>
      <c r="H211" s="74">
        <f ca="1">IFERROR(__xludf.DUMMYFUNCTION("""COMPUTED_VALUE"""),42)</f>
        <v>42</v>
      </c>
      <c r="I211" s="74">
        <f ca="1">IFERROR(__xludf.DUMMYFUNCTION("""COMPUTED_VALUE"""),50)</f>
        <v>50</v>
      </c>
    </row>
    <row r="212" spans="2:9" ht="27" customHeight="1">
      <c r="B212" s="73" t="str">
        <f ca="1">IFERROR(__xludf.DUMMYFUNCTION("""COMPUTED_VALUE"""),"PSICODOL 1MG")</f>
        <v>PSICODOL 1MG</v>
      </c>
      <c r="C212" s="73" t="str">
        <f ca="1">IFERROR(__xludf.DUMMYFUNCTION("""COMPUTED_VALUE"""),"FRASCO 60ML")</f>
        <v>FRASCO 60ML</v>
      </c>
      <c r="D212" s="73" t="str">
        <f ca="1">IFERROR(__xludf.DUMMYFUNCTION("""COMPUTED_VALUE"""),"RISPERIDONA 1MG")</f>
        <v>RISPERIDONA 1MG</v>
      </c>
      <c r="E212" s="73" t="str">
        <f ca="1">IFERROR(__xludf.DUMMYFUNCTION("""COMPUTED_VALUE"""),"MEDPHARMA")</f>
        <v>MEDPHARMA</v>
      </c>
      <c r="F212" s="75">
        <f ca="1">IFERROR(__xludf.DUMMYFUNCTION("""COMPUTED_VALUE"""),45864)</f>
        <v>45864</v>
      </c>
      <c r="G212" s="74">
        <f ca="1">IFERROR(__xludf.DUMMYFUNCTION("""COMPUTED_VALUE"""),144.9)</f>
        <v>144.9</v>
      </c>
      <c r="H212" s="74">
        <f ca="1">IFERROR(__xludf.DUMMYFUNCTION("""COMPUTED_VALUE"""),202.86)</f>
        <v>202.86</v>
      </c>
      <c r="I212" s="74">
        <f ca="1">IFERROR(__xludf.DUMMYFUNCTION("""COMPUTED_VALUE"""),205)</f>
        <v>205</v>
      </c>
    </row>
    <row r="213" spans="2:9" ht="27" customHeight="1">
      <c r="B213" s="73" t="str">
        <f ca="1">IFERROR(__xludf.DUMMYFUNCTION("""COMPUTED_VALUE"""),"PULMOKAST")</f>
        <v>PULMOKAST</v>
      </c>
      <c r="C213" s="73" t="str">
        <f ca="1">IFERROR(__xludf.DUMMYFUNCTION("""COMPUTED_VALUE"""),"CAJA 30 TABLETAS")</f>
        <v>CAJA 30 TABLETAS</v>
      </c>
      <c r="D213" s="73" t="str">
        <f ca="1">IFERROR(__xludf.DUMMYFUNCTION("""COMPUTED_VALUE"""),"MONTELUKAST 10MG")</f>
        <v>MONTELUKAST 10MG</v>
      </c>
      <c r="E213" s="73" t="str">
        <f ca="1">IFERROR(__xludf.DUMMYFUNCTION("""COMPUTED_VALUE"""),"INFASA")</f>
        <v>INFASA</v>
      </c>
      <c r="F213" s="75">
        <f ca="1">IFERROR(__xludf.DUMMYFUNCTION("""COMPUTED_VALUE"""),45956)</f>
        <v>45956</v>
      </c>
      <c r="G213" s="74">
        <f ca="1">IFERROR(__xludf.DUMMYFUNCTION("""COMPUTED_VALUE"""),94.5)</f>
        <v>94.5</v>
      </c>
      <c r="H213" s="74">
        <f ca="1">IFERROR(__xludf.DUMMYFUNCTION("""COMPUTED_VALUE"""),132.3)</f>
        <v>132.30000000000001</v>
      </c>
      <c r="I213" s="74">
        <f ca="1">IFERROR(__xludf.DUMMYFUNCTION("""COMPUTED_VALUE"""),150)</f>
        <v>150</v>
      </c>
    </row>
    <row r="214" spans="2:9" ht="27" customHeight="1">
      <c r="B214" s="73" t="str">
        <f ca="1">IFERROR(__xludf.DUMMYFUNCTION("""COMPUTED_VALUE"""),"RANITIDINA")</f>
        <v>RANITIDINA</v>
      </c>
      <c r="C214" s="73" t="str">
        <f ca="1">IFERROR(__xludf.DUMMYFUNCTION("""COMPUTED_VALUE"""),"AMPOLLA")</f>
        <v>AMPOLLA</v>
      </c>
      <c r="D214" s="73" t="str">
        <f ca="1">IFERROR(__xludf.DUMMYFUNCTION("""COMPUTED_VALUE"""),"RANITIDINA")</f>
        <v>RANITIDINA</v>
      </c>
      <c r="E214" s="73" t="str">
        <f ca="1">IFERROR(__xludf.DUMMYFUNCTION("""COMPUTED_VALUE"""),"VITALIS")</f>
        <v>VITALIS</v>
      </c>
      <c r="F214" s="75">
        <f ca="1">IFERROR(__xludf.DUMMYFUNCTION("""COMPUTED_VALUE"""),45926)</f>
        <v>45926</v>
      </c>
      <c r="G214" s="74">
        <f ca="1">IFERROR(__xludf.DUMMYFUNCTION("""COMPUTED_VALUE"""),2.25)</f>
        <v>2.25</v>
      </c>
      <c r="H214" s="74">
        <f ca="1">IFERROR(__xludf.DUMMYFUNCTION("""COMPUTED_VALUE"""),3.15)</f>
        <v>3.15</v>
      </c>
      <c r="I214" s="74">
        <f ca="1">IFERROR(__xludf.DUMMYFUNCTION("""COMPUTED_VALUE"""),30)</f>
        <v>30</v>
      </c>
    </row>
    <row r="215" spans="2:9" ht="27" customHeight="1">
      <c r="B215" s="73" t="str">
        <f ca="1">IFERROR(__xludf.DUMMYFUNCTION("""COMPUTED_VALUE"""),"RECTO MENADERM")</f>
        <v>RECTO MENADERM</v>
      </c>
      <c r="C215" s="73" t="str">
        <f ca="1">IFERROR(__xludf.DUMMYFUNCTION("""COMPUTED_VALUE"""),"POMADA RECTAL TUBO 30G.")</f>
        <v>POMADA RECTAL TUBO 30G.</v>
      </c>
      <c r="D215" s="73" t="str">
        <f ca="1">IFERROR(__xludf.DUMMYFUNCTION("""COMPUTED_VALUE"""),"BECLOMETASONA DIPROPIONATO")</f>
        <v>BECLOMETASONA DIPROPIONATO</v>
      </c>
      <c r="E215" s="73" t="str">
        <f ca="1">IFERROR(__xludf.DUMMYFUNCTION("""COMPUTED_VALUE"""),"MENARINI")</f>
        <v>MENARINI</v>
      </c>
      <c r="F215" s="75">
        <f ca="1">IFERROR(__xludf.DUMMYFUNCTION("""COMPUTED_VALUE"""),45715)</f>
        <v>45715</v>
      </c>
      <c r="G215" s="74">
        <f ca="1">IFERROR(__xludf.DUMMYFUNCTION("""COMPUTED_VALUE"""),111.22)</f>
        <v>111.22</v>
      </c>
      <c r="H215" s="74">
        <f ca="1">IFERROR(__xludf.DUMMYFUNCTION("""COMPUTED_VALUE"""),155.708)</f>
        <v>155.708</v>
      </c>
      <c r="I215" s="74">
        <f ca="1">IFERROR(__xludf.DUMMYFUNCTION("""COMPUTED_VALUE"""),155)</f>
        <v>155</v>
      </c>
    </row>
    <row r="216" spans="2:9" ht="27" customHeight="1">
      <c r="B216" s="73" t="str">
        <f ca="1">IFERROR(__xludf.DUMMYFUNCTION("""COMPUTED_VALUE"""),"RELAJAMED 2ML")</f>
        <v>RELAJAMED 2ML</v>
      </c>
      <c r="C216" s="73" t="str">
        <f ca="1">IFERROR(__xludf.DUMMYFUNCTION("""COMPUTED_VALUE"""),"AMPOLLA 2 ML")</f>
        <v>AMPOLLA 2 ML</v>
      </c>
      <c r="D216" s="73" t="str">
        <f ca="1">IFERROR(__xludf.DUMMYFUNCTION("""COMPUTED_VALUE"""),"TIOCOLCHICOSIDO 4MG.")</f>
        <v>TIOCOLCHICOSIDO 4MG.</v>
      </c>
      <c r="E216" s="73" t="str">
        <f ca="1">IFERROR(__xludf.DUMMYFUNCTION("""COMPUTED_VALUE"""),"MOBA")</f>
        <v>MOBA</v>
      </c>
      <c r="F216" s="75">
        <f ca="1">IFERROR(__xludf.DUMMYFUNCTION("""COMPUTED_VALUE"""),45897)</f>
        <v>45897</v>
      </c>
      <c r="G216" s="74">
        <f ca="1">IFERROR(__xludf.DUMMYFUNCTION("""COMPUTED_VALUE"""),18)</f>
        <v>18</v>
      </c>
      <c r="H216" s="74">
        <f ca="1">IFERROR(__xludf.DUMMYFUNCTION("""COMPUTED_VALUE"""),25.2)</f>
        <v>25.2</v>
      </c>
      <c r="I216" s="74">
        <f ca="1">IFERROR(__xludf.DUMMYFUNCTION("""COMPUTED_VALUE"""),25)</f>
        <v>25</v>
      </c>
    </row>
    <row r="217" spans="2:9" ht="27" customHeight="1">
      <c r="B217" s="73" t="str">
        <f ca="1">IFERROR(__xludf.DUMMYFUNCTION("""COMPUTED_VALUE"""),"RENUVEN")</f>
        <v>RENUVEN</v>
      </c>
      <c r="C217" s="73" t="str">
        <f ca="1">IFERROR(__xludf.DUMMYFUNCTION("""COMPUTED_VALUE"""),"CAJA 30 CÁPUSLAS")</f>
        <v>CAJA 30 CÁPUSLAS</v>
      </c>
      <c r="D217" s="73" t="str">
        <f ca="1">IFERROR(__xludf.DUMMYFUNCTION("""COMPUTED_VALUE"""),"DLOPIDOGREL 75MG + ÁCIDO ACETILSALICÍLICA 75MG")</f>
        <v>DLOPIDOGREL 75MG + ÁCIDO ACETILSALICÍLICA 75MG</v>
      </c>
      <c r="E217" s="73" t="str">
        <f ca="1">IFERROR(__xludf.DUMMYFUNCTION("""COMPUTED_VALUE"""),"PHARA FARMECO")</f>
        <v>PHARA FARMECO</v>
      </c>
      <c r="F217" s="75">
        <f ca="1">IFERROR(__xludf.DUMMYFUNCTION("""COMPUTED_VALUE"""),45683)</f>
        <v>45683</v>
      </c>
      <c r="G217" s="74">
        <f ca="1">IFERROR(__xludf.DUMMYFUNCTION("""COMPUTED_VALUE"""),180)</f>
        <v>180</v>
      </c>
      <c r="H217" s="74">
        <f ca="1">IFERROR(__xludf.DUMMYFUNCTION("""COMPUTED_VALUE"""),252)</f>
        <v>252</v>
      </c>
      <c r="I217" s="74">
        <f ca="1">IFERROR(__xludf.DUMMYFUNCTION("""COMPUTED_VALUE"""),255)</f>
        <v>255</v>
      </c>
    </row>
    <row r="218" spans="2:9" ht="27" customHeight="1">
      <c r="B218" s="73" t="str">
        <f ca="1">IFERROR(__xludf.DUMMYFUNCTION("""COMPUTED_VALUE"""),"RILATEN")</f>
        <v>RILATEN</v>
      </c>
      <c r="C218" s="73" t="str">
        <f ca="1">IFERROR(__xludf.DUMMYFUNCTION("""COMPUTED_VALUE"""),"AMPOLLA")</f>
        <v>AMPOLLA</v>
      </c>
      <c r="D218" s="73" t="str">
        <f ca="1">IFERROR(__xludf.DUMMYFUNCTION("""COMPUTED_VALUE"""),"ROCIVERINA 20MG")</f>
        <v>ROCIVERINA 20MG</v>
      </c>
      <c r="E218" s="73" t="str">
        <f ca="1">IFERROR(__xludf.DUMMYFUNCTION("""COMPUTED_VALUE"""),"MENARINI FARMEN SA")</f>
        <v>MENARINI FARMEN SA</v>
      </c>
      <c r="F218" s="75">
        <f ca="1">IFERROR(__xludf.DUMMYFUNCTION("""COMPUTED_VALUE"""),45895)</f>
        <v>45895</v>
      </c>
      <c r="G218" s="74">
        <f ca="1">IFERROR(__xludf.DUMMYFUNCTION("""COMPUTED_VALUE"""),14.02)</f>
        <v>14.02</v>
      </c>
      <c r="H218" s="74">
        <f ca="1">IFERROR(__xludf.DUMMYFUNCTION("""COMPUTED_VALUE"""),19.628)</f>
        <v>19.628</v>
      </c>
      <c r="I218" s="74">
        <f ca="1">IFERROR(__xludf.DUMMYFUNCTION("""COMPUTED_VALUE"""),30)</f>
        <v>30</v>
      </c>
    </row>
    <row r="219" spans="2:9" ht="27" customHeight="1">
      <c r="B219" s="73" t="str">
        <f ca="1">IFERROR(__xludf.DUMMYFUNCTION("""COMPUTED_VALUE"""),"RIMOSS")</f>
        <v>RIMOSS</v>
      </c>
      <c r="C219" s="73" t="str">
        <f ca="1">IFERROR(__xludf.DUMMYFUNCTION("""COMPUTED_VALUE"""),"SPRAY NASAL 12ML")</f>
        <v>SPRAY NASAL 12ML</v>
      </c>
      <c r="D219" s="73" t="str">
        <f ca="1">IFERROR(__xludf.DUMMYFUNCTION("""COMPUTED_VALUE"""),"MOMETASONA FUROATO")</f>
        <v>MOMETASONA FUROATO</v>
      </c>
      <c r="E219" s="73" t="str">
        <f ca="1">IFERROR(__xludf.DUMMYFUNCTION("""COMPUTED_VALUE"""),"WELLCO")</f>
        <v>WELLCO</v>
      </c>
      <c r="F219" s="75">
        <f ca="1">IFERROR(__xludf.DUMMYFUNCTION("""COMPUTED_VALUE"""),45835)</f>
        <v>45835</v>
      </c>
      <c r="G219" s="74">
        <f ca="1">IFERROR(__xludf.DUMMYFUNCTION("""COMPUTED_VALUE"""),175)</f>
        <v>175</v>
      </c>
      <c r="H219" s="74">
        <f ca="1">IFERROR(__xludf.DUMMYFUNCTION("""COMPUTED_VALUE"""),245)</f>
        <v>245</v>
      </c>
      <c r="I219" s="74">
        <f ca="1">IFERROR(__xludf.DUMMYFUNCTION("""COMPUTED_VALUE"""),245)</f>
        <v>245</v>
      </c>
    </row>
    <row r="220" spans="2:9" ht="27" customHeight="1">
      <c r="B220" s="73" t="str">
        <f ca="1">IFERROR(__xludf.DUMMYFUNCTION("""COMPUTED_VALUE"""),"RUPAZZER")</f>
        <v>RUPAZZER</v>
      </c>
      <c r="C220" s="73" t="str">
        <f ca="1">IFERROR(__xludf.DUMMYFUNCTION("""COMPUTED_VALUE"""),"CAJA 10 TABLETAS")</f>
        <v>CAJA 10 TABLETAS</v>
      </c>
      <c r="D220" s="73" t="str">
        <f ca="1">IFERROR(__xludf.DUMMYFUNCTION("""COMPUTED_VALUE"""),"RUPATADINA 10MG")</f>
        <v>RUPATADINA 10MG</v>
      </c>
      <c r="E220" s="73" t="str">
        <f ca="1">IFERROR(__xludf.DUMMYFUNCTION("""COMPUTED_VALUE"""),"WINZZER")</f>
        <v>WINZZER</v>
      </c>
      <c r="F220" s="75">
        <f ca="1">IFERROR(__xludf.DUMMYFUNCTION("""COMPUTED_VALUE"""),45986)</f>
        <v>45986</v>
      </c>
      <c r="G220" s="74">
        <f ca="1">IFERROR(__xludf.DUMMYFUNCTION("""COMPUTED_VALUE"""),88)</f>
        <v>88</v>
      </c>
      <c r="H220" s="74">
        <f ca="1">IFERROR(__xludf.DUMMYFUNCTION("""COMPUTED_VALUE"""),123.2)</f>
        <v>123.2</v>
      </c>
      <c r="I220" s="74">
        <f ca="1">IFERROR(__xludf.DUMMYFUNCTION("""COMPUTED_VALUE"""),125)</f>
        <v>125</v>
      </c>
    </row>
    <row r="221" spans="2:9" ht="27" customHeight="1">
      <c r="B221" s="73" t="str">
        <f ca="1">IFERROR(__xludf.DUMMYFUNCTION("""COMPUTED_VALUE"""),"RUPAZZER")</f>
        <v>RUPAZZER</v>
      </c>
      <c r="C221" s="73" t="str">
        <f ca="1">IFERROR(__xludf.DUMMYFUNCTION("""COMPUTED_VALUE"""),"FRASCO 120ML.")</f>
        <v>FRASCO 120ML.</v>
      </c>
      <c r="D221" s="73" t="str">
        <f ca="1">IFERROR(__xludf.DUMMYFUNCTION("""COMPUTED_VALUE"""),"RUPATADINA 1MG/ML")</f>
        <v>RUPATADINA 1MG/ML</v>
      </c>
      <c r="E221" s="73" t="str">
        <f ca="1">IFERROR(__xludf.DUMMYFUNCTION("""COMPUTED_VALUE"""),"WINZZER")</f>
        <v>WINZZER</v>
      </c>
      <c r="F221" s="75">
        <f ca="1">IFERROR(__xludf.DUMMYFUNCTION("""COMPUTED_VALUE"""),45986)</f>
        <v>45986</v>
      </c>
      <c r="G221" s="74">
        <f ca="1">IFERROR(__xludf.DUMMYFUNCTION("""COMPUTED_VALUE"""),85.14)</f>
        <v>85.14</v>
      </c>
      <c r="H221" s="74">
        <f ca="1">IFERROR(__xludf.DUMMYFUNCTION("""COMPUTED_VALUE"""),119.196)</f>
        <v>119.196</v>
      </c>
      <c r="I221" s="74">
        <f ca="1">IFERROR(__xludf.DUMMYFUNCTION("""COMPUTED_VALUE"""),125)</f>
        <v>125</v>
      </c>
    </row>
    <row r="222" spans="2:9" ht="27" customHeight="1">
      <c r="B222" s="73" t="str">
        <f ca="1">IFERROR(__xludf.DUMMYFUNCTION("""COMPUTED_VALUE"""),"S.C.I.")</f>
        <v>S.C.I.</v>
      </c>
      <c r="C222" s="73" t="str">
        <f ca="1">IFERROR(__xludf.DUMMYFUNCTION("""COMPUTED_VALUE"""),"CAJA 30 COMPRIMIDOS")</f>
        <v>CAJA 30 COMPRIMIDOS</v>
      </c>
      <c r="D222" s="73" t="str">
        <f ca="1">IFERROR(__xludf.DUMMYFUNCTION("""COMPUTED_VALUE"""),"BROMURO DE OTILONIO 40MG")</f>
        <v>BROMURO DE OTILONIO 40MG</v>
      </c>
      <c r="E222" s="73" t="str">
        <f ca="1">IFERROR(__xludf.DUMMYFUNCTION("""COMPUTED_VALUE"""),"INFASA")</f>
        <v>INFASA</v>
      </c>
      <c r="F222" s="75">
        <f ca="1">IFERROR(__xludf.DUMMYFUNCTION("""COMPUTED_VALUE"""),45716)</f>
        <v>45716</v>
      </c>
      <c r="G222" s="74">
        <f ca="1">IFERROR(__xludf.DUMMYFUNCTION("""COMPUTED_VALUE"""),86.12)</f>
        <v>86.12</v>
      </c>
      <c r="H222" s="74">
        <f ca="1">IFERROR(__xludf.DUMMYFUNCTION("""COMPUTED_VALUE"""),120.568)</f>
        <v>120.568</v>
      </c>
      <c r="I222" s="74">
        <f ca="1">IFERROR(__xludf.DUMMYFUNCTION("""COMPUTED_VALUE"""),120)</f>
        <v>120</v>
      </c>
    </row>
    <row r="223" spans="2:9" ht="27" customHeight="1">
      <c r="B223" s="73" t="str">
        <f ca="1">IFERROR(__xludf.DUMMYFUNCTION("""COMPUTED_VALUE"""),"SARCOPHAR")</f>
        <v>SARCOPHAR</v>
      </c>
      <c r="C223" s="73" t="str">
        <f ca="1">IFERROR(__xludf.DUMMYFUNCTION("""COMPUTED_VALUE"""),"CREMA TOPICA 60ML")</f>
        <v>CREMA TOPICA 60ML</v>
      </c>
      <c r="D223" s="73" t="str">
        <f ca="1">IFERROR(__xludf.DUMMYFUNCTION("""COMPUTED_VALUE"""),"PERMETRINA AL 5%")</f>
        <v>PERMETRINA AL 5%</v>
      </c>
      <c r="E223" s="73" t="str">
        <f ca="1">IFERROR(__xludf.DUMMYFUNCTION("""COMPUTED_VALUE"""),"PHARBEST, S.A.")</f>
        <v>PHARBEST, S.A.</v>
      </c>
      <c r="F223" s="75">
        <f ca="1">IFERROR(__xludf.DUMMYFUNCTION("""COMPUTED_VALUE"""),45683)</f>
        <v>45683</v>
      </c>
      <c r="G223" s="74">
        <f ca="1">IFERROR(__xludf.DUMMYFUNCTION("""COMPUTED_VALUE"""),50.6)</f>
        <v>50.6</v>
      </c>
      <c r="H223" s="74">
        <f ca="1">IFERROR(__xludf.DUMMYFUNCTION("""COMPUTED_VALUE"""),70.84)</f>
        <v>70.84</v>
      </c>
      <c r="I223" s="74">
        <f ca="1">IFERROR(__xludf.DUMMYFUNCTION("""COMPUTED_VALUE"""),70)</f>
        <v>70</v>
      </c>
    </row>
    <row r="224" spans="2:9" ht="27" customHeight="1">
      <c r="B224" s="73" t="str">
        <f ca="1">IFERROR(__xludf.DUMMYFUNCTION("""COMPUTED_VALUE"""),"SECBIL")</f>
        <v>SECBIL</v>
      </c>
      <c r="C224" s="73" t="str">
        <f ca="1">IFERROR(__xludf.DUMMYFUNCTION("""COMPUTED_VALUE"""),"CAJA 4 TAB.")</f>
        <v>CAJA 4 TAB.</v>
      </c>
      <c r="D224" s="73" t="str">
        <f ca="1">IFERROR(__xludf.DUMMYFUNCTION("""COMPUTED_VALUE"""),"SECNIDAZOL 500MG")</f>
        <v>SECNIDAZOL 500MG</v>
      </c>
      <c r="E224" s="73" t="str">
        <f ca="1">IFERROR(__xludf.DUMMYFUNCTION("""COMPUTED_VALUE"""),"BILE FARMACÉUTICA")</f>
        <v>BILE FARMACÉUTICA</v>
      </c>
      <c r="F224" s="75">
        <f ca="1">IFERROR(__xludf.DUMMYFUNCTION("""COMPUTED_VALUE"""),45773)</f>
        <v>45773</v>
      </c>
      <c r="G224" s="74">
        <f ca="1">IFERROR(__xludf.DUMMYFUNCTION("""COMPUTED_VALUE"""),40)</f>
        <v>40</v>
      </c>
      <c r="H224" s="74">
        <f ca="1">IFERROR(__xludf.DUMMYFUNCTION("""COMPUTED_VALUE"""),56)</f>
        <v>56</v>
      </c>
      <c r="I224" s="74">
        <f ca="1">IFERROR(__xludf.DUMMYFUNCTION("""COMPUTED_VALUE"""),60)</f>
        <v>60</v>
      </c>
    </row>
    <row r="225" spans="2:9" ht="27" customHeight="1">
      <c r="B225" s="73" t="str">
        <f ca="1">IFERROR(__xludf.DUMMYFUNCTION("""COMPUTED_VALUE"""),"SEDALGINA COMPUESTA")</f>
        <v>SEDALGINA COMPUESTA</v>
      </c>
      <c r="C225" s="73" t="str">
        <f ca="1">IFERROR(__xludf.DUMMYFUNCTION("""COMPUTED_VALUE"""),"AMPOLLA 2ML")</f>
        <v>AMPOLLA 2ML</v>
      </c>
      <c r="D225" s="73" t="str">
        <f ca="1">IFERROR(__xludf.DUMMYFUNCTION("""COMPUTED_VALUE"""),"SEDALGINA COMPUESTA")</f>
        <v>SEDALGINA COMPUESTA</v>
      </c>
      <c r="E225" s="73" t="str">
        <f ca="1">IFERROR(__xludf.DUMMYFUNCTION("""COMPUTED_VALUE"""),"BONIN/DISSA")</f>
        <v>BONIN/DISSA</v>
      </c>
      <c r="F225" s="75">
        <f ca="1">IFERROR(__xludf.DUMMYFUNCTION("""COMPUTED_VALUE"""),45988)</f>
        <v>45988</v>
      </c>
      <c r="G225" s="74">
        <f ca="1">IFERROR(__xludf.DUMMYFUNCTION("""COMPUTED_VALUE"""),17.9)</f>
        <v>17.899999999999999</v>
      </c>
      <c r="H225" s="74">
        <f ca="1">IFERROR(__xludf.DUMMYFUNCTION("""COMPUTED_VALUE"""),25.06)</f>
        <v>25.06</v>
      </c>
      <c r="I225" s="74">
        <f ca="1">IFERROR(__xludf.DUMMYFUNCTION("""COMPUTED_VALUE"""),30)</f>
        <v>30</v>
      </c>
    </row>
    <row r="226" spans="2:9" ht="27" customHeight="1">
      <c r="B226" s="73" t="str">
        <f ca="1">IFERROR(__xludf.DUMMYFUNCTION("""COMPUTED_VALUE"""),"SEPTIDEX")</f>
        <v>SEPTIDEX</v>
      </c>
      <c r="C226" s="73" t="str">
        <f ca="1">IFERROR(__xludf.DUMMYFUNCTION("""COMPUTED_VALUE"""),"AEROSOL 40G")</f>
        <v>AEROSOL 40G</v>
      </c>
      <c r="D226" s="73" t="str">
        <f ca="1">IFERROR(__xludf.DUMMYFUNCTION("""COMPUTED_VALUE"""),"AEROSOL")</f>
        <v>AEROSOL</v>
      </c>
      <c r="E226" s="73" t="str">
        <f ca="1">IFERROR(__xludf.DUMMYFUNCTION("""COMPUTED_VALUE"""),"MEDPHARMA")</f>
        <v>MEDPHARMA</v>
      </c>
      <c r="F226" s="75">
        <f ca="1">IFERROR(__xludf.DUMMYFUNCTION("""COMPUTED_VALUE"""),45956)</f>
        <v>45956</v>
      </c>
      <c r="G226" s="74">
        <f ca="1">IFERROR(__xludf.DUMMYFUNCTION("""COMPUTED_VALUE"""),61.28)</f>
        <v>61.28</v>
      </c>
      <c r="H226" s="74">
        <f ca="1">IFERROR(__xludf.DUMMYFUNCTION("""COMPUTED_VALUE"""),85.792)</f>
        <v>85.792000000000002</v>
      </c>
      <c r="I226" s="74">
        <f ca="1">IFERROR(__xludf.DUMMYFUNCTION("""COMPUTED_VALUE"""),90)</f>
        <v>90</v>
      </c>
    </row>
    <row r="227" spans="2:9" ht="27" customHeight="1">
      <c r="B227" s="73" t="str">
        <f ca="1">IFERROR(__xludf.DUMMYFUNCTION("""COMPUTED_VALUE"""),"SERTAL GOTAS")</f>
        <v>SERTAL GOTAS</v>
      </c>
      <c r="C227" s="73" t="str">
        <f ca="1">IFERROR(__xludf.DUMMYFUNCTION("""COMPUTED_VALUE"""),"GOTERO 20ML")</f>
        <v>GOTERO 20ML</v>
      </c>
      <c r="D227" s="73" t="str">
        <f ca="1">IFERROR(__xludf.DUMMYFUNCTION("""COMPUTED_VALUE"""),"PROPINOS CLORHIDRATO 1%")</f>
        <v>PROPINOS CLORHIDRATO 1%</v>
      </c>
      <c r="E227" s="73" t="str">
        <f ca="1">IFERROR(__xludf.DUMMYFUNCTION("""COMPUTED_VALUE"""),"MEGALABS")</f>
        <v>MEGALABS</v>
      </c>
      <c r="F227" s="75">
        <f ca="1">IFERROR(__xludf.DUMMYFUNCTION("""COMPUTED_VALUE"""),45804)</f>
        <v>45804</v>
      </c>
      <c r="G227" s="74">
        <f ca="1">IFERROR(__xludf.DUMMYFUNCTION("""COMPUTED_VALUE"""),56.87)</f>
        <v>56.87</v>
      </c>
      <c r="H227" s="74">
        <f ca="1">IFERROR(__xludf.DUMMYFUNCTION("""COMPUTED_VALUE"""),79.618)</f>
        <v>79.617999999999995</v>
      </c>
      <c r="I227" s="74">
        <f ca="1">IFERROR(__xludf.DUMMYFUNCTION("""COMPUTED_VALUE"""),80)</f>
        <v>80</v>
      </c>
    </row>
    <row r="228" spans="2:9" ht="27" customHeight="1">
      <c r="B228" s="73" t="str">
        <f ca="1">IFERROR(__xludf.DUMMYFUNCTION("""COMPUTED_VALUE"""),"SERTAL PERLAS")</f>
        <v>SERTAL PERLAS</v>
      </c>
      <c r="C228" s="73" t="str">
        <f ca="1">IFERROR(__xludf.DUMMYFUNCTION("""COMPUTED_VALUE"""),"CAJA 10 CAPSULAS")</f>
        <v>CAJA 10 CAPSULAS</v>
      </c>
      <c r="D228" s="73" t="str">
        <f ca="1">IFERROR(__xludf.DUMMYFUNCTION("""COMPUTED_VALUE"""),"PROPINOX CLORHIDRATO 20MG")</f>
        <v>PROPINOX CLORHIDRATO 20MG</v>
      </c>
      <c r="E228" s="73" t="str">
        <f ca="1">IFERROR(__xludf.DUMMYFUNCTION("""COMPUTED_VALUE"""),"MEGALABS")</f>
        <v>MEGALABS</v>
      </c>
      <c r="F228" s="75">
        <f ca="1">IFERROR(__xludf.DUMMYFUNCTION("""COMPUTED_VALUE"""),45926)</f>
        <v>45926</v>
      </c>
      <c r="G228" s="74">
        <f ca="1">IFERROR(__xludf.DUMMYFUNCTION("""COMPUTED_VALUE"""),49.88)</f>
        <v>49.88</v>
      </c>
      <c r="H228" s="74">
        <f ca="1">IFERROR(__xludf.DUMMYFUNCTION("""COMPUTED_VALUE"""),69.832)</f>
        <v>69.831999999999994</v>
      </c>
      <c r="I228" s="74">
        <f ca="1">IFERROR(__xludf.DUMMYFUNCTION("""COMPUTED_VALUE"""),70)</f>
        <v>70</v>
      </c>
    </row>
    <row r="229" spans="2:9" ht="27" customHeight="1">
      <c r="B229" s="73" t="str">
        <f ca="1">IFERROR(__xludf.DUMMYFUNCTION("""COMPUTED_VALUE"""),"SITAGLIPTINA + METFORMINA")</f>
        <v>SITAGLIPTINA + METFORMINA</v>
      </c>
      <c r="C229" s="73" t="str">
        <f ca="1">IFERROR(__xludf.DUMMYFUNCTION("""COMPUTED_VALUE"""),"BLISTER 10 TAB.")</f>
        <v>BLISTER 10 TAB.</v>
      </c>
      <c r="D229" s="73" t="str">
        <f ca="1">IFERROR(__xludf.DUMMYFUNCTION("""COMPUTED_VALUE"""),"SITAGLIPTINA 50 MG./ METFORMINA 1000 MG.")</f>
        <v>SITAGLIPTINA 50 MG./ METFORMINA 1000 MG.</v>
      </c>
      <c r="E229" s="73" t="str">
        <f ca="1">IFERROR(__xludf.DUMMYFUNCTION("""COMPUTED_VALUE"""),"SEVEN PHARMA")</f>
        <v>SEVEN PHARMA</v>
      </c>
      <c r="F229" s="75">
        <f ca="1">IFERROR(__xludf.DUMMYFUNCTION("""COMPUTED_VALUE"""),45956)</f>
        <v>45956</v>
      </c>
      <c r="G229" s="74">
        <f ca="1">IFERROR(__xludf.DUMMYFUNCTION("""COMPUTED_VALUE"""),27.5)</f>
        <v>27.5</v>
      </c>
      <c r="H229" s="74">
        <f ca="1">IFERROR(__xludf.DUMMYFUNCTION("""COMPUTED_VALUE"""),38.5)</f>
        <v>38.5</v>
      </c>
      <c r="I229" s="74">
        <f ca="1">IFERROR(__xludf.DUMMYFUNCTION("""COMPUTED_VALUE"""),40)</f>
        <v>40</v>
      </c>
    </row>
    <row r="230" spans="2:9" ht="27" customHeight="1">
      <c r="B230" s="73" t="str">
        <f ca="1">IFERROR(__xludf.DUMMYFUNCTION("""COMPUTED_VALUE"""),"SOMAZINA 500MG (ISOCRANEOL)")</f>
        <v>SOMAZINA 500MG (ISOCRANEOL)</v>
      </c>
      <c r="C230" s="73" t="str">
        <f ca="1">IFERROR(__xludf.DUMMYFUNCTION("""COMPUTED_VALUE"""),"AMPOLLA")</f>
        <v>AMPOLLA</v>
      </c>
      <c r="D230" s="73" t="str">
        <f ca="1">IFERROR(__xludf.DUMMYFUNCTION("""COMPUTED_VALUE"""),"CITICOLINA 500MG")</f>
        <v>CITICOLINA 500MG</v>
      </c>
      <c r="E230" s="73" t="str">
        <f ca="1">IFERROR(__xludf.DUMMYFUNCTION("""COMPUTED_VALUE"""),"FERRER")</f>
        <v>FERRER</v>
      </c>
      <c r="F230" s="75">
        <f ca="1">IFERROR(__xludf.DUMMYFUNCTION("""COMPUTED_VALUE"""),45926)</f>
        <v>45926</v>
      </c>
      <c r="G230" s="74">
        <f ca="1">IFERROR(__xludf.DUMMYFUNCTION("""COMPUTED_VALUE"""),37.98)</f>
        <v>37.979999999999997</v>
      </c>
      <c r="H230" s="74">
        <f ca="1">IFERROR(__xludf.DUMMYFUNCTION("""COMPUTED_VALUE"""),53.172)</f>
        <v>53.171999999999997</v>
      </c>
      <c r="I230" s="74">
        <f ca="1">IFERROR(__xludf.DUMMYFUNCTION("""COMPUTED_VALUE"""),55)</f>
        <v>55</v>
      </c>
    </row>
    <row r="231" spans="2:9" ht="27" customHeight="1">
      <c r="B231" s="73" t="str">
        <f ca="1">IFERROR(__xludf.DUMMYFUNCTION("""COMPUTED_VALUE"""),"STORVAS 20")</f>
        <v>STORVAS 20</v>
      </c>
      <c r="C231" s="73" t="str">
        <f ca="1">IFERROR(__xludf.DUMMYFUNCTION("""COMPUTED_VALUE"""),"CAJA 30 TABLETAS")</f>
        <v>CAJA 30 TABLETAS</v>
      </c>
      <c r="D231" s="73" t="str">
        <f ca="1">IFERROR(__xludf.DUMMYFUNCTION("""COMPUTED_VALUE"""),"ATORVASTATINA, HIPOLIPEMIANTE")</f>
        <v>ATORVASTATINA, HIPOLIPEMIANTE</v>
      </c>
      <c r="E231" s="73" t="str">
        <f ca="1">IFERROR(__xludf.DUMMYFUNCTION("""COMPUTED_VALUE"""),"PHARMEDIC")</f>
        <v>PHARMEDIC</v>
      </c>
      <c r="F231" s="75">
        <f ca="1">IFERROR(__xludf.DUMMYFUNCTION("""COMPUTED_VALUE"""),45742)</f>
        <v>45742</v>
      </c>
      <c r="G231" s="74">
        <f ca="1">IFERROR(__xludf.DUMMYFUNCTION("""COMPUTED_VALUE"""),138.51)</f>
        <v>138.51</v>
      </c>
      <c r="H231" s="74">
        <f ca="1">IFERROR(__xludf.DUMMYFUNCTION("""COMPUTED_VALUE"""),193.914)</f>
        <v>193.91399999999999</v>
      </c>
      <c r="I231" s="74">
        <f ca="1">IFERROR(__xludf.DUMMYFUNCTION("""COMPUTED_VALUE"""),195)</f>
        <v>195</v>
      </c>
    </row>
    <row r="232" spans="2:9" ht="27" customHeight="1">
      <c r="B232" s="73" t="str">
        <f ca="1">IFERROR(__xludf.DUMMYFUNCTION("""COMPUTED_VALUE"""),"SUERO DEXTROSA AL 10%")</f>
        <v>SUERO DEXTROSA AL 10%</v>
      </c>
      <c r="C232" s="73" t="str">
        <f ca="1">IFERROR(__xludf.DUMMYFUNCTION("""COMPUTED_VALUE"""),"FRASCO 1000ML.")</f>
        <v>FRASCO 1000ML.</v>
      </c>
      <c r="D232" s="73" t="str">
        <f ca="1">IFERROR(__xludf.DUMMYFUNCTION("""COMPUTED_VALUE"""),"GLUCOSA AL 10%")</f>
        <v>GLUCOSA AL 10%</v>
      </c>
      <c r="E232" s="73" t="str">
        <f ca="1">IFERROR(__xludf.DUMMYFUNCTION("""COMPUTED_VALUE"""),"PISA")</f>
        <v>PISA</v>
      </c>
      <c r="F232" s="75">
        <f ca="1">IFERROR(__xludf.DUMMYFUNCTION("""COMPUTED_VALUE"""),45773)</f>
        <v>45773</v>
      </c>
      <c r="G232" s="74">
        <f ca="1">IFERROR(__xludf.DUMMYFUNCTION("""COMPUTED_VALUE"""),13)</f>
        <v>13</v>
      </c>
      <c r="H232" s="74">
        <f ca="1">IFERROR(__xludf.DUMMYFUNCTION("""COMPUTED_VALUE"""),18.2)</f>
        <v>18.2</v>
      </c>
      <c r="I232" s="74">
        <f ca="1">IFERROR(__xludf.DUMMYFUNCTION("""COMPUTED_VALUE"""),20)</f>
        <v>20</v>
      </c>
    </row>
    <row r="233" spans="2:9" ht="27" customHeight="1">
      <c r="B233" s="73" t="str">
        <f ca="1">IFERROR(__xludf.DUMMYFUNCTION("""COMPUTED_VALUE"""),"SUERO DEXTROSA AL 5%")</f>
        <v>SUERO DEXTROSA AL 5%</v>
      </c>
      <c r="C233" s="73" t="str">
        <f ca="1">IFERROR(__xludf.DUMMYFUNCTION("""COMPUTED_VALUE"""),"FRASCO 1000ML.")</f>
        <v>FRASCO 1000ML.</v>
      </c>
      <c r="D233" s="73" t="str">
        <f ca="1">IFERROR(__xludf.DUMMYFUNCTION("""COMPUTED_VALUE"""),"GLUCOSA AL 5%")</f>
        <v>GLUCOSA AL 5%</v>
      </c>
      <c r="E233" s="73" t="str">
        <f ca="1">IFERROR(__xludf.DUMMYFUNCTION("""COMPUTED_VALUE"""),"PISA")</f>
        <v>PISA</v>
      </c>
      <c r="F233" s="75">
        <f ca="1">IFERROR(__xludf.DUMMYFUNCTION("""COMPUTED_VALUE"""),45955)</f>
        <v>45955</v>
      </c>
      <c r="G233" s="74">
        <f ca="1">IFERROR(__xludf.DUMMYFUNCTION("""COMPUTED_VALUE"""),12)</f>
        <v>12</v>
      </c>
      <c r="H233" s="74">
        <f ca="1">IFERROR(__xludf.DUMMYFUNCTION("""COMPUTED_VALUE"""),16.8)</f>
        <v>16.8</v>
      </c>
      <c r="I233" s="74">
        <f ca="1">IFERROR(__xludf.DUMMYFUNCTION("""COMPUTED_VALUE"""),20)</f>
        <v>20</v>
      </c>
    </row>
    <row r="234" spans="2:9" ht="27" customHeight="1">
      <c r="B234" s="73" t="str">
        <f ca="1">IFERROR(__xludf.DUMMYFUNCTION("""COMPUTED_VALUE"""),"SUERO HARTMAN")</f>
        <v>SUERO HARTMAN</v>
      </c>
      <c r="C234" s="73" t="str">
        <f ca="1">IFERROR(__xludf.DUMMYFUNCTION("""COMPUTED_VALUE"""),"FRASCO 1000ML.")</f>
        <v>FRASCO 1000ML.</v>
      </c>
      <c r="D234" s="73" t="str">
        <f ca="1">IFERROR(__xludf.DUMMYFUNCTION("""COMPUTED_VALUE"""),"SOLUCIÓN HARTMAN")</f>
        <v>SOLUCIÓN HARTMAN</v>
      </c>
      <c r="E234" s="73" t="str">
        <f ca="1">IFERROR(__xludf.DUMMYFUNCTION("""COMPUTED_VALUE"""),"PISA")</f>
        <v>PISA</v>
      </c>
      <c r="F234" s="75">
        <f ca="1">IFERROR(__xludf.DUMMYFUNCTION("""COMPUTED_VALUE"""),45715)</f>
        <v>45715</v>
      </c>
      <c r="G234" s="74">
        <f ca="1">IFERROR(__xludf.DUMMYFUNCTION("""COMPUTED_VALUE"""),12)</f>
        <v>12</v>
      </c>
      <c r="H234" s="74">
        <f ca="1">IFERROR(__xludf.DUMMYFUNCTION("""COMPUTED_VALUE"""),16.8)</f>
        <v>16.8</v>
      </c>
      <c r="I234" s="74">
        <f ca="1">IFERROR(__xludf.DUMMYFUNCTION("""COMPUTED_VALUE"""),20)</f>
        <v>20</v>
      </c>
    </row>
    <row r="235" spans="2:9" ht="27" customHeight="1">
      <c r="B235" s="73" t="str">
        <f ca="1">IFERROR(__xludf.DUMMYFUNCTION("""COMPUTED_VALUE"""),"SUERO MIXTO")</f>
        <v>SUERO MIXTO</v>
      </c>
      <c r="C235" s="73" t="str">
        <f ca="1">IFERROR(__xludf.DUMMYFUNCTION("""COMPUTED_VALUE"""),"FRASCO 1000ML.")</f>
        <v>FRASCO 1000ML.</v>
      </c>
      <c r="D235" s="73" t="str">
        <f ca="1">IFERROR(__xludf.DUMMYFUNCTION("""COMPUTED_VALUE"""),"SOLUCION DE ELECTROLITOS ORALES")</f>
        <v>SOLUCION DE ELECTROLITOS ORALES</v>
      </c>
      <c r="E235" s="73" t="str">
        <f ca="1">IFERROR(__xludf.DUMMYFUNCTION("""COMPUTED_VALUE"""),"PISA")</f>
        <v>PISA</v>
      </c>
      <c r="F235" s="75">
        <f ca="1">IFERROR(__xludf.DUMMYFUNCTION("""COMPUTED_VALUE"""),45742)</f>
        <v>45742</v>
      </c>
      <c r="G235" s="74">
        <f ca="1">IFERROR(__xludf.DUMMYFUNCTION("""COMPUTED_VALUE"""),12)</f>
        <v>12</v>
      </c>
      <c r="H235" s="74">
        <f ca="1">IFERROR(__xludf.DUMMYFUNCTION("""COMPUTED_VALUE"""),16.8)</f>
        <v>16.8</v>
      </c>
      <c r="I235" s="74">
        <f ca="1">IFERROR(__xludf.DUMMYFUNCTION("""COMPUTED_VALUE"""),20)</f>
        <v>20</v>
      </c>
    </row>
    <row r="236" spans="2:9" ht="27" customHeight="1">
      <c r="B236" s="73" t="str">
        <f ca="1">IFERROR(__xludf.DUMMYFUNCTION("""COMPUTED_VALUE"""),"SUERO ORAL HIDRAVIDA")</f>
        <v>SUERO ORAL HIDRAVIDA</v>
      </c>
      <c r="C236" s="73" t="str">
        <f ca="1">IFERROR(__xludf.DUMMYFUNCTION("""COMPUTED_VALUE"""),"FRASCO 625ML")</f>
        <v>FRASCO 625ML</v>
      </c>
      <c r="D236" s="73" t="str">
        <f ca="1">IFERROR(__xludf.DUMMYFUNCTION("""COMPUTED_VALUE"""),"SOLUCIÓN DE ELECTROLITOS ORALES")</f>
        <v>SOLUCIÓN DE ELECTROLITOS ORALES</v>
      </c>
      <c r="E236" s="73" t="str">
        <f ca="1">IFERROR(__xludf.DUMMYFUNCTION("""COMPUTED_VALUE"""),"PISA")</f>
        <v>PISA</v>
      </c>
      <c r="F236" s="75">
        <f ca="1">IFERROR(__xludf.DUMMYFUNCTION("""COMPUTED_VALUE"""),45926)</f>
        <v>45926</v>
      </c>
      <c r="G236" s="74">
        <f ca="1">IFERROR(__xludf.DUMMYFUNCTION("""COMPUTED_VALUE"""),12.88)</f>
        <v>12.88</v>
      </c>
      <c r="H236" s="74">
        <f ca="1">IFERROR(__xludf.DUMMYFUNCTION("""COMPUTED_VALUE"""),18.032)</f>
        <v>18.032</v>
      </c>
      <c r="I236" s="74">
        <f ca="1">IFERROR(__xludf.DUMMYFUNCTION("""COMPUTED_VALUE"""),18)</f>
        <v>18</v>
      </c>
    </row>
    <row r="237" spans="2:9" ht="27" customHeight="1">
      <c r="B237" s="73" t="str">
        <f ca="1">IFERROR(__xludf.DUMMYFUNCTION("""COMPUTED_VALUE"""),"SUERO SALINO")</f>
        <v>SUERO SALINO</v>
      </c>
      <c r="C237" s="73" t="str">
        <f ca="1">IFERROR(__xludf.DUMMYFUNCTION("""COMPUTED_VALUE"""),"FRASCO 100ML.")</f>
        <v>FRASCO 100ML.</v>
      </c>
      <c r="D237" s="73" t="str">
        <f ca="1">IFERROR(__xludf.DUMMYFUNCTION("""COMPUTED_VALUE"""),"CLORURO DE SODIO 0.9%")</f>
        <v>CLORURO DE SODIO 0.9%</v>
      </c>
      <c r="E237" s="73" t="str">
        <f ca="1">IFERROR(__xludf.DUMMYFUNCTION("""COMPUTED_VALUE"""),"PISA")</f>
        <v>PISA</v>
      </c>
      <c r="F237" s="75">
        <f ca="1">IFERROR(__xludf.DUMMYFUNCTION("""COMPUTED_VALUE"""),45773)</f>
        <v>45773</v>
      </c>
      <c r="G237" s="74">
        <f ca="1">IFERROR(__xludf.DUMMYFUNCTION("""COMPUTED_VALUE"""),6.5)</f>
        <v>6.5</v>
      </c>
      <c r="H237" s="74">
        <f ca="1">IFERROR(__xludf.DUMMYFUNCTION("""COMPUTED_VALUE"""),9.1)</f>
        <v>9.1</v>
      </c>
      <c r="I237" s="74">
        <f ca="1">IFERROR(__xludf.DUMMYFUNCTION("""COMPUTED_VALUE"""),15)</f>
        <v>15</v>
      </c>
    </row>
    <row r="238" spans="2:9" ht="27" customHeight="1">
      <c r="B238" s="73" t="str">
        <f ca="1">IFERROR(__xludf.DUMMYFUNCTION("""COMPUTED_VALUE"""),"SUERO SALINO")</f>
        <v>SUERO SALINO</v>
      </c>
      <c r="C238" s="73" t="str">
        <f ca="1">IFERROR(__xludf.DUMMYFUNCTION("""COMPUTED_VALUE"""),"FRASCO 1000ML.")</f>
        <v>FRASCO 1000ML.</v>
      </c>
      <c r="D238" s="73" t="str">
        <f ca="1">IFERROR(__xludf.DUMMYFUNCTION("""COMPUTED_VALUE"""),"CLORURO DE SODIO 0.9%")</f>
        <v>CLORURO DE SODIO 0.9%</v>
      </c>
      <c r="E238" s="73" t="str">
        <f ca="1">IFERROR(__xludf.DUMMYFUNCTION("""COMPUTED_VALUE"""),"PISA")</f>
        <v>PISA</v>
      </c>
      <c r="F238" s="75">
        <f ca="1">IFERROR(__xludf.DUMMYFUNCTION("""COMPUTED_VALUE"""),45895)</f>
        <v>45895</v>
      </c>
      <c r="G238" s="74">
        <f ca="1">IFERROR(__xludf.DUMMYFUNCTION("""COMPUTED_VALUE"""),12)</f>
        <v>12</v>
      </c>
      <c r="H238" s="74">
        <f ca="1">IFERROR(__xludf.DUMMYFUNCTION("""COMPUTED_VALUE"""),16.8)</f>
        <v>16.8</v>
      </c>
      <c r="I238" s="74">
        <f ca="1">IFERROR(__xludf.DUMMYFUNCTION("""COMPUTED_VALUE"""),20)</f>
        <v>20</v>
      </c>
    </row>
    <row r="239" spans="2:9" ht="27" customHeight="1">
      <c r="B239" s="73" t="str">
        <f ca="1">IFERROR(__xludf.DUMMYFUNCTION("""COMPUTED_VALUE"""),"SUERO SALINO")</f>
        <v>SUERO SALINO</v>
      </c>
      <c r="C239" s="73" t="str">
        <f ca="1">IFERROR(__xludf.DUMMYFUNCTION("""COMPUTED_VALUE"""),"BOLSA 3000ML")</f>
        <v>BOLSA 3000ML</v>
      </c>
      <c r="D239" s="73" t="str">
        <f ca="1">IFERROR(__xludf.DUMMYFUNCTION("""COMPUTED_VALUE"""),"CLORURO DE SODIO 0.9%")</f>
        <v>CLORURO DE SODIO 0.9%</v>
      </c>
      <c r="E239" s="73" t="str">
        <f ca="1">IFERROR(__xludf.DUMMYFUNCTION("""COMPUTED_VALUE"""),"PISA")</f>
        <v>PISA</v>
      </c>
      <c r="F239" s="75">
        <f ca="1">IFERROR(__xludf.DUMMYFUNCTION("""COMPUTED_VALUE"""),45865)</f>
        <v>45865</v>
      </c>
      <c r="G239" s="74">
        <f ca="1">IFERROR(__xludf.DUMMYFUNCTION("""COMPUTED_VALUE"""),67.5)</f>
        <v>67.5</v>
      </c>
      <c r="H239" s="74">
        <f ca="1">IFERROR(__xludf.DUMMYFUNCTION("""COMPUTED_VALUE"""),94.5)</f>
        <v>94.5</v>
      </c>
      <c r="I239" s="74">
        <f ca="1">IFERROR(__xludf.DUMMYFUNCTION("""COMPUTED_VALUE"""),95)</f>
        <v>95</v>
      </c>
    </row>
    <row r="240" spans="2:9" ht="27" customHeight="1">
      <c r="B240" s="73" t="str">
        <f ca="1">IFERROR(__xludf.DUMMYFUNCTION("""COMPUTED_VALUE"""),"SULFATO DE ATROPINA")</f>
        <v>SULFATO DE ATROPINA</v>
      </c>
      <c r="C240" s="73" t="str">
        <f ca="1">IFERROR(__xludf.DUMMYFUNCTION("""COMPUTED_VALUE"""),"AMPOLLA 2ML")</f>
        <v>AMPOLLA 2ML</v>
      </c>
      <c r="D240" s="73" t="str">
        <f ca="1">IFERROR(__xludf.DUMMYFUNCTION("""COMPUTED_VALUE"""),"SULFATO DE ATROPINA")</f>
        <v>SULFATO DE ATROPINA</v>
      </c>
      <c r="E240" s="73" t="str">
        <f ca="1">IFERROR(__xludf.DUMMYFUNCTION("""COMPUTED_VALUE"""),"BONIN")</f>
        <v>BONIN</v>
      </c>
      <c r="F240" s="75">
        <f ca="1">IFERROR(__xludf.DUMMYFUNCTION("""COMPUTED_VALUE"""),45956)</f>
        <v>45956</v>
      </c>
      <c r="G240" s="74">
        <f ca="1">IFERROR(__xludf.DUMMYFUNCTION("""COMPUTED_VALUE"""),4.8)</f>
        <v>4.8</v>
      </c>
      <c r="H240" s="74">
        <f ca="1">IFERROR(__xludf.DUMMYFUNCTION("""COMPUTED_VALUE"""),6.72)</f>
        <v>6.72</v>
      </c>
      <c r="I240" s="74">
        <f ca="1">IFERROR(__xludf.DUMMYFUNCTION("""COMPUTED_VALUE"""),15)</f>
        <v>15</v>
      </c>
    </row>
    <row r="241" spans="2:9" ht="27" customHeight="1">
      <c r="B241" s="73" t="str">
        <f ca="1">IFERROR(__xludf.DUMMYFUNCTION("""COMPUTED_VALUE"""),"SULFATO DE MAGNESIO")</f>
        <v>SULFATO DE MAGNESIO</v>
      </c>
      <c r="C241" s="73" t="str">
        <f ca="1">IFERROR(__xludf.DUMMYFUNCTION("""COMPUTED_VALUE"""),"AMPOLLA 10ML")</f>
        <v>AMPOLLA 10ML</v>
      </c>
      <c r="D241" s="73" t="str">
        <f ca="1">IFERROR(__xludf.DUMMYFUNCTION("""COMPUTED_VALUE"""),"SULFATO DE MAGNESIO 50%")</f>
        <v>SULFATO DE MAGNESIO 50%</v>
      </c>
      <c r="E241" s="73" t="str">
        <f ca="1">IFERROR(__xludf.DUMMYFUNCTION("""COMPUTED_VALUE"""),"VIJOSA")</f>
        <v>VIJOSA</v>
      </c>
      <c r="F241" s="75">
        <f ca="1">IFERROR(__xludf.DUMMYFUNCTION("""COMPUTED_VALUE"""),45865)</f>
        <v>45865</v>
      </c>
      <c r="G241" s="74">
        <f ca="1">IFERROR(__xludf.DUMMYFUNCTION("""COMPUTED_VALUE"""),31.75)</f>
        <v>31.75</v>
      </c>
      <c r="H241" s="74">
        <f ca="1">IFERROR(__xludf.DUMMYFUNCTION("""COMPUTED_VALUE"""),44.45)</f>
        <v>44.45</v>
      </c>
      <c r="I241" s="74">
        <f ca="1">IFERROR(__xludf.DUMMYFUNCTION("""COMPUTED_VALUE"""),55)</f>
        <v>55</v>
      </c>
    </row>
    <row r="242" spans="2:9" ht="27" customHeight="1">
      <c r="B242" s="73" t="str">
        <f ca="1">IFERROR(__xludf.DUMMYFUNCTION("""COMPUTED_VALUE"""),"SUPER BELIRON")</f>
        <v>SUPER BELIRON</v>
      </c>
      <c r="C242" s="73" t="str">
        <f ca="1">IFERROR(__xludf.DUMMYFUNCTION("""COMPUTED_VALUE"""),"CAJA 2 TABLETAS")</f>
        <v>CAJA 2 TABLETAS</v>
      </c>
      <c r="D242" s="73" t="str">
        <f ca="1">IFERROR(__xludf.DUMMYFUNCTION("""COMPUTED_VALUE"""),"SILDENAFIL 50MG, DAPOXETINA HCI 30MG")</f>
        <v>SILDENAFIL 50MG, DAPOXETINA HCI 30MG</v>
      </c>
      <c r="E242" s="73" t="str">
        <f ca="1">IFERROR(__xludf.DUMMYFUNCTION("""COMPUTED_VALUE"""),"PHARMADEL")</f>
        <v>PHARMADEL</v>
      </c>
      <c r="F242" s="75">
        <f ca="1">IFERROR(__xludf.DUMMYFUNCTION("""COMPUTED_VALUE"""),45773)</f>
        <v>45773</v>
      </c>
      <c r="G242" s="74">
        <f ca="1">IFERROR(__xludf.DUMMYFUNCTION("""COMPUTED_VALUE"""),40.5)</f>
        <v>40.5</v>
      </c>
      <c r="H242" s="74">
        <f ca="1">IFERROR(__xludf.DUMMYFUNCTION("""COMPUTED_VALUE"""),56.7)</f>
        <v>56.7</v>
      </c>
      <c r="I242" s="74">
        <f ca="1">IFERROR(__xludf.DUMMYFUNCTION("""COMPUTED_VALUE"""),60)</f>
        <v>60</v>
      </c>
    </row>
    <row r="243" spans="2:9" ht="27" customHeight="1">
      <c r="B243" s="73" t="str">
        <f ca="1">IFERROR(__xludf.DUMMYFUNCTION("""COMPUTED_VALUE"""),"TAGLIP")</f>
        <v>TAGLIP</v>
      </c>
      <c r="C243" s="73" t="str">
        <f ca="1">IFERROR(__xludf.DUMMYFUNCTION("""COMPUTED_VALUE"""),"CAJA 30 TABLETAS")</f>
        <v>CAJA 30 TABLETAS</v>
      </c>
      <c r="D243" s="73" t="str">
        <f ca="1">IFERROR(__xludf.DUMMYFUNCTION("""COMPUTED_VALUE"""),"SITAGLIPTINA 100MG.")</f>
        <v>SITAGLIPTINA 100MG.</v>
      </c>
      <c r="E243" s="73" t="str">
        <f ca="1">IFERROR(__xludf.DUMMYFUNCTION("""COMPUTED_VALUE"""),"QUALIPHARM")</f>
        <v>QUALIPHARM</v>
      </c>
      <c r="F243" s="75">
        <f ca="1">IFERROR(__xludf.DUMMYFUNCTION("""COMPUTED_VALUE"""),45987)</f>
        <v>45987</v>
      </c>
      <c r="G243" s="74">
        <f ca="1">IFERROR(__xludf.DUMMYFUNCTION("""COMPUTED_VALUE"""),105)</f>
        <v>105</v>
      </c>
      <c r="H243" s="74">
        <f ca="1">IFERROR(__xludf.DUMMYFUNCTION("""COMPUTED_VALUE"""),147)</f>
        <v>147</v>
      </c>
      <c r="I243" s="74">
        <f ca="1">IFERROR(__xludf.DUMMYFUNCTION("""COMPUTED_VALUE"""),150)</f>
        <v>150</v>
      </c>
    </row>
    <row r="244" spans="2:9" ht="27" customHeight="1">
      <c r="B244" s="73" t="str">
        <f ca="1">IFERROR(__xludf.DUMMYFUNCTION("""COMPUTED_VALUE"""),"TIAMINA")</f>
        <v>TIAMINA</v>
      </c>
      <c r="C244" s="73" t="str">
        <f ca="1">IFERROR(__xludf.DUMMYFUNCTION("""COMPUTED_VALUE"""),"FRASCO 10ML")</f>
        <v>FRASCO 10ML</v>
      </c>
      <c r="D244" s="73" t="str">
        <f ca="1">IFERROR(__xludf.DUMMYFUNCTION("""COMPUTED_VALUE"""),"TIAMINA HCI, VITAMINA B1")</f>
        <v>TIAMINA HCI, VITAMINA B1</v>
      </c>
      <c r="E244" s="73" t="str">
        <f ca="1">IFERROR(__xludf.DUMMYFUNCTION("""COMPUTED_VALUE"""),"BONIN")</f>
        <v>BONIN</v>
      </c>
      <c r="F244" s="75">
        <f ca="1">IFERROR(__xludf.DUMMYFUNCTION("""COMPUTED_VALUE"""),45716)</f>
        <v>45716</v>
      </c>
      <c r="G244" s="74">
        <f ca="1">IFERROR(__xludf.DUMMYFUNCTION("""COMPUTED_VALUE"""),8.75)</f>
        <v>8.75</v>
      </c>
      <c r="H244" s="74">
        <f ca="1">IFERROR(__xludf.DUMMYFUNCTION("""COMPUTED_VALUE"""),12.25)</f>
        <v>12.25</v>
      </c>
      <c r="I244" s="74">
        <f ca="1">IFERROR(__xludf.DUMMYFUNCTION("""COMPUTED_VALUE"""),30)</f>
        <v>30</v>
      </c>
    </row>
    <row r="245" spans="2:9" ht="27" customHeight="1">
      <c r="B245" s="73" t="str">
        <f ca="1">IFERROR(__xludf.DUMMYFUNCTION("""COMPUTED_VALUE"""),"TIAMINAL B12")</f>
        <v>TIAMINAL B12</v>
      </c>
      <c r="C245" s="73" t="str">
        <f ca="1">IFERROR(__xludf.DUMMYFUNCTION("""COMPUTED_VALUE"""),"CAJA 30 CAPSULAS")</f>
        <v>CAJA 30 CAPSULAS</v>
      </c>
      <c r="D245" s="73" t="str">
        <f ca="1">IFERROR(__xludf.DUMMYFUNCTION("""COMPUTED_VALUE"""),"CIANOCOBALAMINA, PRIRDOXINA, TIAMINA")</f>
        <v>CIANOCOBALAMINA, PRIRDOXINA, TIAMINA</v>
      </c>
      <c r="E245" s="73" t="str">
        <f ca="1">IFERROR(__xludf.DUMMYFUNCTION("""COMPUTED_VALUE"""),"SILANES")</f>
        <v>SILANES</v>
      </c>
      <c r="F245" s="75">
        <f ca="1">IFERROR(__xludf.DUMMYFUNCTION("""COMPUTED_VALUE"""),45987)</f>
        <v>45987</v>
      </c>
      <c r="G245" s="74">
        <f ca="1">IFERROR(__xludf.DUMMYFUNCTION("""COMPUTED_VALUE"""),66.42)</f>
        <v>66.42</v>
      </c>
      <c r="H245" s="74">
        <f ca="1">IFERROR(__xludf.DUMMYFUNCTION("""COMPUTED_VALUE"""),92.988)</f>
        <v>92.988</v>
      </c>
      <c r="I245" s="74">
        <f ca="1">IFERROR(__xludf.DUMMYFUNCTION("""COMPUTED_VALUE"""),95)</f>
        <v>95</v>
      </c>
    </row>
    <row r="246" spans="2:9" ht="27" customHeight="1">
      <c r="B246" s="73" t="str">
        <f ca="1">IFERROR(__xludf.DUMMYFUNCTION("""COMPUTED_VALUE"""),"TIBONELLA")</f>
        <v>TIBONELLA</v>
      </c>
      <c r="C246" s="73" t="str">
        <f ca="1">IFERROR(__xludf.DUMMYFUNCTION("""COMPUTED_VALUE"""),"CAJA 28 TABLETAS")</f>
        <v>CAJA 28 TABLETAS</v>
      </c>
      <c r="D246" s="73" t="str">
        <f ca="1">IFERROR(__xludf.DUMMYFUNCTION("""COMPUTED_VALUE"""),"TIBOLONA 2,5MG.")</f>
        <v>TIBOLONA 2,5MG.</v>
      </c>
      <c r="E246" s="73" t="str">
        <f ca="1">IFERROR(__xludf.DUMMYFUNCTION("""COMPUTED_VALUE"""),"CHALVER")</f>
        <v>CHALVER</v>
      </c>
      <c r="F246" s="75">
        <f ca="1">IFERROR(__xludf.DUMMYFUNCTION("""COMPUTED_VALUE"""),45895)</f>
        <v>45895</v>
      </c>
      <c r="G246" s="74">
        <f ca="1">IFERROR(__xludf.DUMMYFUNCTION("""COMPUTED_VALUE"""),175.52)</f>
        <v>175.52</v>
      </c>
      <c r="H246" s="74">
        <f ca="1">IFERROR(__xludf.DUMMYFUNCTION("""COMPUTED_VALUE"""),245.728)</f>
        <v>245.72800000000001</v>
      </c>
      <c r="I246" s="74">
        <f ca="1">IFERROR(__xludf.DUMMYFUNCTION("""COMPUTED_VALUE"""),245)</f>
        <v>245</v>
      </c>
    </row>
    <row r="247" spans="2:9" ht="27" customHeight="1">
      <c r="B247" s="73" t="str">
        <f ca="1">IFERROR(__xludf.DUMMYFUNCTION("""COMPUTED_VALUE"""),"TOALLA FEMENINA")</f>
        <v>TOALLA FEMENINA</v>
      </c>
      <c r="C247" s="73" t="str">
        <f ca="1">IFERROR(__xludf.DUMMYFUNCTION("""COMPUTED_VALUE"""),"UNIDAD")</f>
        <v>UNIDAD</v>
      </c>
      <c r="D247" s="73" t="str">
        <f ca="1">IFERROR(__xludf.DUMMYFUNCTION("""COMPUTED_VALUE"""),"TOALLA")</f>
        <v>TOALLA</v>
      </c>
      <c r="E247" s="73" t="str">
        <f ca="1">IFERROR(__xludf.DUMMYFUNCTION("""COMPUTED_VALUE"""),"SUPER MAS")</f>
        <v>SUPER MAS</v>
      </c>
      <c r="F247" s="75">
        <f ca="1">IFERROR(__xludf.DUMMYFUNCTION("""COMPUTED_VALUE"""),45714)</f>
        <v>45714</v>
      </c>
      <c r="G247" s="74">
        <f ca="1">IFERROR(__xludf.DUMMYFUNCTION("""COMPUTED_VALUE"""),5.25)</f>
        <v>5.25</v>
      </c>
      <c r="H247" s="74">
        <f ca="1">IFERROR(__xludf.DUMMYFUNCTION("""COMPUTED_VALUE"""),7.35)</f>
        <v>7.35</v>
      </c>
      <c r="I247" s="74">
        <f ca="1">IFERROR(__xludf.DUMMYFUNCTION("""COMPUTED_VALUE"""),10)</f>
        <v>10</v>
      </c>
    </row>
    <row r="248" spans="2:9" ht="27" customHeight="1">
      <c r="B248" s="73" t="str">
        <f ca="1">IFERROR(__xludf.DUMMYFUNCTION("""COMPUTED_VALUE"""),"TOPIBEST ""HC""")</f>
        <v>TOPIBEST "HC"</v>
      </c>
      <c r="C248" s="73" t="str">
        <f ca="1">IFERROR(__xludf.DUMMYFUNCTION("""COMPUTED_VALUE"""),"CREMA 30G.")</f>
        <v>CREMA 30G.</v>
      </c>
      <c r="D248" s="73" t="str">
        <f ca="1">IFERROR(__xludf.DUMMYFUNCTION("""COMPUTED_VALUE"""),"CREMA DERMATOLOGICA DE HIDROCORTIZONA 0.5%")</f>
        <v>CREMA DERMATOLOGICA DE HIDROCORTIZONA 0.5%</v>
      </c>
      <c r="E248" s="73" t="str">
        <f ca="1">IFERROR(__xludf.DUMMYFUNCTION("""COMPUTED_VALUE"""),"PHARBEST, S.A.")</f>
        <v>PHARBEST, S.A.</v>
      </c>
      <c r="F248" s="75">
        <f ca="1">IFERROR(__xludf.DUMMYFUNCTION("""COMPUTED_VALUE"""),45864)</f>
        <v>45864</v>
      </c>
      <c r="G248" s="74">
        <f ca="1">IFERROR(__xludf.DUMMYFUNCTION("""COMPUTED_VALUE"""),92.66)</f>
        <v>92.66</v>
      </c>
      <c r="H248" s="74">
        <f ca="1">IFERROR(__xludf.DUMMYFUNCTION("""COMPUTED_VALUE"""),129.724)</f>
        <v>129.72399999999999</v>
      </c>
      <c r="I248" s="74">
        <f ca="1">IFERROR(__xludf.DUMMYFUNCTION("""COMPUTED_VALUE"""),145)</f>
        <v>145</v>
      </c>
    </row>
    <row r="249" spans="2:9" ht="27" customHeight="1">
      <c r="B249" s="73" t="str">
        <f ca="1">IFERROR(__xludf.DUMMYFUNCTION("""COMPUTED_VALUE"""),"TRAMADOL")</f>
        <v>TRAMADOL</v>
      </c>
      <c r="C249" s="73" t="str">
        <f ca="1">IFERROR(__xludf.DUMMYFUNCTION("""COMPUTED_VALUE"""),"AMPOLLA 2ML")</f>
        <v>AMPOLLA 2ML</v>
      </c>
      <c r="D249" s="73" t="str">
        <f ca="1">IFERROR(__xludf.DUMMYFUNCTION("""COMPUTED_VALUE"""),"TRAMADOL")</f>
        <v>TRAMADOL</v>
      </c>
      <c r="E249" s="73" t="str">
        <f ca="1">IFERROR(__xludf.DUMMYFUNCTION("""COMPUTED_VALUE"""),"VITALIS")</f>
        <v>VITALIS</v>
      </c>
      <c r="F249" s="75">
        <f ca="1">IFERROR(__xludf.DUMMYFUNCTION("""COMPUTED_VALUE"""),45835)</f>
        <v>45835</v>
      </c>
      <c r="G249" s="74">
        <f ca="1">IFERROR(__xludf.DUMMYFUNCTION("""COMPUTED_VALUE"""),2.28)</f>
        <v>2.2799999999999998</v>
      </c>
      <c r="H249" s="74">
        <f ca="1">IFERROR(__xludf.DUMMYFUNCTION("""COMPUTED_VALUE"""),3.19199999999999)</f>
        <v>3.19199999999999</v>
      </c>
      <c r="I249" s="74">
        <f ca="1">IFERROR(__xludf.DUMMYFUNCTION("""COMPUTED_VALUE"""),30)</f>
        <v>30</v>
      </c>
    </row>
    <row r="250" spans="2:9" ht="27" customHeight="1">
      <c r="B250" s="73" t="str">
        <f ca="1">IFERROR(__xludf.DUMMYFUNCTION("""COMPUTED_VALUE"""),"TRANEXIN")</f>
        <v>TRANEXIN</v>
      </c>
      <c r="C250" s="73" t="str">
        <f ca="1">IFERROR(__xludf.DUMMYFUNCTION("""COMPUTED_VALUE"""),"AMPOLLA 5ML")</f>
        <v>AMPOLLA 5ML</v>
      </c>
      <c r="D250" s="73" t="str">
        <f ca="1">IFERROR(__xludf.DUMMYFUNCTION("""COMPUTED_VALUE"""),"ACIDO TRANEXÁNICO")</f>
        <v>ACIDO TRANEXÁNICO</v>
      </c>
      <c r="E250" s="73" t="str">
        <f ca="1">IFERROR(__xludf.DUMMYFUNCTION("""COMPUTED_VALUE"""),"AGEFINSA")</f>
        <v>AGEFINSA</v>
      </c>
      <c r="F250" s="75">
        <f ca="1">IFERROR(__xludf.DUMMYFUNCTION("""COMPUTED_VALUE"""),45865)</f>
        <v>45865</v>
      </c>
      <c r="G250" s="74">
        <f ca="1">IFERROR(__xludf.DUMMYFUNCTION("""COMPUTED_VALUE"""),125)</f>
        <v>125</v>
      </c>
      <c r="H250" s="74">
        <f ca="1">IFERROR(__xludf.DUMMYFUNCTION("""COMPUTED_VALUE"""),175)</f>
        <v>175</v>
      </c>
      <c r="I250" s="74">
        <f ca="1">IFERROR(__xludf.DUMMYFUNCTION("""COMPUTED_VALUE"""),175)</f>
        <v>175</v>
      </c>
    </row>
    <row r="251" spans="2:9" ht="27" customHeight="1">
      <c r="B251" s="73" t="str">
        <f ca="1">IFERROR(__xludf.DUMMYFUNCTION("""COMPUTED_VALUE"""),"TRIACID")</f>
        <v>TRIACID</v>
      </c>
      <c r="C251" s="73" t="str">
        <f ca="1">IFERROR(__xludf.DUMMYFUNCTION("""COMPUTED_VALUE"""),"CAJA 30 CAPSULAS")</f>
        <v>CAJA 30 CAPSULAS</v>
      </c>
      <c r="D251" s="73" t="str">
        <f ca="1">IFERROR(__xludf.DUMMYFUNCTION("""COMPUTED_VALUE"""),"BROMURO DE PINAVERIO 100MG + SIMETICONA 300MG")</f>
        <v>BROMURO DE PINAVERIO 100MG + SIMETICONA 300MG</v>
      </c>
      <c r="E251" s="73" t="str">
        <f ca="1">IFERROR(__xludf.DUMMYFUNCTION("""COMPUTED_VALUE"""),"MEDPHARMA")</f>
        <v>MEDPHARMA</v>
      </c>
      <c r="F251" s="75">
        <f ca="1">IFERROR(__xludf.DUMMYFUNCTION("""COMPUTED_VALUE"""),45774)</f>
        <v>45774</v>
      </c>
      <c r="G251" s="74">
        <f ca="1">IFERROR(__xludf.DUMMYFUNCTION("""COMPUTED_VALUE"""),125.49)</f>
        <v>125.49</v>
      </c>
      <c r="H251" s="74">
        <f ca="1">IFERROR(__xludf.DUMMYFUNCTION("""COMPUTED_VALUE"""),175.685999999999)</f>
        <v>175.68599999999901</v>
      </c>
      <c r="I251" s="74">
        <f ca="1">IFERROR(__xludf.DUMMYFUNCTION("""COMPUTED_VALUE"""),175)</f>
        <v>175</v>
      </c>
    </row>
    <row r="252" spans="2:9" ht="27" customHeight="1">
      <c r="B252" s="73" t="str">
        <f ca="1">IFERROR(__xludf.DUMMYFUNCTION("""COMPUTED_VALUE"""),"TRIGOPAX")</f>
        <v>TRIGOPAX</v>
      </c>
      <c r="C252" s="73" t="str">
        <f ca="1">IFERROR(__xludf.DUMMYFUNCTION("""COMPUTED_VALUE"""),"CREMA 30G.")</f>
        <v>CREMA 30G.</v>
      </c>
      <c r="D252" s="73" t="str">
        <f ca="1">IFERROR(__xludf.DUMMYFUNCTION("""COMPUTED_VALUE"""),"CREMA CALMANTE Y PROTECTORA DE LA PIEL")</f>
        <v>CREMA CALMANTE Y PROTECTORA DE LA PIEL</v>
      </c>
      <c r="E252" s="73" t="str">
        <f ca="1">IFERROR(__xludf.DUMMYFUNCTION("""COMPUTED_VALUE"""),"ACM LAB. DERMATOLOGIQUE")</f>
        <v>ACM LAB. DERMATOLOGIQUE</v>
      </c>
      <c r="F252" s="75">
        <f ca="1">IFERROR(__xludf.DUMMYFUNCTION("""COMPUTED_VALUE"""),45803)</f>
        <v>45803</v>
      </c>
      <c r="G252" s="74">
        <f ca="1">IFERROR(__xludf.DUMMYFUNCTION("""COMPUTED_VALUE"""),159.49)</f>
        <v>159.49</v>
      </c>
      <c r="H252" s="74">
        <f ca="1">IFERROR(__xludf.DUMMYFUNCTION("""COMPUTED_VALUE"""),223.286)</f>
        <v>223.286</v>
      </c>
      <c r="I252" s="74">
        <f ca="1">IFERROR(__xludf.DUMMYFUNCTION("""COMPUTED_VALUE"""),225)</f>
        <v>225</v>
      </c>
    </row>
    <row r="253" spans="2:9" ht="27" customHeight="1">
      <c r="B253" s="73" t="str">
        <f ca="1">IFERROR(__xludf.DUMMYFUNCTION("""COMPUTED_VALUE"""),"TRIPACK-DEL")</f>
        <v>TRIPACK-DEL</v>
      </c>
      <c r="C253" s="73" t="str">
        <f ca="1">IFERROR(__xludf.DUMMYFUNCTION("""COMPUTED_VALUE"""),"CAJA 10 BLISTER")</f>
        <v>CAJA 10 BLISTER</v>
      </c>
      <c r="D253" s="73" t="str">
        <f ca="1">IFERROR(__xludf.DUMMYFUNCTION("""COMPUTED_VALUE"""),"AMOXICILINA, LEVOFLOXACINA Y ESOMEPRAZOL")</f>
        <v>AMOXICILINA, LEVOFLOXACINA Y ESOMEPRAZOL</v>
      </c>
      <c r="E253" s="73" t="str">
        <f ca="1">IFERROR(__xludf.DUMMYFUNCTION("""COMPUTED_VALUE"""),"PHARMADEL")</f>
        <v>PHARMADEL</v>
      </c>
      <c r="F253" s="75">
        <f ca="1">IFERROR(__xludf.DUMMYFUNCTION("""COMPUTED_VALUE"""),45926)</f>
        <v>45926</v>
      </c>
      <c r="G253" s="74">
        <f ca="1">IFERROR(__xludf.DUMMYFUNCTION("""COMPUTED_VALUE"""),250)</f>
        <v>250</v>
      </c>
      <c r="H253" s="74">
        <f ca="1">IFERROR(__xludf.DUMMYFUNCTION("""COMPUTED_VALUE"""),350)</f>
        <v>350</v>
      </c>
      <c r="I253" s="74">
        <f ca="1">IFERROR(__xludf.DUMMYFUNCTION("""COMPUTED_VALUE"""),350)</f>
        <v>350</v>
      </c>
    </row>
    <row r="254" spans="2:9" ht="27" customHeight="1">
      <c r="B254" s="73" t="str">
        <f ca="1">IFERROR(__xludf.DUMMYFUNCTION("""COMPUTED_VALUE"""),"TUSILEXIL")</f>
        <v>TUSILEXIL</v>
      </c>
      <c r="C254" s="73" t="str">
        <f ca="1">IFERROR(__xludf.DUMMYFUNCTION("""COMPUTED_VALUE"""),"FRASCO 120ML.")</f>
        <v>FRASCO 120ML.</v>
      </c>
      <c r="D254" s="73" t="str">
        <f ca="1">IFERROR(__xludf.DUMMYFUNCTION("""COMPUTED_VALUE"""),"CARBOXIMETILCISTEÌNA/DEXTROMETORFANO/BROMHIDRATO/CLOFGENIRAMINA MALEATO")</f>
        <v>CARBOXIMETILCISTEÌNA/DEXTROMETORFANO/BROMHIDRATO/CLOFGENIRAMINA MALEATO</v>
      </c>
      <c r="E254" s="73" t="str">
        <f ca="1">IFERROR(__xludf.DUMMYFUNCTION("""COMPUTED_VALUE"""),"LETERAGO")</f>
        <v>LETERAGO</v>
      </c>
      <c r="F254" s="75">
        <f ca="1">IFERROR(__xludf.DUMMYFUNCTION("""COMPUTED_VALUE"""),45742)</f>
        <v>45742</v>
      </c>
      <c r="G254" s="74">
        <f ca="1">IFERROR(__xludf.DUMMYFUNCTION("""COMPUTED_VALUE"""),77.25)</f>
        <v>77.25</v>
      </c>
      <c r="H254" s="74">
        <f ca="1">IFERROR(__xludf.DUMMYFUNCTION("""COMPUTED_VALUE"""),108.15)</f>
        <v>108.15</v>
      </c>
      <c r="I254" s="74">
        <f ca="1">IFERROR(__xludf.DUMMYFUNCTION("""COMPUTED_VALUE"""),110)</f>
        <v>110</v>
      </c>
    </row>
    <row r="255" spans="2:9" ht="27" customHeight="1">
      <c r="B255" s="73" t="str">
        <f ca="1">IFERROR(__xludf.DUMMYFUNCTION("""COMPUTED_VALUE"""),"URICRIS")</f>
        <v>URICRIS</v>
      </c>
      <c r="C255" s="73" t="str">
        <f ca="1">IFERROR(__xludf.DUMMYFUNCTION("""COMPUTED_VALUE"""),"CAJA 30 TABLETAS")</f>
        <v>CAJA 30 TABLETAS</v>
      </c>
      <c r="D255" s="73" t="str">
        <f ca="1">IFERROR(__xludf.DUMMYFUNCTION("""COMPUTED_VALUE"""),"ALOPURINOL 300MG.")</f>
        <v>ALOPURINOL 300MG.</v>
      </c>
      <c r="E255" s="73" t="str">
        <f ca="1">IFERROR(__xludf.DUMMYFUNCTION("""COMPUTED_VALUE"""),"PHARMALAT")</f>
        <v>PHARMALAT</v>
      </c>
      <c r="F255" s="75">
        <f ca="1">IFERROR(__xludf.DUMMYFUNCTION("""COMPUTED_VALUE"""),45714)</f>
        <v>45714</v>
      </c>
      <c r="G255" s="74">
        <f ca="1">IFERROR(__xludf.DUMMYFUNCTION("""COMPUTED_VALUE"""),105)</f>
        <v>105</v>
      </c>
      <c r="H255" s="74">
        <f ca="1">IFERROR(__xludf.DUMMYFUNCTION("""COMPUTED_VALUE"""),147)</f>
        <v>147</v>
      </c>
      <c r="I255" s="74">
        <f ca="1">IFERROR(__xludf.DUMMYFUNCTION("""COMPUTED_VALUE"""),150)</f>
        <v>150</v>
      </c>
    </row>
    <row r="256" spans="2:9" ht="27" customHeight="1">
      <c r="B256" s="73" t="str">
        <f ca="1">IFERROR(__xludf.DUMMYFUNCTION("""COMPUTED_VALUE"""),"URINOM XR")</f>
        <v>URINOM XR</v>
      </c>
      <c r="C256" s="73" t="str">
        <f ca="1">IFERROR(__xludf.DUMMYFUNCTION("""COMPUTED_VALUE"""),"CAJA 30 CAPSULAS")</f>
        <v>CAJA 30 CAPSULAS</v>
      </c>
      <c r="D256" s="73" t="str">
        <f ca="1">IFERROR(__xludf.DUMMYFUNCTION("""COMPUTED_VALUE"""),"TAMSULOSINA 0.4MG")</f>
        <v>TAMSULOSINA 0.4MG</v>
      </c>
      <c r="E256" s="73" t="str">
        <f ca="1">IFERROR(__xludf.DUMMYFUNCTION("""COMPUTED_VALUE"""),"PHARMOZ")</f>
        <v>PHARMOZ</v>
      </c>
      <c r="F256" s="75">
        <f ca="1">IFERROR(__xludf.DUMMYFUNCTION("""COMPUTED_VALUE"""),45864)</f>
        <v>45864</v>
      </c>
      <c r="G256" s="74">
        <f ca="1">IFERROR(__xludf.DUMMYFUNCTION("""COMPUTED_VALUE"""),235.98)</f>
        <v>235.98</v>
      </c>
      <c r="H256" s="74">
        <f ca="1">IFERROR(__xludf.DUMMYFUNCTION("""COMPUTED_VALUE"""),330.371999999999)</f>
        <v>330.37199999999899</v>
      </c>
      <c r="I256" s="74">
        <f ca="1">IFERROR(__xludf.DUMMYFUNCTION("""COMPUTED_VALUE"""),335)</f>
        <v>335</v>
      </c>
    </row>
    <row r="257" spans="2:9" ht="27" customHeight="1">
      <c r="B257" s="73" t="str">
        <f ca="1">IFERROR(__xludf.DUMMYFUNCTION("""COMPUTED_VALUE"""),"URITAM D")</f>
        <v>URITAM D</v>
      </c>
      <c r="C257" s="73" t="str">
        <f ca="1">IFERROR(__xludf.DUMMYFUNCTION("""COMPUTED_VALUE"""),"CAJA 30 CAPSULAS")</f>
        <v>CAJA 30 CAPSULAS</v>
      </c>
      <c r="D257" s="73" t="str">
        <f ca="1">IFERROR(__xludf.DUMMYFUNCTION("""COMPUTED_VALUE"""),"DUTASTERIDA 05MG + TAMSULOSINA CLORHIDRATO 0.4MG")</f>
        <v>DUTASTERIDA 05MG + TAMSULOSINA CLORHIDRATO 0.4MG</v>
      </c>
      <c r="E257" s="73" t="str">
        <f ca="1">IFERROR(__xludf.DUMMYFUNCTION("""COMPUTED_VALUE"""),"MEDPHARMA")</f>
        <v>MEDPHARMA</v>
      </c>
      <c r="F257" s="75">
        <f ca="1">IFERROR(__xludf.DUMMYFUNCTION("""COMPUTED_VALUE"""),45685)</f>
        <v>45685</v>
      </c>
      <c r="G257" s="74">
        <f ca="1">IFERROR(__xludf.DUMMYFUNCTION("""COMPUTED_VALUE"""),266.4)</f>
        <v>266.39999999999998</v>
      </c>
      <c r="H257" s="74">
        <f ca="1">IFERROR(__xludf.DUMMYFUNCTION("""COMPUTED_VALUE"""),372.96)</f>
        <v>372.96</v>
      </c>
      <c r="I257" s="74">
        <f ca="1">IFERROR(__xludf.DUMMYFUNCTION("""COMPUTED_VALUE"""),400)</f>
        <v>400</v>
      </c>
    </row>
    <row r="258" spans="2:9" ht="27" customHeight="1">
      <c r="B258" s="73" t="str">
        <f ca="1">IFERROR(__xludf.DUMMYFUNCTION("""COMPUTED_VALUE"""),"UROBERRY FORTE")</f>
        <v>UROBERRY FORTE</v>
      </c>
      <c r="C258" s="73" t="str">
        <f ca="1">IFERROR(__xludf.DUMMYFUNCTION("""COMPUTED_VALUE"""),"CAJA 30 TABLETAS")</f>
        <v>CAJA 30 TABLETAS</v>
      </c>
      <c r="D258" s="73" t="str">
        <f ca="1">IFERROR(__xludf.DUMMYFUNCTION("""COMPUTED_VALUE"""),"EXTRACTO DE CRANBERRY, VITAMINA C")</f>
        <v>EXTRACTO DE CRANBERRY, VITAMINA C</v>
      </c>
      <c r="E258" s="73" t="str">
        <f ca="1">IFERROR(__xludf.DUMMYFUNCTION("""COMPUTED_VALUE"""),"BOFASA")</f>
        <v>BOFASA</v>
      </c>
      <c r="F258" s="75">
        <f ca="1">IFERROR(__xludf.DUMMYFUNCTION("""COMPUTED_VALUE"""),45956)</f>
        <v>45956</v>
      </c>
      <c r="G258" s="74">
        <f ca="1">IFERROR(__xludf.DUMMYFUNCTION("""COMPUTED_VALUE"""),159.6)</f>
        <v>159.6</v>
      </c>
      <c r="H258" s="74">
        <f ca="1">IFERROR(__xludf.DUMMYFUNCTION("""COMPUTED_VALUE"""),223.44)</f>
        <v>223.44</v>
      </c>
      <c r="I258" s="74">
        <f ca="1">IFERROR(__xludf.DUMMYFUNCTION("""COMPUTED_VALUE"""),265)</f>
        <v>265</v>
      </c>
    </row>
    <row r="259" spans="2:9" ht="27" customHeight="1">
      <c r="B259" s="73" t="str">
        <f ca="1">IFERROR(__xludf.DUMMYFUNCTION("""COMPUTED_VALUE"""),"UROXACINA/NORFLOXACINA")</f>
        <v>UROXACINA/NORFLOXACINA</v>
      </c>
      <c r="C259" s="73" t="str">
        <f ca="1">IFERROR(__xludf.DUMMYFUNCTION("""COMPUTED_VALUE"""),"CAJA 10 TABLETAS")</f>
        <v>CAJA 10 TABLETAS</v>
      </c>
      <c r="D259" s="73" t="str">
        <f ca="1">IFERROR(__xludf.DUMMYFUNCTION("""COMPUTED_VALUE"""),"MICTASOL tratamiento de infecciones agudas, crónicas y recurrentes del aparato urinario")</f>
        <v>MICTASOL tratamiento de infecciones agudas, crónicas y recurrentes del aparato urinario</v>
      </c>
      <c r="E259" s="73" t="str">
        <f ca="1">IFERROR(__xludf.DUMMYFUNCTION("""COMPUTED_VALUE"""),"BRULAB")</f>
        <v>BRULAB</v>
      </c>
      <c r="F259" s="75">
        <f ca="1">IFERROR(__xludf.DUMMYFUNCTION("""COMPUTED_VALUE"""),45685)</f>
        <v>45685</v>
      </c>
      <c r="G259" s="74">
        <f ca="1">IFERROR(__xludf.DUMMYFUNCTION("""COMPUTED_VALUE"""),238.89)</f>
        <v>238.89</v>
      </c>
      <c r="H259" s="74">
        <f ca="1">IFERROR(__xludf.DUMMYFUNCTION("""COMPUTED_VALUE"""),334.445999999999)</f>
        <v>334.445999999999</v>
      </c>
      <c r="I259" s="74">
        <f ca="1">IFERROR(__xludf.DUMMYFUNCTION("""COMPUTED_VALUE"""),350)</f>
        <v>350</v>
      </c>
    </row>
    <row r="260" spans="2:9" ht="27" customHeight="1">
      <c r="B260" s="73" t="str">
        <f ca="1">IFERROR(__xludf.DUMMYFUNCTION("""COMPUTED_VALUE"""),"VANCOMICINA")</f>
        <v>VANCOMICINA</v>
      </c>
      <c r="C260" s="73" t="str">
        <f ca="1">IFERROR(__xludf.DUMMYFUNCTION("""COMPUTED_VALUE"""),"POLVO PARA SOLUCIÓN INYEC.")</f>
        <v>POLVO PARA SOLUCIÓN INYEC.</v>
      </c>
      <c r="D260" s="73" t="str">
        <f ca="1">IFERROR(__xludf.DUMMYFUNCTION("""COMPUTED_VALUE"""),"VANCOMICINA")</f>
        <v>VANCOMICINA</v>
      </c>
      <c r="E260" s="73" t="str">
        <f ca="1">IFERROR(__xludf.DUMMYFUNCTION("""COMPUTED_VALUE"""),"VITALIS")</f>
        <v>VITALIS</v>
      </c>
      <c r="F260" s="75">
        <f ca="1">IFERROR(__xludf.DUMMYFUNCTION("""COMPUTED_VALUE"""),45774)</f>
        <v>45774</v>
      </c>
      <c r="G260" s="74">
        <f ca="1">IFERROR(__xludf.DUMMYFUNCTION("""COMPUTED_VALUE"""),15)</f>
        <v>15</v>
      </c>
      <c r="H260" s="74">
        <f ca="1">IFERROR(__xludf.DUMMYFUNCTION("""COMPUTED_VALUE"""),21)</f>
        <v>21</v>
      </c>
      <c r="I260" s="74">
        <f ca="1">IFERROR(__xludf.DUMMYFUNCTION("""COMPUTED_VALUE"""),30)</f>
        <v>30</v>
      </c>
    </row>
    <row r="261" spans="2:9" ht="27" customHeight="1">
      <c r="B261" s="73" t="str">
        <f ca="1">IFERROR(__xludf.DUMMYFUNCTION("""COMPUTED_VALUE"""),"VIDARTIL")</f>
        <v>VIDARTIL</v>
      </c>
      <c r="C261" s="73" t="str">
        <f ca="1">IFERROR(__xludf.DUMMYFUNCTION("""COMPUTED_VALUE"""),"CAJA 30 TAB.")</f>
        <v>CAJA 30 TAB.</v>
      </c>
      <c r="D261" s="73" t="str">
        <f ca="1">IFERROR(__xludf.DUMMYFUNCTION("""COMPUTED_VALUE"""),"VIDAGLIPTINA 50MG.")</f>
        <v>VIDAGLIPTINA 50MG.</v>
      </c>
      <c r="E261" s="73" t="str">
        <f ca="1">IFERROR(__xludf.DUMMYFUNCTION("""COMPUTED_VALUE"""),"UNINOVA")</f>
        <v>UNINOVA</v>
      </c>
      <c r="F261" s="75">
        <f ca="1">IFERROR(__xludf.DUMMYFUNCTION("""COMPUTED_VALUE"""),45895)</f>
        <v>45895</v>
      </c>
      <c r="G261" s="74">
        <f ca="1">IFERROR(__xludf.DUMMYFUNCTION("""COMPUTED_VALUE"""),180.57)</f>
        <v>180.57</v>
      </c>
      <c r="H261" s="74">
        <f ca="1">IFERROR(__xludf.DUMMYFUNCTION("""COMPUTED_VALUE"""),252.798)</f>
        <v>252.798</v>
      </c>
      <c r="I261" s="74">
        <f ca="1">IFERROR(__xludf.DUMMYFUNCTION("""COMPUTED_VALUE"""),255)</f>
        <v>255</v>
      </c>
    </row>
    <row r="262" spans="2:9" ht="27" customHeight="1">
      <c r="B262" s="73" t="str">
        <f ca="1">IFERROR(__xludf.DUMMYFUNCTION("""COMPUTED_VALUE"""),"VINTAX")</f>
        <v>VINTAX</v>
      </c>
      <c r="C262" s="73" t="str">
        <f ca="1">IFERROR(__xludf.DUMMYFUNCTION("""COMPUTED_VALUE"""),"CAJA 2 TABLETAS")</f>
        <v>CAJA 2 TABLETAS</v>
      </c>
      <c r="D262" s="73" t="str">
        <f ca="1">IFERROR(__xludf.DUMMYFUNCTION("""COMPUTED_VALUE"""),"IVERMECTINA 6MG.")</f>
        <v>IVERMECTINA 6MG.</v>
      </c>
      <c r="E262" s="73" t="str">
        <f ca="1">IFERROR(__xludf.DUMMYFUNCTION("""COMPUTED_VALUE"""),"INFASA")</f>
        <v>INFASA</v>
      </c>
      <c r="F262" s="75">
        <f ca="1">IFERROR(__xludf.DUMMYFUNCTION("""COMPUTED_VALUE"""),45987)</f>
        <v>45987</v>
      </c>
      <c r="G262" s="74">
        <f ca="1">IFERROR(__xludf.DUMMYFUNCTION("""COMPUTED_VALUE"""),20)</f>
        <v>20</v>
      </c>
      <c r="H262" s="74">
        <f ca="1">IFERROR(__xludf.DUMMYFUNCTION("""COMPUTED_VALUE"""),28)</f>
        <v>28</v>
      </c>
      <c r="I262" s="74">
        <f ca="1">IFERROR(__xludf.DUMMYFUNCTION("""COMPUTED_VALUE"""),30)</f>
        <v>30</v>
      </c>
    </row>
    <row r="263" spans="2:9" ht="27" customHeight="1">
      <c r="B263" s="73" t="str">
        <f ca="1">IFERROR(__xludf.DUMMYFUNCTION("""COMPUTED_VALUE"""),"VIPAXEN")</f>
        <v>VIPAXEN</v>
      </c>
      <c r="C263" s="73" t="str">
        <f ca="1">IFERROR(__xludf.DUMMYFUNCTION("""COMPUTED_VALUE"""),"CAJA 20 TABLETAS")</f>
        <v>CAJA 20 TABLETAS</v>
      </c>
      <c r="D263" s="73" t="str">
        <f ca="1">IFERROR(__xludf.DUMMYFUNCTION("""COMPUTED_VALUE"""),"IBUPROFENO 300MG + METOCARBAMOL 250MG")</f>
        <v>IBUPROFENO 300MG + METOCARBAMOL 250MG</v>
      </c>
      <c r="E263" s="73" t="str">
        <f ca="1">IFERROR(__xludf.DUMMYFUNCTION("""COMPUTED_VALUE"""),"VIPARSA")</f>
        <v>VIPARSA</v>
      </c>
      <c r="F263" s="75">
        <f ca="1">IFERROR(__xludf.DUMMYFUNCTION("""COMPUTED_VALUE"""),45896)</f>
        <v>45896</v>
      </c>
      <c r="G263" s="74">
        <f ca="1">IFERROR(__xludf.DUMMYFUNCTION("""COMPUTED_VALUE"""),62.31)</f>
        <v>62.31</v>
      </c>
      <c r="H263" s="74">
        <f ca="1">IFERROR(__xludf.DUMMYFUNCTION("""COMPUTED_VALUE"""),87.234)</f>
        <v>87.233999999999995</v>
      </c>
      <c r="I263" s="74">
        <f ca="1">IFERROR(__xludf.DUMMYFUNCTION("""COMPUTED_VALUE"""),90)</f>
        <v>90</v>
      </c>
    </row>
    <row r="264" spans="2:9" ht="27" customHeight="1">
      <c r="B264" s="73" t="str">
        <f ca="1">IFERROR(__xludf.DUMMYFUNCTION("""COMPUTED_VALUE"""),"VIRULEV")</f>
        <v>VIRULEV</v>
      </c>
      <c r="C264" s="73" t="str">
        <f ca="1">IFERROR(__xludf.DUMMYFUNCTION("""COMPUTED_VALUE"""),"CREMA 5G")</f>
        <v>CREMA 5G</v>
      </c>
      <c r="D264" s="73" t="str">
        <f ca="1">IFERROR(__xludf.DUMMYFUNCTION("""COMPUTED_VALUE"""),"ACICLOVIR 5%")</f>
        <v>ACICLOVIR 5%</v>
      </c>
      <c r="E264" s="73" t="str">
        <f ca="1">IFERROR(__xludf.DUMMYFUNCTION("""COMPUTED_VALUE"""),"LEVEN")</f>
        <v>LEVEN</v>
      </c>
      <c r="F264" s="75">
        <f ca="1">IFERROR(__xludf.DUMMYFUNCTION("""COMPUTED_VALUE"""),45956)</f>
        <v>45956</v>
      </c>
      <c r="G264" s="74">
        <f ca="1">IFERROR(__xludf.DUMMYFUNCTION("""COMPUTED_VALUE"""),39.56)</f>
        <v>39.56</v>
      </c>
      <c r="H264" s="74">
        <f ca="1">IFERROR(__xludf.DUMMYFUNCTION("""COMPUTED_VALUE"""),55.384)</f>
        <v>55.384</v>
      </c>
      <c r="I264" s="74">
        <f ca="1">IFERROR(__xludf.DUMMYFUNCTION("""COMPUTED_VALUE"""),60)</f>
        <v>60</v>
      </c>
    </row>
    <row r="265" spans="2:9" ht="27" customHeight="1">
      <c r="B265" s="73" t="str">
        <f ca="1">IFERROR(__xludf.DUMMYFUNCTION("""COMPUTED_VALUE"""),"VIRULEVV400")</f>
        <v>VIRULEVV400</v>
      </c>
      <c r="C265" s="73" t="str">
        <f ca="1">IFERROR(__xludf.DUMMYFUNCTION("""COMPUTED_VALUE"""),"CAJA 20 TABLETAS")</f>
        <v>CAJA 20 TABLETAS</v>
      </c>
      <c r="D265" s="73" t="str">
        <f ca="1">IFERROR(__xludf.DUMMYFUNCTION("""COMPUTED_VALUE"""),"ACICLOVIR 400MG")</f>
        <v>ACICLOVIR 400MG</v>
      </c>
      <c r="E265" s="73" t="str">
        <f ca="1">IFERROR(__xludf.DUMMYFUNCTION("""COMPUTED_VALUE"""),"LEVEN")</f>
        <v>LEVEN</v>
      </c>
      <c r="F265" s="75">
        <f ca="1">IFERROR(__xludf.DUMMYFUNCTION("""COMPUTED_VALUE"""),45834)</f>
        <v>45834</v>
      </c>
      <c r="G265" s="74">
        <f ca="1">IFERROR(__xludf.DUMMYFUNCTION("""COMPUTED_VALUE"""),74.53)</f>
        <v>74.53</v>
      </c>
      <c r="H265" s="74">
        <f ca="1">IFERROR(__xludf.DUMMYFUNCTION("""COMPUTED_VALUE"""),104.342)</f>
        <v>104.342</v>
      </c>
      <c r="I265" s="74">
        <f ca="1">IFERROR(__xludf.DUMMYFUNCTION("""COMPUTED_VALUE"""),105)</f>
        <v>105</v>
      </c>
    </row>
    <row r="266" spans="2:9" ht="27" customHeight="1">
      <c r="B266" s="73" t="str">
        <f ca="1">IFERROR(__xludf.DUMMYFUNCTION("""COMPUTED_VALUE"""),"VITABROX")</f>
        <v>VITABROX</v>
      </c>
      <c r="C266" s="73" t="str">
        <f ca="1">IFERROR(__xludf.DUMMYFUNCTION("""COMPUTED_VALUE"""),"FRASCO 240 ML")</f>
        <v>FRASCO 240 ML</v>
      </c>
      <c r="D266" s="73" t="str">
        <f ca="1">IFERROR(__xludf.DUMMYFUNCTION("""COMPUTED_VALUE"""),"SUPLEMENTO NUTRICIONAL")</f>
        <v>SUPLEMENTO NUTRICIONAL</v>
      </c>
      <c r="E266" s="73" t="str">
        <f ca="1">IFERROR(__xludf.DUMMYFUNCTION("""COMPUTED_VALUE"""),"BROPHARMA")</f>
        <v>BROPHARMA</v>
      </c>
      <c r="F266" s="75">
        <f ca="1">IFERROR(__xludf.DUMMYFUNCTION("""COMPUTED_VALUE"""),45834)</f>
        <v>45834</v>
      </c>
      <c r="G266" s="74">
        <f ca="1">IFERROR(__xludf.DUMMYFUNCTION("""COMPUTED_VALUE"""),38)</f>
        <v>38</v>
      </c>
      <c r="H266" s="74">
        <f ca="1">IFERROR(__xludf.DUMMYFUNCTION("""COMPUTED_VALUE"""),53.2)</f>
        <v>53.2</v>
      </c>
      <c r="I266" s="74">
        <f ca="1">IFERROR(__xludf.DUMMYFUNCTION("""COMPUTED_VALUE"""),55)</f>
        <v>55</v>
      </c>
    </row>
    <row r="267" spans="2:9" ht="27" customHeight="1">
      <c r="B267" s="73" t="str">
        <f ca="1">IFERROR(__xludf.DUMMYFUNCTION("""COMPUTED_VALUE"""),"WINVIT")</f>
        <v>WINVIT</v>
      </c>
      <c r="C267" s="73" t="str">
        <f ca="1">IFERROR(__xludf.DUMMYFUNCTION("""COMPUTED_VALUE"""),"FRASCO 240 ML")</f>
        <v>FRASCO 240 ML</v>
      </c>
      <c r="D267" s="73" t="str">
        <f ca="1">IFERROR(__xludf.DUMMYFUNCTION("""COMPUTED_VALUE"""),"MULTIVITAMINICO")</f>
        <v>MULTIVITAMINICO</v>
      </c>
      <c r="E267" s="73" t="str">
        <f ca="1">IFERROR(__xludf.DUMMYFUNCTION("""COMPUTED_VALUE"""),"WINZZER")</f>
        <v>WINZZER</v>
      </c>
      <c r="F267" s="75">
        <f ca="1">IFERROR(__xludf.DUMMYFUNCTION("""COMPUTED_VALUE"""),45743)</f>
        <v>45743</v>
      </c>
      <c r="G267" s="74">
        <f ca="1">IFERROR(__xludf.DUMMYFUNCTION("""COMPUTED_VALUE"""),63.96)</f>
        <v>63.96</v>
      </c>
      <c r="H267" s="74">
        <f ca="1">IFERROR(__xludf.DUMMYFUNCTION("""COMPUTED_VALUE"""),89.544)</f>
        <v>89.543999999999997</v>
      </c>
      <c r="I267" s="74">
        <f ca="1">IFERROR(__xludf.DUMMYFUNCTION("""COMPUTED_VALUE"""),90)</f>
        <v>90</v>
      </c>
    </row>
    <row r="268" spans="2:9" ht="27" customHeight="1">
      <c r="B268" s="73" t="str">
        <f ca="1">IFERROR(__xludf.DUMMYFUNCTION("""COMPUTED_VALUE"""),"ZETAWIN")</f>
        <v>ZETAWIN</v>
      </c>
      <c r="C268" s="73" t="str">
        <f ca="1">IFERROR(__xludf.DUMMYFUNCTION("""COMPUTED_VALUE"""),"BLISTER 10 TABLETAS")</f>
        <v>BLISTER 10 TABLETAS</v>
      </c>
      <c r="D268" s="73" t="str">
        <f ca="1">IFERROR(__xludf.DUMMYFUNCTION("""COMPUTED_VALUE"""),"PARACETAMOL 500MG.")</f>
        <v>PARACETAMOL 500MG.</v>
      </c>
      <c r="E268" s="73" t="str">
        <f ca="1">IFERROR(__xludf.DUMMYFUNCTION("""COMPUTED_VALUE"""),"WINZZER")</f>
        <v>WINZZER</v>
      </c>
      <c r="F268" s="75">
        <f ca="1">IFERROR(__xludf.DUMMYFUNCTION("""COMPUTED_VALUE"""),45926)</f>
        <v>45926</v>
      </c>
      <c r="G268" s="74">
        <f ca="1">IFERROR(__xludf.DUMMYFUNCTION("""COMPUTED_VALUE"""),6)</f>
        <v>6</v>
      </c>
      <c r="H268" s="74">
        <f ca="1">IFERROR(__xludf.DUMMYFUNCTION("""COMPUTED_VALUE"""),8.4)</f>
        <v>8.4</v>
      </c>
      <c r="I268" s="74">
        <f ca="1">IFERROR(__xludf.DUMMYFUNCTION("""COMPUTED_VALUE"""),10)</f>
        <v>10</v>
      </c>
    </row>
    <row r="269" spans="2:9" ht="27" customHeight="1">
      <c r="B269" s="73" t="str">
        <f ca="1">IFERROR(__xludf.DUMMYFUNCTION("""COMPUTED_VALUE"""),"ZETAWIN FORTE")</f>
        <v>ZETAWIN FORTE</v>
      </c>
      <c r="C269" s="73" t="str">
        <f ca="1">IFERROR(__xludf.DUMMYFUNCTION("""COMPUTED_VALUE"""),"CAJA 20 TABLETAS")</f>
        <v>CAJA 20 TABLETAS</v>
      </c>
      <c r="D269" s="73" t="str">
        <f ca="1">IFERROR(__xludf.DUMMYFUNCTION("""COMPUTED_VALUE"""),"PARACETAMOL 1G")</f>
        <v>PARACETAMOL 1G</v>
      </c>
      <c r="E269" s="73" t="str">
        <f ca="1">IFERROR(__xludf.DUMMYFUNCTION("""COMPUTED_VALUE"""),"WINZZER")</f>
        <v>WINZZER</v>
      </c>
      <c r="F269" s="75">
        <f ca="1">IFERROR(__xludf.DUMMYFUNCTION("""COMPUTED_VALUE"""),45684)</f>
        <v>45684</v>
      </c>
      <c r="G269" s="74">
        <f ca="1">IFERROR(__xludf.DUMMYFUNCTION("""COMPUTED_VALUE"""),55.68)</f>
        <v>55.68</v>
      </c>
      <c r="H269" s="74">
        <f ca="1">IFERROR(__xludf.DUMMYFUNCTION("""COMPUTED_VALUE"""),77.952)</f>
        <v>77.951999999999998</v>
      </c>
      <c r="I269" s="74">
        <f ca="1">IFERROR(__xludf.DUMMYFUNCTION("""COMPUTED_VALUE"""),80)</f>
        <v>80</v>
      </c>
    </row>
    <row r="270" spans="2:9" ht="27" customHeight="1">
      <c r="B270" s="73" t="str">
        <f ca="1">IFERROR(__xludf.DUMMYFUNCTION("""COMPUTED_VALUE"""),"ZETAWIN PLUS")</f>
        <v>ZETAWIN PLUS</v>
      </c>
      <c r="C270" s="73" t="str">
        <f ca="1">IFERROR(__xludf.DUMMYFUNCTION("""COMPUTED_VALUE"""),"CAJA 20 TABLETAS")</f>
        <v>CAJA 20 TABLETAS</v>
      </c>
      <c r="D270" s="73" t="str">
        <f ca="1">IFERROR(__xludf.DUMMYFUNCTION("""COMPUTED_VALUE"""),"PARACETAMOL 325MG + TRAMADOR HCI 37.5MG")</f>
        <v>PARACETAMOL 325MG + TRAMADOR HCI 37.5MG</v>
      </c>
      <c r="E270" s="73" t="str">
        <f ca="1">IFERROR(__xludf.DUMMYFUNCTION("""COMPUTED_VALUE"""),"WINZZER")</f>
        <v>WINZZER</v>
      </c>
      <c r="F270" s="75">
        <f ca="1">IFERROR(__xludf.DUMMYFUNCTION("""COMPUTED_VALUE"""),45957)</f>
        <v>45957</v>
      </c>
      <c r="G270" s="74">
        <f ca="1">IFERROR(__xludf.DUMMYFUNCTION("""COMPUTED_VALUE"""),120)</f>
        <v>120</v>
      </c>
      <c r="H270" s="74">
        <f ca="1">IFERROR(__xludf.DUMMYFUNCTION("""COMPUTED_VALUE"""),168)</f>
        <v>168</v>
      </c>
      <c r="I270" s="74">
        <f ca="1">IFERROR(__xludf.DUMMYFUNCTION("""COMPUTED_VALUE"""),170)</f>
        <v>170</v>
      </c>
    </row>
    <row r="271" spans="2:9" ht="27" customHeight="1">
      <c r="B271" s="73" t="str">
        <f ca="1">IFERROR(__xludf.DUMMYFUNCTION("""COMPUTED_VALUE"""),"DESCARTABLE")</f>
        <v>DESCARTABLE</v>
      </c>
      <c r="C271" s="73" t="str">
        <f ca="1">IFERROR(__xludf.DUMMYFUNCTION("""COMPUTED_VALUE"""),"DESCARTABLE")</f>
        <v>DESCARTABLE</v>
      </c>
      <c r="D271" s="73" t="str">
        <f ca="1">IFERROR(__xludf.DUMMYFUNCTION("""COMPUTED_VALUE"""),"DESCARTABLE")</f>
        <v>DESCARTABLE</v>
      </c>
      <c r="E271" s="73" t="str">
        <f ca="1">IFERROR(__xludf.DUMMYFUNCTION("""COMPUTED_VALUE"""),"DESCARTABLE")</f>
        <v>DESCARTABLE</v>
      </c>
      <c r="F271" s="73" t="str">
        <f ca="1">IFERROR(__xludf.DUMMYFUNCTION("""COMPUTED_VALUE"""),"DESCARTABLE")</f>
        <v>DESCARTABLE</v>
      </c>
      <c r="G271" s="73" t="str">
        <f ca="1">IFERROR(__xludf.DUMMYFUNCTION("""COMPUTED_VALUE"""),"DESCARTABLE")</f>
        <v>DESCARTABLE</v>
      </c>
      <c r="H271" s="73" t="str">
        <f ca="1">IFERROR(__xludf.DUMMYFUNCTION("""COMPUTED_VALUE"""),"DESCARTABLE")</f>
        <v>DESCARTABLE</v>
      </c>
      <c r="I271" s="73" t="str">
        <f ca="1">IFERROR(__xludf.DUMMYFUNCTION("""COMPUTED_VALUE"""),"DESCARTABLE")</f>
        <v>DESCARTABLE</v>
      </c>
    </row>
    <row r="272" spans="2:9" ht="27" customHeight="1">
      <c r="B272" s="73" t="str">
        <f ca="1">IFERROR(__xludf.DUMMYFUNCTION("""COMPUTED_VALUE"""),"Agua Oxigenada Galòn")</f>
        <v>Agua Oxigenada Galòn</v>
      </c>
      <c r="C272" s="73" t="str">
        <f ca="1">IFERROR(__xludf.DUMMYFUNCTION("""COMPUTED_VALUE"""),"GALÓN")</f>
        <v>GALÓN</v>
      </c>
      <c r="D272" s="73"/>
      <c r="E272" s="73" t="str">
        <f ca="1">IFERROR(__xludf.DUMMYFUNCTION("""COMPUTED_VALUE"""),"H&amp;L")</f>
        <v>H&amp;L</v>
      </c>
      <c r="F272" s="75">
        <f ca="1">IFERROR(__xludf.DUMMYFUNCTION("""COMPUTED_VALUE"""),45715)</f>
        <v>45715</v>
      </c>
      <c r="G272" s="74">
        <f ca="1">IFERROR(__xludf.DUMMYFUNCTION("""COMPUTED_VALUE"""),22)</f>
        <v>22</v>
      </c>
      <c r="H272" s="74">
        <f ca="1">IFERROR(__xludf.DUMMYFUNCTION("""COMPUTED_VALUE"""),30.8)</f>
        <v>30.8</v>
      </c>
      <c r="I272" s="74">
        <f ca="1">IFERROR(__xludf.DUMMYFUNCTION("""COMPUTED_VALUE"""),35)</f>
        <v>35</v>
      </c>
    </row>
    <row r="273" spans="2:9" ht="27" customHeight="1">
      <c r="B273" s="73" t="str">
        <f ca="1">IFERROR(__xludf.DUMMYFUNCTION("""COMPUTED_VALUE"""),"Aguja No. 20")</f>
        <v>Aguja No. 20</v>
      </c>
      <c r="C273" s="73" t="str">
        <f ca="1">IFERROR(__xludf.DUMMYFUNCTION("""COMPUTED_VALUE"""),"CAJA 100U.")</f>
        <v>CAJA 100U.</v>
      </c>
      <c r="D273" s="73"/>
      <c r="E273" s="73" t="str">
        <f ca="1">IFERROR(__xludf.DUMMYFUNCTION("""COMPUTED_VALUE"""),"H&amp;L")</f>
        <v>H&amp;L</v>
      </c>
      <c r="F273" s="75">
        <f ca="1">IFERROR(__xludf.DUMMYFUNCTION("""COMPUTED_VALUE"""),45776)</f>
        <v>45776</v>
      </c>
      <c r="G273" s="74">
        <f ca="1">IFERROR(__xludf.DUMMYFUNCTION("""COMPUTED_VALUE"""),28)</f>
        <v>28</v>
      </c>
      <c r="H273" s="74">
        <f ca="1">IFERROR(__xludf.DUMMYFUNCTION("""COMPUTED_VALUE"""),39.2)</f>
        <v>39.200000000000003</v>
      </c>
      <c r="I273" s="74">
        <f ca="1">IFERROR(__xludf.DUMMYFUNCTION("""COMPUTED_VALUE"""),45)</f>
        <v>45</v>
      </c>
    </row>
    <row r="274" spans="2:9" ht="27" customHeight="1">
      <c r="B274" s="73" t="str">
        <f ca="1">IFERROR(__xludf.DUMMYFUNCTION("""COMPUTED_VALUE"""),"Aguja No. 22")</f>
        <v>Aguja No. 22</v>
      </c>
      <c r="C274" s="73" t="str">
        <f ca="1">IFERROR(__xludf.DUMMYFUNCTION("""COMPUTED_VALUE"""),"CAJA 100U.")</f>
        <v>CAJA 100U.</v>
      </c>
      <c r="D274" s="73"/>
      <c r="E274" s="73" t="str">
        <f ca="1">IFERROR(__xludf.DUMMYFUNCTION("""COMPUTED_VALUE"""),"H&amp;L")</f>
        <v>H&amp;L</v>
      </c>
      <c r="F274" s="75">
        <f ca="1">IFERROR(__xludf.DUMMYFUNCTION("""COMPUTED_VALUE"""),45776)</f>
        <v>45776</v>
      </c>
      <c r="G274" s="74">
        <f ca="1">IFERROR(__xludf.DUMMYFUNCTION("""COMPUTED_VALUE"""),27.5)</f>
        <v>27.5</v>
      </c>
      <c r="H274" s="74">
        <f ca="1">IFERROR(__xludf.DUMMYFUNCTION("""COMPUTED_VALUE"""),38.5)</f>
        <v>38.5</v>
      </c>
      <c r="I274" s="74">
        <f ca="1">IFERROR(__xludf.DUMMYFUNCTION("""COMPUTED_VALUE"""),45)</f>
        <v>45</v>
      </c>
    </row>
    <row r="275" spans="2:9" ht="27" customHeight="1">
      <c r="B275" s="73" t="str">
        <f ca="1">IFERROR(__xludf.DUMMYFUNCTION("""COMPUTED_VALUE"""),"Aguja No. 23")</f>
        <v>Aguja No. 23</v>
      </c>
      <c r="C275" s="73" t="str">
        <f ca="1">IFERROR(__xludf.DUMMYFUNCTION("""COMPUTED_VALUE"""),"CAJA 100U.")</f>
        <v>CAJA 100U.</v>
      </c>
      <c r="D275" s="73"/>
      <c r="E275" s="73" t="str">
        <f ca="1">IFERROR(__xludf.DUMMYFUNCTION("""COMPUTED_VALUE"""),"H&amp;L")</f>
        <v>H&amp;L</v>
      </c>
      <c r="F275" s="75">
        <f ca="1">IFERROR(__xludf.DUMMYFUNCTION("""COMPUTED_VALUE"""),45774)</f>
        <v>45774</v>
      </c>
      <c r="G275" s="74">
        <f ca="1">IFERROR(__xludf.DUMMYFUNCTION("""COMPUTED_VALUE"""),28)</f>
        <v>28</v>
      </c>
      <c r="H275" s="74">
        <f ca="1">IFERROR(__xludf.DUMMYFUNCTION("""COMPUTED_VALUE"""),39.2)</f>
        <v>39.200000000000003</v>
      </c>
      <c r="I275" s="74">
        <f ca="1">IFERROR(__xludf.DUMMYFUNCTION("""COMPUTED_VALUE"""),45)</f>
        <v>45</v>
      </c>
    </row>
    <row r="276" spans="2:9" ht="27" customHeight="1">
      <c r="B276" s="73" t="str">
        <f ca="1">IFERROR(__xludf.DUMMYFUNCTION("""COMPUTED_VALUE"""),"Aguja No. 24")</f>
        <v>Aguja No. 24</v>
      </c>
      <c r="C276" s="73" t="str">
        <f ca="1">IFERROR(__xludf.DUMMYFUNCTION("""COMPUTED_VALUE"""),"CAJA 100U.")</f>
        <v>CAJA 100U.</v>
      </c>
      <c r="D276" s="73"/>
      <c r="E276" s="73" t="str">
        <f ca="1">IFERROR(__xludf.DUMMYFUNCTION("""COMPUTED_VALUE"""),"H&amp;L")</f>
        <v>H&amp;L</v>
      </c>
      <c r="F276" s="75">
        <f ca="1">IFERROR(__xludf.DUMMYFUNCTION("""COMPUTED_VALUE"""),45774)</f>
        <v>45774</v>
      </c>
      <c r="G276" s="74">
        <f ca="1">IFERROR(__xludf.DUMMYFUNCTION("""COMPUTED_VALUE"""),53)</f>
        <v>53</v>
      </c>
      <c r="H276" s="74">
        <f ca="1">IFERROR(__xludf.DUMMYFUNCTION("""COMPUTED_VALUE"""),74.2)</f>
        <v>74.2</v>
      </c>
      <c r="I276" s="74">
        <f ca="1">IFERROR(__xludf.DUMMYFUNCTION("""COMPUTED_VALUE"""),80)</f>
        <v>80</v>
      </c>
    </row>
    <row r="277" spans="2:9" ht="27" customHeight="1">
      <c r="B277" s="73" t="str">
        <f ca="1">IFERROR(__xludf.DUMMYFUNCTION("""COMPUTED_VALUE"""),"Aguja No. 25")</f>
        <v>Aguja No. 25</v>
      </c>
      <c r="C277" s="73" t="str">
        <f ca="1">IFERROR(__xludf.DUMMYFUNCTION("""COMPUTED_VALUE"""),"CAJA 100U.")</f>
        <v>CAJA 100U.</v>
      </c>
      <c r="D277" s="73"/>
      <c r="E277" s="73" t="str">
        <f ca="1">IFERROR(__xludf.DUMMYFUNCTION("""COMPUTED_VALUE"""),"MEDICAL M&amp;M")</f>
        <v>MEDICAL M&amp;M</v>
      </c>
      <c r="F277" s="75">
        <f ca="1">IFERROR(__xludf.DUMMYFUNCTION("""COMPUTED_VALUE"""),45927)</f>
        <v>45927</v>
      </c>
      <c r="G277" s="74">
        <f ca="1">IFERROR(__xludf.DUMMYFUNCTION("""COMPUTED_VALUE"""),32)</f>
        <v>32</v>
      </c>
      <c r="H277" s="74">
        <f ca="1">IFERROR(__xludf.DUMMYFUNCTION("""COMPUTED_VALUE"""),44.8)</f>
        <v>44.8</v>
      </c>
      <c r="I277" s="74">
        <f ca="1">IFERROR(__xludf.DUMMYFUNCTION("""COMPUTED_VALUE"""),45)</f>
        <v>45</v>
      </c>
    </row>
    <row r="278" spans="2:9" ht="27" customHeight="1">
      <c r="B278" s="73" t="str">
        <f ca="1">IFERROR(__xludf.DUMMYFUNCTION("""COMPUTED_VALUE"""),"Alcohol Galón")</f>
        <v>Alcohol Galón</v>
      </c>
      <c r="C278" s="73" t="str">
        <f ca="1">IFERROR(__xludf.DUMMYFUNCTION("""COMPUTED_VALUE"""),"Galón")</f>
        <v>Galón</v>
      </c>
      <c r="D278" s="73"/>
      <c r="E278" s="73" t="str">
        <f ca="1">IFERROR(__xludf.DUMMYFUNCTION("""COMPUTED_VALUE"""),"H&amp;L")</f>
        <v>H&amp;L</v>
      </c>
      <c r="F278" s="75">
        <f ca="1">IFERROR(__xludf.DUMMYFUNCTION("""COMPUTED_VALUE"""),45896)</f>
        <v>45896</v>
      </c>
      <c r="G278" s="74">
        <f ca="1">IFERROR(__xludf.DUMMYFUNCTION("""COMPUTED_VALUE"""),72)</f>
        <v>72</v>
      </c>
      <c r="H278" s="74">
        <f ca="1">IFERROR(__xludf.DUMMYFUNCTION("""COMPUTED_VALUE"""),100.8)</f>
        <v>100.8</v>
      </c>
      <c r="I278" s="74">
        <f ca="1">IFERROR(__xludf.DUMMYFUNCTION("""COMPUTED_VALUE"""),105)</f>
        <v>105</v>
      </c>
    </row>
    <row r="279" spans="2:9" ht="27" customHeight="1">
      <c r="B279" s="73" t="str">
        <f ca="1">IFERROR(__xludf.DUMMYFUNCTION("""COMPUTED_VALUE"""),"Algodón Rollo")</f>
        <v>Algodón Rollo</v>
      </c>
      <c r="C279" s="73" t="str">
        <f ca="1">IFERROR(__xludf.DUMMYFUNCTION("""COMPUTED_VALUE"""),"LIBRA")</f>
        <v>LIBRA</v>
      </c>
      <c r="D279" s="73"/>
      <c r="E279" s="73" t="str">
        <f ca="1">IFERROR(__xludf.DUMMYFUNCTION("""COMPUTED_VALUE"""),"H&amp;L")</f>
        <v>H&amp;L</v>
      </c>
      <c r="F279" s="75">
        <f ca="1">IFERROR(__xludf.DUMMYFUNCTION("""COMPUTED_VALUE"""),45990)</f>
        <v>45990</v>
      </c>
      <c r="G279" s="74">
        <f ca="1">IFERROR(__xludf.DUMMYFUNCTION("""COMPUTED_VALUE"""),41)</f>
        <v>41</v>
      </c>
      <c r="H279" s="74">
        <f ca="1">IFERROR(__xludf.DUMMYFUNCTION("""COMPUTED_VALUE"""),57.4)</f>
        <v>57.4</v>
      </c>
      <c r="I279" s="74">
        <f ca="1">IFERROR(__xludf.DUMMYFUNCTION("""COMPUTED_VALUE"""),60)</f>
        <v>60</v>
      </c>
    </row>
    <row r="280" spans="2:9" ht="27" customHeight="1">
      <c r="B280" s="73" t="str">
        <f ca="1">IFERROR(__xludf.DUMMYFUNCTION("""COMPUTED_VALUE"""),"Angiocat 16")</f>
        <v>Angiocat 16</v>
      </c>
      <c r="C280" s="73" t="str">
        <f ca="1">IFERROR(__xludf.DUMMYFUNCTION("""COMPUTED_VALUE"""),"UNIDAD")</f>
        <v>UNIDAD</v>
      </c>
      <c r="D280" s="73"/>
      <c r="E280" s="73" t="str">
        <f ca="1">IFERROR(__xludf.DUMMYFUNCTION("""COMPUTED_VALUE"""),"H&amp;L")</f>
        <v>H&amp;L</v>
      </c>
      <c r="F280" s="75">
        <f ca="1">IFERROR(__xludf.DUMMYFUNCTION("""COMPUTED_VALUE"""),45866)</f>
        <v>45866</v>
      </c>
      <c r="G280" s="74">
        <f ca="1">IFERROR(__xludf.DUMMYFUNCTION("""COMPUTED_VALUE"""),6)</f>
        <v>6</v>
      </c>
      <c r="H280" s="74">
        <f ca="1">IFERROR(__xludf.DUMMYFUNCTION("""COMPUTED_VALUE"""),8.4)</f>
        <v>8.4</v>
      </c>
      <c r="I280" s="74">
        <f ca="1">IFERROR(__xludf.DUMMYFUNCTION("""COMPUTED_VALUE"""),10)</f>
        <v>10</v>
      </c>
    </row>
    <row r="281" spans="2:9" ht="27" customHeight="1">
      <c r="B281" s="73" t="str">
        <f ca="1">IFERROR(__xludf.DUMMYFUNCTION("""COMPUTED_VALUE"""),"Angiocat No. 18")</f>
        <v>Angiocat No. 18</v>
      </c>
      <c r="C281" s="73" t="str">
        <f ca="1">IFERROR(__xludf.DUMMYFUNCTION("""COMPUTED_VALUE"""),"UNIDAD")</f>
        <v>UNIDAD</v>
      </c>
      <c r="D281" s="73"/>
      <c r="E281" s="73" t="str">
        <f ca="1">IFERROR(__xludf.DUMMYFUNCTION("""COMPUTED_VALUE"""),"H&amp;L")</f>
        <v>H&amp;L</v>
      </c>
      <c r="F281" s="75">
        <f ca="1">IFERROR(__xludf.DUMMYFUNCTION("""COMPUTED_VALUE"""),45866)</f>
        <v>45866</v>
      </c>
      <c r="G281" s="74">
        <f ca="1">IFERROR(__xludf.DUMMYFUNCTION("""COMPUTED_VALUE"""),5)</f>
        <v>5</v>
      </c>
      <c r="H281" s="74">
        <f ca="1">IFERROR(__xludf.DUMMYFUNCTION("""COMPUTED_VALUE"""),7)</f>
        <v>7</v>
      </c>
      <c r="I281" s="74">
        <f ca="1">IFERROR(__xludf.DUMMYFUNCTION("""COMPUTED_VALUE"""),10)</f>
        <v>10</v>
      </c>
    </row>
    <row r="282" spans="2:9" ht="27" customHeight="1">
      <c r="B282" s="73" t="str">
        <f ca="1">IFERROR(__xludf.DUMMYFUNCTION("""COMPUTED_VALUE"""),"Angiocat No. 20")</f>
        <v>Angiocat No. 20</v>
      </c>
      <c r="C282" s="73" t="str">
        <f ca="1">IFERROR(__xludf.DUMMYFUNCTION("""COMPUTED_VALUE"""),"UNIDAD")</f>
        <v>UNIDAD</v>
      </c>
      <c r="D282" s="73"/>
      <c r="E282" s="73" t="str">
        <f ca="1">IFERROR(__xludf.DUMMYFUNCTION("""COMPUTED_VALUE"""),"H&amp;L")</f>
        <v>H&amp;L</v>
      </c>
      <c r="F282" s="75">
        <f ca="1">IFERROR(__xludf.DUMMYFUNCTION("""COMPUTED_VALUE"""),45836)</f>
        <v>45836</v>
      </c>
      <c r="G282" s="74">
        <f ca="1">IFERROR(__xludf.DUMMYFUNCTION("""COMPUTED_VALUE"""),5)</f>
        <v>5</v>
      </c>
      <c r="H282" s="74">
        <f ca="1">IFERROR(__xludf.DUMMYFUNCTION("""COMPUTED_VALUE"""),7)</f>
        <v>7</v>
      </c>
      <c r="I282" s="74">
        <f ca="1">IFERROR(__xludf.DUMMYFUNCTION("""COMPUTED_VALUE"""),10)</f>
        <v>10</v>
      </c>
    </row>
    <row r="283" spans="2:9" ht="27" customHeight="1">
      <c r="B283" s="73" t="str">
        <f ca="1">IFERROR(__xludf.DUMMYFUNCTION("""COMPUTED_VALUE"""),"Angiocat No.22")</f>
        <v>Angiocat No.22</v>
      </c>
      <c r="C283" s="73" t="str">
        <f ca="1">IFERROR(__xludf.DUMMYFUNCTION("""COMPUTED_VALUE"""),"UNIDAD")</f>
        <v>UNIDAD</v>
      </c>
      <c r="D283" s="73"/>
      <c r="E283" s="73" t="str">
        <f ca="1">IFERROR(__xludf.DUMMYFUNCTION("""COMPUTED_VALUE"""),"H&amp;L")</f>
        <v>H&amp;L</v>
      </c>
      <c r="F283" s="75">
        <f ca="1">IFERROR(__xludf.DUMMYFUNCTION("""COMPUTED_VALUE"""),45806)</f>
        <v>45806</v>
      </c>
      <c r="G283" s="74">
        <f ca="1">IFERROR(__xludf.DUMMYFUNCTION("""COMPUTED_VALUE"""),5)</f>
        <v>5</v>
      </c>
      <c r="H283" s="74">
        <f ca="1">IFERROR(__xludf.DUMMYFUNCTION("""COMPUTED_VALUE"""),7)</f>
        <v>7</v>
      </c>
      <c r="I283" s="74">
        <f ca="1">IFERROR(__xludf.DUMMYFUNCTION("""COMPUTED_VALUE"""),10)</f>
        <v>10</v>
      </c>
    </row>
    <row r="284" spans="2:9" ht="27" customHeight="1">
      <c r="B284" s="73" t="str">
        <f ca="1">IFERROR(__xludf.DUMMYFUNCTION("""COMPUTED_VALUE"""),"Angiocat No. 24")</f>
        <v>Angiocat No. 24</v>
      </c>
      <c r="C284" s="73" t="str">
        <f ca="1">IFERROR(__xludf.DUMMYFUNCTION("""COMPUTED_VALUE"""),"UNIDAD")</f>
        <v>UNIDAD</v>
      </c>
      <c r="D284" s="73"/>
      <c r="E284" s="73" t="str">
        <f ca="1">IFERROR(__xludf.DUMMYFUNCTION("""COMPUTED_VALUE"""),"H&amp;L")</f>
        <v>H&amp;L</v>
      </c>
      <c r="F284" s="75">
        <f ca="1">IFERROR(__xludf.DUMMYFUNCTION("""COMPUTED_VALUE"""),45837)</f>
        <v>45837</v>
      </c>
      <c r="G284" s="74">
        <f ca="1">IFERROR(__xludf.DUMMYFUNCTION("""COMPUTED_VALUE"""),5)</f>
        <v>5</v>
      </c>
      <c r="H284" s="74">
        <f ca="1">IFERROR(__xludf.DUMMYFUNCTION("""COMPUTED_VALUE"""),7)</f>
        <v>7</v>
      </c>
      <c r="I284" s="74">
        <f ca="1">IFERROR(__xludf.DUMMYFUNCTION("""COMPUTED_VALUE"""),10)</f>
        <v>10</v>
      </c>
    </row>
    <row r="285" spans="2:9" ht="27" customHeight="1">
      <c r="B285" s="73" t="str">
        <f ca="1">IFERROR(__xludf.DUMMYFUNCTION("""COMPUTED_VALUE"""),"Aplicadore de madera")</f>
        <v>Aplicadore de madera</v>
      </c>
      <c r="C285" s="73" t="str">
        <f ca="1">IFERROR(__xludf.DUMMYFUNCTION("""COMPUTED_VALUE"""),"BOLSA")</f>
        <v>BOLSA</v>
      </c>
      <c r="D285" s="73"/>
      <c r="E285" s="73" t="str">
        <f ca="1">IFERROR(__xludf.DUMMYFUNCTION("""COMPUTED_VALUE"""),"H&amp;L")</f>
        <v>H&amp;L</v>
      </c>
      <c r="F285" s="75">
        <f ca="1">IFERROR(__xludf.DUMMYFUNCTION("""COMPUTED_VALUE"""),45928)</f>
        <v>45928</v>
      </c>
      <c r="G285" s="74">
        <f ca="1">IFERROR(__xludf.DUMMYFUNCTION("""COMPUTED_VALUE"""),21.6)</f>
        <v>21.6</v>
      </c>
      <c r="H285" s="74">
        <f ca="1">IFERROR(__xludf.DUMMYFUNCTION("""COMPUTED_VALUE"""),30.24)</f>
        <v>30.24</v>
      </c>
      <c r="I285" s="74">
        <f ca="1">IFERROR(__xludf.DUMMYFUNCTION("""COMPUTED_VALUE"""),35)</f>
        <v>35</v>
      </c>
    </row>
    <row r="286" spans="2:9" ht="27" customHeight="1">
      <c r="B286" s="73" t="str">
        <f ca="1">IFERROR(__xludf.DUMMYFUNCTION("""COMPUTED_VALUE"""),"Baja Lenguas")</f>
        <v>Baja Lenguas</v>
      </c>
      <c r="C286" s="73" t="str">
        <f ca="1">IFERROR(__xludf.DUMMYFUNCTION("""COMPUTED_VALUE"""),"CAJA 100U.")</f>
        <v>CAJA 100U.</v>
      </c>
      <c r="D286" s="73"/>
      <c r="E286" s="73" t="str">
        <f ca="1">IFERROR(__xludf.DUMMYFUNCTION("""COMPUTED_VALUE"""),"H&amp;L")</f>
        <v>H&amp;L</v>
      </c>
      <c r="F286" s="75">
        <f ca="1">IFERROR(__xludf.DUMMYFUNCTION("""COMPUTED_VALUE"""),45958)</f>
        <v>45958</v>
      </c>
      <c r="G286" s="74">
        <f ca="1">IFERROR(__xludf.DUMMYFUNCTION("""COMPUTED_VALUE"""),15)</f>
        <v>15</v>
      </c>
      <c r="H286" s="74">
        <f ca="1">IFERROR(__xludf.DUMMYFUNCTION("""COMPUTED_VALUE"""),21)</f>
        <v>21</v>
      </c>
      <c r="I286" s="74">
        <f ca="1">IFERROR(__xludf.DUMMYFUNCTION("""COMPUTED_VALUE"""),25)</f>
        <v>25</v>
      </c>
    </row>
    <row r="287" spans="2:9" ht="27" customHeight="1">
      <c r="B287" s="73" t="str">
        <f ca="1">IFERROR(__xludf.DUMMYFUNCTION("""COMPUTED_VALUE"""),"Bisturi No. 22")</f>
        <v>Bisturi No. 22</v>
      </c>
      <c r="C287" s="73" t="str">
        <f ca="1">IFERROR(__xludf.DUMMYFUNCTION("""COMPUTED_VALUE"""),"UNIDAD")</f>
        <v>UNIDAD</v>
      </c>
      <c r="D287" s="73"/>
      <c r="E287" s="73" t="str">
        <f ca="1">IFERROR(__xludf.DUMMYFUNCTION("""COMPUTED_VALUE"""),"H&amp;L")</f>
        <v>H&amp;L</v>
      </c>
      <c r="F287" s="75">
        <f ca="1">IFERROR(__xludf.DUMMYFUNCTION("""COMPUTED_VALUE"""),46017)</f>
        <v>46017</v>
      </c>
      <c r="G287" s="74">
        <f ca="1">IFERROR(__xludf.DUMMYFUNCTION("""COMPUTED_VALUE"""),1)</f>
        <v>1</v>
      </c>
      <c r="H287" s="74">
        <f ca="1">IFERROR(__xludf.DUMMYFUNCTION("""COMPUTED_VALUE"""),1.4)</f>
        <v>1.4</v>
      </c>
      <c r="I287" s="74">
        <f ca="1">IFERROR(__xludf.DUMMYFUNCTION("""COMPUTED_VALUE"""),5)</f>
        <v>5</v>
      </c>
    </row>
    <row r="288" spans="2:9" ht="27" customHeight="1">
      <c r="B288" s="73" t="str">
        <f ca="1">IFERROR(__xludf.DUMMYFUNCTION("""COMPUTED_VALUE"""),"Bolsa Rec. De orina")</f>
        <v>Bolsa Rec. De orina</v>
      </c>
      <c r="C288" s="73" t="str">
        <f ca="1">IFERROR(__xludf.DUMMYFUNCTION("""COMPUTED_VALUE"""),"UNIDAD")</f>
        <v>UNIDAD</v>
      </c>
      <c r="D288" s="73"/>
      <c r="E288" s="73" t="str">
        <f ca="1">IFERROR(__xludf.DUMMYFUNCTION("""COMPUTED_VALUE"""),"H&amp;L")</f>
        <v>H&amp;L</v>
      </c>
      <c r="F288" s="75">
        <f ca="1">IFERROR(__xludf.DUMMYFUNCTION("""COMPUTED_VALUE"""),45958)</f>
        <v>45958</v>
      </c>
      <c r="G288" s="74">
        <f ca="1">IFERROR(__xludf.DUMMYFUNCTION("""COMPUTED_VALUE"""),29)</f>
        <v>29</v>
      </c>
      <c r="H288" s="74">
        <f ca="1">IFERROR(__xludf.DUMMYFUNCTION("""COMPUTED_VALUE"""),40.6)</f>
        <v>40.6</v>
      </c>
      <c r="I288" s="74">
        <f ca="1">IFERROR(__xludf.DUMMYFUNCTION("""COMPUTED_VALUE"""),40)</f>
        <v>40</v>
      </c>
    </row>
    <row r="289" spans="2:9" ht="27" customHeight="1">
      <c r="B289" s="73" t="str">
        <f ca="1">IFERROR(__xludf.DUMMYFUNCTION("""COMPUTED_VALUE"""),"Cabestrillo Talla S")</f>
        <v>Cabestrillo Talla S</v>
      </c>
      <c r="C289" s="73" t="str">
        <f ca="1">IFERROR(__xludf.DUMMYFUNCTION("""COMPUTED_VALUE"""),"UNIDAD")</f>
        <v>UNIDAD</v>
      </c>
      <c r="D289" s="73"/>
      <c r="E289" s="73" t="str">
        <f ca="1">IFERROR(__xludf.DUMMYFUNCTION("""COMPUTED_VALUE"""),"H&amp;L")</f>
        <v>H&amp;L</v>
      </c>
      <c r="F289" s="75">
        <f ca="1">IFERROR(__xludf.DUMMYFUNCTION("""COMPUTED_VALUE"""),45989)</f>
        <v>45989</v>
      </c>
      <c r="G289" s="74">
        <f ca="1">IFERROR(__xludf.DUMMYFUNCTION("""COMPUTED_VALUE"""),36.5)</f>
        <v>36.5</v>
      </c>
      <c r="H289" s="74">
        <f ca="1">IFERROR(__xludf.DUMMYFUNCTION("""COMPUTED_VALUE"""),51.1)</f>
        <v>51.1</v>
      </c>
      <c r="I289" s="74">
        <f ca="1">IFERROR(__xludf.DUMMYFUNCTION("""COMPUTED_VALUE"""),60)</f>
        <v>60</v>
      </c>
    </row>
    <row r="290" spans="2:9" ht="27" customHeight="1">
      <c r="B290" s="73" t="str">
        <f ca="1">IFERROR(__xludf.DUMMYFUNCTION("""COMPUTED_VALUE"""),"Cabestrillo Talla M")</f>
        <v>Cabestrillo Talla M</v>
      </c>
      <c r="C290" s="73" t="str">
        <f ca="1">IFERROR(__xludf.DUMMYFUNCTION("""COMPUTED_VALUE"""),"UNIDAD")</f>
        <v>UNIDAD</v>
      </c>
      <c r="D290" s="73"/>
      <c r="E290" s="73" t="str">
        <f ca="1">IFERROR(__xludf.DUMMYFUNCTION("""COMPUTED_VALUE"""),"H&amp;L")</f>
        <v>H&amp;L</v>
      </c>
      <c r="F290" s="75">
        <f ca="1">IFERROR(__xludf.DUMMYFUNCTION("""COMPUTED_VALUE"""),46019)</f>
        <v>46019</v>
      </c>
      <c r="G290" s="74">
        <f ca="1">IFERROR(__xludf.DUMMYFUNCTION("""COMPUTED_VALUE"""),36.5)</f>
        <v>36.5</v>
      </c>
      <c r="H290" s="74">
        <f ca="1">IFERROR(__xludf.DUMMYFUNCTION("""COMPUTED_VALUE"""),51.1)</f>
        <v>51.1</v>
      </c>
      <c r="I290" s="74">
        <f ca="1">IFERROR(__xludf.DUMMYFUNCTION("""COMPUTED_VALUE"""),60)</f>
        <v>60</v>
      </c>
    </row>
    <row r="291" spans="2:9" ht="27" customHeight="1">
      <c r="B291" s="73" t="str">
        <f ca="1">IFERROR(__xludf.DUMMYFUNCTION("""COMPUTED_VALUE"""),"Cabestrillo Talla L")</f>
        <v>Cabestrillo Talla L</v>
      </c>
      <c r="C291" s="73" t="str">
        <f ca="1">IFERROR(__xludf.DUMMYFUNCTION("""COMPUTED_VALUE"""),"UNIDAD")</f>
        <v>UNIDAD</v>
      </c>
      <c r="D291" s="73"/>
      <c r="E291" s="73" t="str">
        <f ca="1">IFERROR(__xludf.DUMMYFUNCTION("""COMPUTED_VALUE"""),"H&amp;L")</f>
        <v>H&amp;L</v>
      </c>
      <c r="F291" s="75">
        <f ca="1">IFERROR(__xludf.DUMMYFUNCTION("""COMPUTED_VALUE"""),45686)</f>
        <v>45686</v>
      </c>
      <c r="G291" s="74">
        <f ca="1">IFERROR(__xludf.DUMMYFUNCTION("""COMPUTED_VALUE"""),36.5)</f>
        <v>36.5</v>
      </c>
      <c r="H291" s="74">
        <f ca="1">IFERROR(__xludf.DUMMYFUNCTION("""COMPUTED_VALUE"""),51.1)</f>
        <v>51.1</v>
      </c>
      <c r="I291" s="74">
        <f ca="1">IFERROR(__xludf.DUMMYFUNCTION("""COMPUTED_VALUE"""),60)</f>
        <v>60</v>
      </c>
    </row>
    <row r="292" spans="2:9" ht="27" customHeight="1">
      <c r="B292" s="73" t="str">
        <f ca="1">IFERROR(__xludf.DUMMYFUNCTION("""COMPUTED_VALUE"""),"Cánula Binasal Pediatrico")</f>
        <v>Cánula Binasal Pediatrico</v>
      </c>
      <c r="C292" s="73" t="str">
        <f ca="1">IFERROR(__xludf.DUMMYFUNCTION("""COMPUTED_VALUE"""),"UNIDAD")</f>
        <v>UNIDAD</v>
      </c>
      <c r="D292" s="73"/>
      <c r="E292" s="73" t="str">
        <f ca="1">IFERROR(__xludf.DUMMYFUNCTION("""COMPUTED_VALUE"""),"H&amp;L")</f>
        <v>H&amp;L</v>
      </c>
      <c r="F292" s="73" t="str">
        <f ca="1">IFERROR(__xludf.DUMMYFUNCTION("""COMPUTED_VALUE"""),"feb-29")</f>
        <v>feb-29</v>
      </c>
      <c r="G292" s="74">
        <f ca="1">IFERROR(__xludf.DUMMYFUNCTION("""COMPUTED_VALUE"""),12)</f>
        <v>12</v>
      </c>
      <c r="H292" s="74">
        <f ca="1">IFERROR(__xludf.DUMMYFUNCTION("""COMPUTED_VALUE"""),16.8)</f>
        <v>16.8</v>
      </c>
      <c r="I292" s="74">
        <f ca="1">IFERROR(__xludf.DUMMYFUNCTION("""COMPUTED_VALUE"""),20)</f>
        <v>20</v>
      </c>
    </row>
    <row r="293" spans="2:9" ht="27" customHeight="1">
      <c r="B293" s="73" t="str">
        <f ca="1">IFERROR(__xludf.DUMMYFUNCTION("""COMPUTED_VALUE"""),"Cánula Binasal Adulto")</f>
        <v>Cánula Binasal Adulto</v>
      </c>
      <c r="C293" s="73" t="str">
        <f ca="1">IFERROR(__xludf.DUMMYFUNCTION("""COMPUTED_VALUE"""),"UNIDAD")</f>
        <v>UNIDAD</v>
      </c>
      <c r="D293" s="73"/>
      <c r="E293" s="73" t="str">
        <f ca="1">IFERROR(__xludf.DUMMYFUNCTION("""COMPUTED_VALUE"""),"H&amp;L")</f>
        <v>H&amp;L</v>
      </c>
      <c r="F293" s="75">
        <f ca="1">IFERROR(__xludf.DUMMYFUNCTION("""COMPUTED_VALUE"""),45745)</f>
        <v>45745</v>
      </c>
      <c r="G293" s="74">
        <f ca="1">IFERROR(__xludf.DUMMYFUNCTION("""COMPUTED_VALUE"""),12)</f>
        <v>12</v>
      </c>
      <c r="H293" s="74">
        <f ca="1">IFERROR(__xludf.DUMMYFUNCTION("""COMPUTED_VALUE"""),16.8)</f>
        <v>16.8</v>
      </c>
      <c r="I293" s="74">
        <f ca="1">IFERROR(__xludf.DUMMYFUNCTION("""COMPUTED_VALUE"""),20)</f>
        <v>20</v>
      </c>
    </row>
    <row r="294" spans="2:9" ht="27" customHeight="1">
      <c r="B294" s="73" t="str">
        <f ca="1">IFERROR(__xludf.DUMMYFUNCTION("""COMPUTED_VALUE"""),"Cal sodada")</f>
        <v>Cal sodada</v>
      </c>
      <c r="C294" s="73" t="str">
        <f ca="1">IFERROR(__xludf.DUMMYFUNCTION("""COMPUTED_VALUE"""),"GALÓN")</f>
        <v>GALÓN</v>
      </c>
      <c r="D294" s="73"/>
      <c r="E294" s="73" t="str">
        <f ca="1">IFERROR(__xludf.DUMMYFUNCTION("""COMPUTED_VALUE"""),"luis")</f>
        <v>luis</v>
      </c>
      <c r="F294" s="75">
        <f ca="1">IFERROR(__xludf.DUMMYFUNCTION("""COMPUTED_VALUE"""),45776)</f>
        <v>45776</v>
      </c>
      <c r="G294" s="74">
        <f ca="1">IFERROR(__xludf.DUMMYFUNCTION("""COMPUTED_VALUE"""),350)</f>
        <v>350</v>
      </c>
      <c r="H294" s="74">
        <f ca="1">IFERROR(__xludf.DUMMYFUNCTION("""COMPUTED_VALUE"""),490)</f>
        <v>490</v>
      </c>
      <c r="I294" s="74">
        <f ca="1">IFERROR(__xludf.DUMMYFUNCTION("""COMPUTED_VALUE"""),500)</f>
        <v>500</v>
      </c>
    </row>
    <row r="295" spans="2:9" ht="27" customHeight="1">
      <c r="B295" s="73" t="str">
        <f ca="1">IFERROR(__xludf.DUMMYFUNCTION("""COMPUTED_VALUE"""),"Cinta de testigo")</f>
        <v>Cinta de testigo</v>
      </c>
      <c r="C295" s="73" t="str">
        <f ca="1">IFERROR(__xludf.DUMMYFUNCTION("""COMPUTED_VALUE"""),"UNIDAD")</f>
        <v>UNIDAD</v>
      </c>
      <c r="D295" s="73"/>
      <c r="E295" s="73" t="str">
        <f ca="1">IFERROR(__xludf.DUMMYFUNCTION("""COMPUTED_VALUE"""),"PROVEEDORA QUIRÚRGICA")</f>
        <v>PROVEEDORA QUIRÚRGICA</v>
      </c>
      <c r="F295" s="75">
        <f ca="1">IFERROR(__xludf.DUMMYFUNCTION("""COMPUTED_VALUE"""),45806)</f>
        <v>45806</v>
      </c>
      <c r="G295" s="74">
        <f ca="1">IFERROR(__xludf.DUMMYFUNCTION("""COMPUTED_VALUE"""),85)</f>
        <v>85</v>
      </c>
      <c r="H295" s="74">
        <f ca="1">IFERROR(__xludf.DUMMYFUNCTION("""COMPUTED_VALUE"""),119)</f>
        <v>119</v>
      </c>
      <c r="I295" s="74">
        <f ca="1">IFERROR(__xludf.DUMMYFUNCTION("""COMPUTED_VALUE"""),120)</f>
        <v>120</v>
      </c>
    </row>
    <row r="296" spans="2:9" ht="27" customHeight="1">
      <c r="B296" s="73" t="str">
        <f ca="1">IFERROR(__xludf.DUMMYFUNCTION("""COMPUTED_VALUE"""),"Empower")</f>
        <v>Empower</v>
      </c>
      <c r="C296" s="73" t="str">
        <f ca="1">IFERROR(__xludf.DUMMYFUNCTION("""COMPUTED_VALUE"""),"GALÓN")</f>
        <v>GALÓN</v>
      </c>
      <c r="D296" s="73"/>
      <c r="E296" s="73" t="str">
        <f ca="1">IFERROR(__xludf.DUMMYFUNCTION("""COMPUTED_VALUE"""),"PROVEEDORA QUIRÚRGICA")</f>
        <v>PROVEEDORA QUIRÚRGICA</v>
      </c>
      <c r="F296" s="75">
        <f ca="1">IFERROR(__xludf.DUMMYFUNCTION("""COMPUTED_VALUE"""),45837)</f>
        <v>45837</v>
      </c>
      <c r="G296" s="74">
        <f ca="1">IFERROR(__xludf.DUMMYFUNCTION("""COMPUTED_VALUE"""),425)</f>
        <v>425</v>
      </c>
      <c r="H296" s="74">
        <f ca="1">IFERROR(__xludf.DUMMYFUNCTION("""COMPUTED_VALUE"""),595)</f>
        <v>595</v>
      </c>
      <c r="I296" s="74">
        <f ca="1">IFERROR(__xludf.DUMMYFUNCTION("""COMPUTED_VALUE"""),600)</f>
        <v>600</v>
      </c>
    </row>
    <row r="297" spans="2:9" ht="27" customHeight="1">
      <c r="B297" s="73" t="str">
        <f ca="1">IFERROR(__xludf.DUMMYFUNCTION("""COMPUTED_VALUE"""),"Equipo de suero para Bomba")</f>
        <v>Equipo de suero para Bomba</v>
      </c>
      <c r="C297" s="73" t="str">
        <f ca="1">IFERROR(__xludf.DUMMYFUNCTION("""COMPUTED_VALUE"""),"UNIDAD")</f>
        <v>UNIDAD</v>
      </c>
      <c r="D297" s="73"/>
      <c r="E297" s="73" t="str">
        <f ca="1">IFERROR(__xludf.DUMMYFUNCTION("""COMPUTED_VALUE"""),"H&amp;L")</f>
        <v>H&amp;L</v>
      </c>
      <c r="F297" s="75">
        <f ca="1">IFERROR(__xludf.DUMMYFUNCTION("""COMPUTED_VALUE"""),45864)</f>
        <v>45864</v>
      </c>
      <c r="G297" s="74">
        <f ca="1">IFERROR(__xludf.DUMMYFUNCTION("""COMPUTED_VALUE"""),52)</f>
        <v>52</v>
      </c>
      <c r="H297" s="74">
        <f ca="1">IFERROR(__xludf.DUMMYFUNCTION("""COMPUTED_VALUE"""),72.8)</f>
        <v>72.8</v>
      </c>
      <c r="I297" s="74">
        <f ca="1">IFERROR(__xludf.DUMMYFUNCTION("""COMPUTED_VALUE"""),75)</f>
        <v>75</v>
      </c>
    </row>
    <row r="298" spans="2:9" ht="27" customHeight="1">
      <c r="B298" s="73" t="str">
        <f ca="1">IFERROR(__xludf.DUMMYFUNCTION("""COMPUTED_VALUE"""),"Enema Fleet")</f>
        <v>Enema Fleet</v>
      </c>
      <c r="C298" s="73" t="str">
        <f ca="1">IFERROR(__xludf.DUMMYFUNCTION("""COMPUTED_VALUE"""),"UNIDAD")</f>
        <v>UNIDAD</v>
      </c>
      <c r="D298" s="73"/>
      <c r="E298" s="73" t="str">
        <f ca="1">IFERROR(__xludf.DUMMYFUNCTION("""COMPUTED_VALUE"""),"H&amp;L")</f>
        <v>H&amp;L</v>
      </c>
      <c r="F298" s="75">
        <f ca="1">IFERROR(__xludf.DUMMYFUNCTION("""COMPUTED_VALUE"""),45989)</f>
        <v>45989</v>
      </c>
      <c r="G298" s="74">
        <f ca="1">IFERROR(__xludf.DUMMYFUNCTION("""COMPUTED_VALUE"""),27.9)</f>
        <v>27.9</v>
      </c>
      <c r="H298" s="74">
        <f ca="1">IFERROR(__xludf.DUMMYFUNCTION("""COMPUTED_VALUE"""),39.06)</f>
        <v>39.06</v>
      </c>
      <c r="I298" s="74">
        <f ca="1">IFERROR(__xludf.DUMMYFUNCTION("""COMPUTED_VALUE"""),45)</f>
        <v>45</v>
      </c>
    </row>
    <row r="299" spans="2:9" ht="27" customHeight="1">
      <c r="B299" s="73" t="str">
        <f ca="1">IFERROR(__xludf.DUMMYFUNCTION("""COMPUTED_VALUE"""),"Equipo de suero")</f>
        <v>Equipo de suero</v>
      </c>
      <c r="C299" s="73" t="str">
        <f ca="1">IFERROR(__xludf.DUMMYFUNCTION("""COMPUTED_VALUE"""),"UNIDAD")</f>
        <v>UNIDAD</v>
      </c>
      <c r="D299" s="73"/>
      <c r="E299" s="73" t="str">
        <f ca="1">IFERROR(__xludf.DUMMYFUNCTION("""COMPUTED_VALUE"""),"H&amp;L")</f>
        <v>H&amp;L</v>
      </c>
      <c r="F299" s="75">
        <f ca="1">IFERROR(__xludf.DUMMYFUNCTION("""COMPUTED_VALUE"""),45926)</f>
        <v>45926</v>
      </c>
      <c r="G299" s="74">
        <f ca="1">IFERROR(__xludf.DUMMYFUNCTION("""COMPUTED_VALUE"""),6)</f>
        <v>6</v>
      </c>
      <c r="H299" s="74">
        <f ca="1">IFERROR(__xludf.DUMMYFUNCTION("""COMPUTED_VALUE"""),8.4)</f>
        <v>8.4</v>
      </c>
      <c r="I299" s="74">
        <f ca="1">IFERROR(__xludf.DUMMYFUNCTION("""COMPUTED_VALUE"""),10)</f>
        <v>10</v>
      </c>
    </row>
    <row r="300" spans="2:9" ht="27" customHeight="1">
      <c r="B300" s="73" t="str">
        <f ca="1">IFERROR(__xludf.DUMMYFUNCTION("""COMPUTED_VALUE"""),"Equipo Flebotek Ambar")</f>
        <v>Equipo Flebotek Ambar</v>
      </c>
      <c r="C300" s="73" t="str">
        <f ca="1">IFERROR(__xludf.DUMMYFUNCTION("""COMPUTED_VALUE"""),"UNIDAD")</f>
        <v>UNIDAD</v>
      </c>
      <c r="D300" s="73"/>
      <c r="E300" s="73" t="str">
        <f ca="1">IFERROR(__xludf.DUMMYFUNCTION("""COMPUTED_VALUE"""),"PISA")</f>
        <v>PISA</v>
      </c>
      <c r="F300" s="75">
        <f ca="1">IFERROR(__xludf.DUMMYFUNCTION("""COMPUTED_VALUE"""),45867)</f>
        <v>45867</v>
      </c>
      <c r="G300" s="74">
        <f ca="1">IFERROR(__xludf.DUMMYFUNCTION("""COMPUTED_VALUE"""),52)</f>
        <v>52</v>
      </c>
      <c r="H300" s="74">
        <f ca="1">IFERROR(__xludf.DUMMYFUNCTION("""COMPUTED_VALUE"""),72.8)</f>
        <v>72.8</v>
      </c>
      <c r="I300" s="74">
        <f ca="1">IFERROR(__xludf.DUMMYFUNCTION("""COMPUTED_VALUE"""),75)</f>
        <v>75</v>
      </c>
    </row>
    <row r="301" spans="2:9" ht="27" customHeight="1">
      <c r="B301" s="73" t="str">
        <f ca="1">IFERROR(__xludf.DUMMYFUNCTION("""COMPUTED_VALUE"""),"Electrodos para EKG")</f>
        <v>Electrodos para EKG</v>
      </c>
      <c r="C301" s="73" t="str">
        <f ca="1">IFERROR(__xludf.DUMMYFUNCTION("""COMPUTED_VALUE"""),"BOLSA 50U.")</f>
        <v>BOLSA 50U.</v>
      </c>
      <c r="D301" s="73"/>
      <c r="E301" s="73"/>
      <c r="F301" s="75">
        <f ca="1">IFERROR(__xludf.DUMMYFUNCTION("""COMPUTED_VALUE"""),45834)</f>
        <v>45834</v>
      </c>
      <c r="G301" s="74">
        <f ca="1">IFERROR(__xludf.DUMMYFUNCTION("""COMPUTED_VALUE"""),66.5)</f>
        <v>66.5</v>
      </c>
      <c r="H301" s="74">
        <f ca="1">IFERROR(__xludf.DUMMYFUNCTION("""COMPUTED_VALUE"""),93.1)</f>
        <v>93.1</v>
      </c>
      <c r="I301" s="74">
        <f ca="1">IFERROR(__xludf.DUMMYFUNCTION("""COMPUTED_VALUE"""),95)</f>
        <v>95</v>
      </c>
    </row>
    <row r="302" spans="2:9" ht="27" customHeight="1">
      <c r="B302" s="73" t="str">
        <f ca="1">IFERROR(__xludf.DUMMYFUNCTION("""COMPUTED_VALUE"""),"Espéculos Talla Small")</f>
        <v>Espéculos Talla Small</v>
      </c>
      <c r="C302" s="73" t="str">
        <f ca="1">IFERROR(__xludf.DUMMYFUNCTION("""COMPUTED_VALUE"""),"UNIDAD")</f>
        <v>UNIDAD</v>
      </c>
      <c r="D302" s="73"/>
      <c r="E302" s="73" t="str">
        <f ca="1">IFERROR(__xludf.DUMMYFUNCTION("""COMPUTED_VALUE"""),"BIOTHICAL")</f>
        <v>BIOTHICAL</v>
      </c>
      <c r="F302" s="73"/>
      <c r="G302" s="74">
        <f ca="1">IFERROR(__xludf.DUMMYFUNCTION("""COMPUTED_VALUE"""),6.3)</f>
        <v>6.3</v>
      </c>
      <c r="H302" s="74">
        <f ca="1">IFERROR(__xludf.DUMMYFUNCTION("""COMPUTED_VALUE"""),8.82)</f>
        <v>8.82</v>
      </c>
      <c r="I302" s="74">
        <f ca="1">IFERROR(__xludf.DUMMYFUNCTION("""COMPUTED_VALUE"""),10)</f>
        <v>10</v>
      </c>
    </row>
    <row r="303" spans="2:9" ht="27" customHeight="1">
      <c r="B303" s="73" t="str">
        <f ca="1">IFERROR(__xludf.DUMMYFUNCTION("""COMPUTED_VALUE"""),"Espéculos vaginales T.M")</f>
        <v>Espéculos vaginales T.M</v>
      </c>
      <c r="C303" s="73" t="str">
        <f ca="1">IFERROR(__xludf.DUMMYFUNCTION("""COMPUTED_VALUE"""),"UNIDAD")</f>
        <v>UNIDAD</v>
      </c>
      <c r="D303" s="73"/>
      <c r="E303" s="73" t="str">
        <f ca="1">IFERROR(__xludf.DUMMYFUNCTION("""COMPUTED_VALUE"""),"BIOTHICAL")</f>
        <v>BIOTHICAL</v>
      </c>
      <c r="F303" s="75">
        <f ca="1">IFERROR(__xludf.DUMMYFUNCTION("""COMPUTED_VALUE"""),45776)</f>
        <v>45776</v>
      </c>
      <c r="G303" s="74">
        <f ca="1">IFERROR(__xludf.DUMMYFUNCTION("""COMPUTED_VALUE"""),6.3)</f>
        <v>6.3</v>
      </c>
      <c r="H303" s="74">
        <f ca="1">IFERROR(__xludf.DUMMYFUNCTION("""COMPUTED_VALUE"""),8.82)</f>
        <v>8.82</v>
      </c>
      <c r="I303" s="74">
        <f ca="1">IFERROR(__xludf.DUMMYFUNCTION("""COMPUTED_VALUE"""),10)</f>
        <v>10</v>
      </c>
    </row>
    <row r="304" spans="2:9" ht="27" customHeight="1">
      <c r="B304" s="73" t="str">
        <f ca="1">IFERROR(__xludf.DUMMYFUNCTION("""COMPUTED_VALUE"""),"Espéculos vaginalesT. L")</f>
        <v>Espéculos vaginalesT. L</v>
      </c>
      <c r="C304" s="73" t="str">
        <f ca="1">IFERROR(__xludf.DUMMYFUNCTION("""COMPUTED_VALUE"""),"UNIDAD")</f>
        <v>UNIDAD</v>
      </c>
      <c r="D304" s="73"/>
      <c r="E304" s="73" t="str">
        <f ca="1">IFERROR(__xludf.DUMMYFUNCTION("""COMPUTED_VALUE"""),"BIOTHICAL")</f>
        <v>BIOTHICAL</v>
      </c>
      <c r="F304" s="75">
        <f ca="1">IFERROR(__xludf.DUMMYFUNCTION("""COMPUTED_VALUE"""),45686)</f>
        <v>45686</v>
      </c>
      <c r="G304" s="74">
        <f ca="1">IFERROR(__xludf.DUMMYFUNCTION("""COMPUTED_VALUE"""),6.3)</f>
        <v>6.3</v>
      </c>
      <c r="H304" s="74">
        <f ca="1">IFERROR(__xludf.DUMMYFUNCTION("""COMPUTED_VALUE"""),8.82)</f>
        <v>8.82</v>
      </c>
      <c r="I304" s="74">
        <f ca="1">IFERROR(__xludf.DUMMYFUNCTION("""COMPUTED_VALUE"""),10)</f>
        <v>10</v>
      </c>
    </row>
    <row r="305" spans="2:9" ht="27" customHeight="1">
      <c r="B305" s="73" t="str">
        <f ca="1">IFERROR(__xludf.DUMMYFUNCTION("""COMPUTED_VALUE"""),"Formucide Dic")</f>
        <v>Formucide Dic</v>
      </c>
      <c r="C305" s="73" t="str">
        <f ca="1">IFERROR(__xludf.DUMMYFUNCTION("""COMPUTED_VALUE"""),"Galon")</f>
        <v>Galon</v>
      </c>
      <c r="D305" s="73"/>
      <c r="E305" s="73" t="str">
        <f ca="1">IFERROR(__xludf.DUMMYFUNCTION("""COMPUTED_VALUE"""),"PROVEEDORA QUIRÚRGICA")</f>
        <v>PROVEEDORA QUIRÚRGICA</v>
      </c>
      <c r="F305" s="75">
        <f ca="1">IFERROR(__xludf.DUMMYFUNCTION("""COMPUTED_VALUE"""),45897)</f>
        <v>45897</v>
      </c>
      <c r="G305" s="74">
        <f ca="1">IFERROR(__xludf.DUMMYFUNCTION("""COMPUTED_VALUE"""),180)</f>
        <v>180</v>
      </c>
      <c r="H305" s="74">
        <f ca="1">IFERROR(__xludf.DUMMYFUNCTION("""COMPUTED_VALUE"""),252)</f>
        <v>252</v>
      </c>
      <c r="I305" s="74">
        <f ca="1">IFERROR(__xludf.DUMMYFUNCTION("""COMPUTED_VALUE"""),255)</f>
        <v>255</v>
      </c>
    </row>
    <row r="306" spans="2:9" ht="27" customHeight="1">
      <c r="B306" s="73" t="str">
        <f ca="1">IFERROR(__xludf.DUMMYFUNCTION("""COMPUTED_VALUE"""),"Formol Galón")</f>
        <v>Formol Galón</v>
      </c>
      <c r="C306" s="73" t="str">
        <f ca="1">IFERROR(__xludf.DUMMYFUNCTION("""COMPUTED_VALUE"""),"Galón")</f>
        <v>Galón</v>
      </c>
      <c r="D306" s="73"/>
      <c r="E306" s="73"/>
      <c r="F306" s="75">
        <f ca="1">IFERROR(__xludf.DUMMYFUNCTION("""COMPUTED_VALUE"""),45686)</f>
        <v>45686</v>
      </c>
      <c r="G306" s="74">
        <f ca="1">IFERROR(__xludf.DUMMYFUNCTION("""COMPUTED_VALUE"""),120)</f>
        <v>120</v>
      </c>
      <c r="H306" s="74">
        <f ca="1">IFERROR(__xludf.DUMMYFUNCTION("""COMPUTED_VALUE"""),168)</f>
        <v>168</v>
      </c>
      <c r="I306" s="74">
        <f ca="1">IFERROR(__xludf.DUMMYFUNCTION("""COMPUTED_VALUE"""),170)</f>
        <v>170</v>
      </c>
    </row>
    <row r="307" spans="2:9" ht="27" customHeight="1">
      <c r="B307" s="73" t="str">
        <f ca="1">IFERROR(__xludf.DUMMYFUNCTION("""COMPUTED_VALUE"""),"Formuex galon")</f>
        <v>Formuex galon</v>
      </c>
      <c r="C307" s="73" t="str">
        <f ca="1">IFERROR(__xludf.DUMMYFUNCTION("""COMPUTED_VALUE"""),"Galón")</f>
        <v>Galón</v>
      </c>
      <c r="D307" s="73"/>
      <c r="E307" s="73"/>
      <c r="F307" s="73"/>
      <c r="G307" s="74">
        <f ca="1">IFERROR(__xludf.DUMMYFUNCTION("""COMPUTED_VALUE"""),262)</f>
        <v>262</v>
      </c>
      <c r="H307" s="74">
        <f ca="1">IFERROR(__xludf.DUMMYFUNCTION("""COMPUTED_VALUE"""),366.8)</f>
        <v>366.8</v>
      </c>
      <c r="I307" s="74">
        <f ca="1">IFERROR(__xludf.DUMMYFUNCTION("""COMPUTED_VALUE"""),340)</f>
        <v>340</v>
      </c>
    </row>
    <row r="308" spans="2:9" ht="27" customHeight="1">
      <c r="B308" s="73" t="str">
        <f ca="1">IFERROR(__xludf.DUMMYFUNCTION("""COMPUTED_VALUE"""),"Glucocide Galon")</f>
        <v>Glucocide Galon</v>
      </c>
      <c r="C308" s="73" t="str">
        <f ca="1">IFERROR(__xludf.DUMMYFUNCTION("""COMPUTED_VALUE"""),"Galón")</f>
        <v>Galón</v>
      </c>
      <c r="D308" s="73"/>
      <c r="E308" s="73" t="str">
        <f ca="1">IFERROR(__xludf.DUMMYFUNCTION("""COMPUTED_VALUE"""),"H&amp;L")</f>
        <v>H&amp;L</v>
      </c>
      <c r="F308" s="73"/>
      <c r="G308" s="74">
        <f ca="1">IFERROR(__xludf.DUMMYFUNCTION("""COMPUTED_VALUE"""),165)</f>
        <v>165</v>
      </c>
      <c r="H308" s="74">
        <f ca="1">IFERROR(__xludf.DUMMYFUNCTION("""COMPUTED_VALUE"""),231)</f>
        <v>231</v>
      </c>
      <c r="I308" s="74">
        <f ca="1">IFERROR(__xludf.DUMMYFUNCTION("""COMPUTED_VALUE"""),235)</f>
        <v>235</v>
      </c>
    </row>
    <row r="309" spans="2:9" ht="27" customHeight="1">
      <c r="B309" s="73" t="str">
        <f ca="1">IFERROR(__xludf.DUMMYFUNCTION("""COMPUTED_VALUE"""),"Gaza")</f>
        <v>Gaza</v>
      </c>
      <c r="C309" s="73" t="str">
        <f ca="1">IFERROR(__xludf.DUMMYFUNCTION("""COMPUTED_VALUE"""),"Pieza 36 Ydas.")</f>
        <v>Pieza 36 Ydas.</v>
      </c>
      <c r="D309" s="73"/>
      <c r="E309" s="73" t="str">
        <f ca="1">IFERROR(__xludf.DUMMYFUNCTION("""COMPUTED_VALUE"""),"H&amp;L")</f>
        <v>H&amp;L</v>
      </c>
      <c r="F309" s="73"/>
      <c r="G309" s="74">
        <f ca="1">IFERROR(__xludf.DUMMYFUNCTION("""COMPUTED_VALUE"""),195)</f>
        <v>195</v>
      </c>
      <c r="H309" s="74">
        <f ca="1">IFERROR(__xludf.DUMMYFUNCTION("""COMPUTED_VALUE"""),273)</f>
        <v>273</v>
      </c>
      <c r="I309" s="74">
        <f ca="1">IFERROR(__xludf.DUMMYFUNCTION("""COMPUTED_VALUE"""),275)</f>
        <v>275</v>
      </c>
    </row>
    <row r="310" spans="2:9" ht="27" customHeight="1">
      <c r="B310" s="73" t="str">
        <f ca="1">IFERROR(__xludf.DUMMYFUNCTION("""COMPUTED_VALUE"""),"Glucometro monitor")</f>
        <v>Glucometro monitor</v>
      </c>
      <c r="C310" s="73" t="str">
        <f ca="1">IFERROR(__xludf.DUMMYFUNCTION("""COMPUTED_VALUE"""),"Unidad")</f>
        <v>Unidad</v>
      </c>
      <c r="D310" s="73"/>
      <c r="E310" s="73" t="str">
        <f ca="1">IFERROR(__xludf.DUMMYFUNCTION("""COMPUTED_VALUE"""),"DASA")</f>
        <v>DASA</v>
      </c>
      <c r="F310" s="75">
        <f ca="1">IFERROR(__xludf.DUMMYFUNCTION("""COMPUTED_VALUE"""),45867)</f>
        <v>45867</v>
      </c>
      <c r="G310" s="74">
        <f ca="1">IFERROR(__xludf.DUMMYFUNCTION("""COMPUTED_VALUE"""),178)</f>
        <v>178</v>
      </c>
      <c r="H310" s="74">
        <f ca="1">IFERROR(__xludf.DUMMYFUNCTION("""COMPUTED_VALUE"""),249.2)</f>
        <v>249.2</v>
      </c>
      <c r="I310" s="74">
        <f ca="1">IFERROR(__xludf.DUMMYFUNCTION("""COMPUTED_VALUE"""),250)</f>
        <v>250</v>
      </c>
    </row>
    <row r="311" spans="2:9" ht="27" customHeight="1">
      <c r="B311" s="73" t="str">
        <f ca="1">IFERROR(__xludf.DUMMYFUNCTION("""COMPUTED_VALUE"""),"Guantes desc. talla M")</f>
        <v>Guantes desc. talla M</v>
      </c>
      <c r="C311" s="73" t="str">
        <f ca="1">IFERROR(__xludf.DUMMYFUNCTION("""COMPUTED_VALUE"""),"caja 50 pares")</f>
        <v>caja 50 pares</v>
      </c>
      <c r="D311" s="73"/>
      <c r="E311" s="73" t="str">
        <f ca="1">IFERROR(__xludf.DUMMYFUNCTION("""COMPUTED_VALUE"""),"H&amp;L")</f>
        <v>H&amp;L</v>
      </c>
      <c r="F311" s="73"/>
      <c r="G311" s="74">
        <f ca="1">IFERROR(__xludf.DUMMYFUNCTION("""COMPUTED_VALUE"""),34)</f>
        <v>34</v>
      </c>
      <c r="H311" s="74">
        <f ca="1">IFERROR(__xludf.DUMMYFUNCTION("""COMPUTED_VALUE"""),47.6)</f>
        <v>47.6</v>
      </c>
      <c r="I311" s="74">
        <f ca="1">IFERROR(__xludf.DUMMYFUNCTION("""COMPUTED_VALUE"""),50)</f>
        <v>50</v>
      </c>
    </row>
    <row r="312" spans="2:9" ht="27" customHeight="1">
      <c r="B312" s="73" t="str">
        <f ca="1">IFERROR(__xludf.DUMMYFUNCTION("""COMPUTED_VALUE"""),"Guantes Qx. No. 6 1/2")</f>
        <v>Guantes Qx. No. 6 1/2</v>
      </c>
      <c r="C312" s="73" t="str">
        <f ca="1">IFERROR(__xludf.DUMMYFUNCTION("""COMPUTED_VALUE"""),"caja 50 pares")</f>
        <v>caja 50 pares</v>
      </c>
      <c r="D312" s="73"/>
      <c r="E312" s="73" t="str">
        <f ca="1">IFERROR(__xludf.DUMMYFUNCTION("""COMPUTED_VALUE"""),"QUALITY")</f>
        <v>QUALITY</v>
      </c>
      <c r="F312" s="75">
        <f ca="1">IFERROR(__xludf.DUMMYFUNCTION("""COMPUTED_VALUE"""),45867)</f>
        <v>45867</v>
      </c>
      <c r="G312" s="74">
        <f ca="1">IFERROR(__xludf.DUMMYFUNCTION("""COMPUTED_VALUE"""),190)</f>
        <v>190</v>
      </c>
      <c r="H312" s="74">
        <f ca="1">IFERROR(__xludf.DUMMYFUNCTION("""COMPUTED_VALUE"""),266)</f>
        <v>266</v>
      </c>
      <c r="I312" s="74">
        <f ca="1">IFERROR(__xludf.DUMMYFUNCTION("""COMPUTED_VALUE"""),270)</f>
        <v>270</v>
      </c>
    </row>
    <row r="313" spans="2:9" ht="27" customHeight="1">
      <c r="B313" s="73" t="str">
        <f ca="1">IFERROR(__xludf.DUMMYFUNCTION("""COMPUTED_VALUE"""),"Guantes Qx. No. 7.")</f>
        <v>Guantes Qx. No. 7.</v>
      </c>
      <c r="C313" s="73" t="str">
        <f ca="1">IFERROR(__xludf.DUMMYFUNCTION("""COMPUTED_VALUE"""),"caja 50 pares")</f>
        <v>caja 50 pares</v>
      </c>
      <c r="D313" s="73"/>
      <c r="E313" s="73" t="str">
        <f ca="1">IFERROR(__xludf.DUMMYFUNCTION("""COMPUTED_VALUE"""),"H&amp;L")</f>
        <v>H&amp;L</v>
      </c>
      <c r="F313" s="73"/>
      <c r="G313" s="74">
        <f ca="1">IFERROR(__xludf.DUMMYFUNCTION("""COMPUTED_VALUE"""),190)</f>
        <v>190</v>
      </c>
      <c r="H313" s="74">
        <f ca="1">IFERROR(__xludf.DUMMYFUNCTION("""COMPUTED_VALUE"""),266)</f>
        <v>266</v>
      </c>
      <c r="I313" s="74">
        <f ca="1">IFERROR(__xludf.DUMMYFUNCTION("""COMPUTED_VALUE"""),270)</f>
        <v>270</v>
      </c>
    </row>
    <row r="314" spans="2:9" ht="27" customHeight="1">
      <c r="B314" s="73" t="str">
        <f ca="1">IFERROR(__xludf.DUMMYFUNCTION("""COMPUTED_VALUE"""),"Guantes QX. No. 7 1/2")</f>
        <v>Guantes QX. No. 7 1/2</v>
      </c>
      <c r="C314" s="73" t="str">
        <f ca="1">IFERROR(__xludf.DUMMYFUNCTION("""COMPUTED_VALUE"""),"caja 50 pares")</f>
        <v>caja 50 pares</v>
      </c>
      <c r="D314" s="73"/>
      <c r="E314" s="73" t="str">
        <f ca="1">IFERROR(__xludf.DUMMYFUNCTION("""COMPUTED_VALUE"""),"H&amp;L")</f>
        <v>H&amp;L</v>
      </c>
      <c r="F314" s="75">
        <f ca="1">IFERROR(__xludf.DUMMYFUNCTION("""COMPUTED_VALUE"""),45776)</f>
        <v>45776</v>
      </c>
      <c r="G314" s="74">
        <f ca="1">IFERROR(__xludf.DUMMYFUNCTION("""COMPUTED_VALUE"""),200)</f>
        <v>200</v>
      </c>
      <c r="H314" s="74">
        <f ca="1">IFERROR(__xludf.DUMMYFUNCTION("""COMPUTED_VALUE"""),280)</f>
        <v>280</v>
      </c>
      <c r="I314" s="74">
        <f ca="1">IFERROR(__xludf.DUMMYFUNCTION("""COMPUTED_VALUE"""),300)</f>
        <v>300</v>
      </c>
    </row>
    <row r="315" spans="2:9" ht="27" customHeight="1">
      <c r="B315" s="73" t="str">
        <f ca="1">IFERROR(__xludf.DUMMYFUNCTION("""COMPUTED_VALUE"""),"Hilo Nylon 1-0")</f>
        <v>Hilo Nylon 1-0</v>
      </c>
      <c r="C315" s="73" t="str">
        <f ca="1">IFERROR(__xludf.DUMMYFUNCTION("""COMPUTED_VALUE"""),"Unidad")</f>
        <v>Unidad</v>
      </c>
      <c r="D315" s="73"/>
      <c r="E315" s="73" t="str">
        <f ca="1">IFERROR(__xludf.DUMMYFUNCTION("""COMPUTED_VALUE"""),"JOSE GUILLERMO")</f>
        <v>JOSE GUILLERMO</v>
      </c>
      <c r="F315" s="75">
        <f ca="1">IFERROR(__xludf.DUMMYFUNCTION("""COMPUTED_VALUE"""),45776)</f>
        <v>45776</v>
      </c>
      <c r="G315" s="74">
        <f ca="1">IFERROR(__xludf.DUMMYFUNCTION("""COMPUTED_VALUE"""),12.25)</f>
        <v>12.25</v>
      </c>
      <c r="H315" s="74">
        <f ca="1">IFERROR(__xludf.DUMMYFUNCTION("""COMPUTED_VALUE"""),17.15)</f>
        <v>17.149999999999999</v>
      </c>
      <c r="I315" s="74">
        <f ca="1">IFERROR(__xludf.DUMMYFUNCTION("""COMPUTED_VALUE"""),20)</f>
        <v>20</v>
      </c>
    </row>
    <row r="316" spans="2:9" ht="27" customHeight="1">
      <c r="B316" s="73" t="str">
        <f ca="1">IFERROR(__xludf.DUMMYFUNCTION("""COMPUTED_VALUE"""),"Hilo Nylon 2-0")</f>
        <v>Hilo Nylon 2-0</v>
      </c>
      <c r="C316" s="73" t="str">
        <f ca="1">IFERROR(__xludf.DUMMYFUNCTION("""COMPUTED_VALUE"""),"Unidad")</f>
        <v>Unidad</v>
      </c>
      <c r="D316" s="73"/>
      <c r="E316" s="73" t="str">
        <f ca="1">IFERROR(__xludf.DUMMYFUNCTION("""COMPUTED_VALUE"""),"H&amp;L")</f>
        <v>H&amp;L</v>
      </c>
      <c r="F316" s="75">
        <f ca="1">IFERROR(__xludf.DUMMYFUNCTION("""COMPUTED_VALUE"""),45744)</f>
        <v>45744</v>
      </c>
      <c r="G316" s="74">
        <f ca="1">IFERROR(__xludf.DUMMYFUNCTION("""COMPUTED_VALUE"""),12.25)</f>
        <v>12.25</v>
      </c>
      <c r="H316" s="74">
        <f ca="1">IFERROR(__xludf.DUMMYFUNCTION("""COMPUTED_VALUE"""),17.15)</f>
        <v>17.149999999999999</v>
      </c>
      <c r="I316" s="74">
        <f ca="1">IFERROR(__xludf.DUMMYFUNCTION("""COMPUTED_VALUE"""),20)</f>
        <v>20</v>
      </c>
    </row>
    <row r="317" spans="2:9" ht="27" customHeight="1">
      <c r="B317" s="73" t="str">
        <f ca="1">IFERROR(__xludf.DUMMYFUNCTION("""COMPUTED_VALUE"""),"Hilo Nylon 3-0")</f>
        <v>Hilo Nylon 3-0</v>
      </c>
      <c r="C317" s="73" t="str">
        <f ca="1">IFERROR(__xludf.DUMMYFUNCTION("""COMPUTED_VALUE"""),"Unidad")</f>
        <v>Unidad</v>
      </c>
      <c r="D317" s="73"/>
      <c r="E317" s="73" t="str">
        <f ca="1">IFERROR(__xludf.DUMMYFUNCTION("""COMPUTED_VALUE"""),"OSCAR RIVAS")</f>
        <v>OSCAR RIVAS</v>
      </c>
      <c r="F317" s="75">
        <f ca="1">IFERROR(__xludf.DUMMYFUNCTION("""COMPUTED_VALUE"""),45686)</f>
        <v>45686</v>
      </c>
      <c r="G317" s="74">
        <f ca="1">IFERROR(__xludf.DUMMYFUNCTION("""COMPUTED_VALUE"""),12.85)</f>
        <v>12.85</v>
      </c>
      <c r="H317" s="74">
        <f ca="1">IFERROR(__xludf.DUMMYFUNCTION("""COMPUTED_VALUE"""),17.99)</f>
        <v>17.989999999999998</v>
      </c>
      <c r="I317" s="74">
        <f ca="1">IFERROR(__xludf.DUMMYFUNCTION("""COMPUTED_VALUE"""),20)</f>
        <v>20</v>
      </c>
    </row>
    <row r="318" spans="2:9" ht="27" customHeight="1">
      <c r="B318" s="73" t="str">
        <f ca="1">IFERROR(__xludf.DUMMYFUNCTION("""COMPUTED_VALUE"""),"Hilo Nylon 4-0")</f>
        <v>Hilo Nylon 4-0</v>
      </c>
      <c r="C318" s="73" t="str">
        <f ca="1">IFERROR(__xludf.DUMMYFUNCTION("""COMPUTED_VALUE"""),"Unidad")</f>
        <v>Unidad</v>
      </c>
      <c r="D318" s="73"/>
      <c r="E318" s="73" t="str">
        <f ca="1">IFERROR(__xludf.DUMMYFUNCTION("""COMPUTED_VALUE"""),"H&amp;L")</f>
        <v>H&amp;L</v>
      </c>
      <c r="F318" s="75">
        <f ca="1">IFERROR(__xludf.DUMMYFUNCTION("""COMPUTED_VALUE"""),45745)</f>
        <v>45745</v>
      </c>
      <c r="G318" s="74">
        <f ca="1">IFERROR(__xludf.DUMMYFUNCTION("""COMPUTED_VALUE"""),12.45)</f>
        <v>12.45</v>
      </c>
      <c r="H318" s="74">
        <f ca="1">IFERROR(__xludf.DUMMYFUNCTION("""COMPUTED_VALUE"""),17.43)</f>
        <v>17.43</v>
      </c>
      <c r="I318" s="74">
        <f ca="1">IFERROR(__xludf.DUMMYFUNCTION("""COMPUTED_VALUE"""),20)</f>
        <v>20</v>
      </c>
    </row>
    <row r="319" spans="2:9" ht="27" customHeight="1">
      <c r="B319" s="73" t="str">
        <f ca="1">IFERROR(__xludf.DUMMYFUNCTION("""COMPUTED_VALUE"""),"Hilo Nylon 5-0")</f>
        <v>Hilo Nylon 5-0</v>
      </c>
      <c r="C319" s="73" t="str">
        <f ca="1">IFERROR(__xludf.DUMMYFUNCTION("""COMPUTED_VALUE"""),"Unidad")</f>
        <v>Unidad</v>
      </c>
      <c r="D319" s="73"/>
      <c r="E319" s="73" t="str">
        <f ca="1">IFERROR(__xludf.DUMMYFUNCTION("""COMPUTED_VALUE"""),"H&amp;L")</f>
        <v>H&amp;L</v>
      </c>
      <c r="F319" s="75">
        <f ca="1">IFERROR(__xludf.DUMMYFUNCTION("""COMPUTED_VALUE"""),45867)</f>
        <v>45867</v>
      </c>
      <c r="G319" s="74">
        <f ca="1">IFERROR(__xludf.DUMMYFUNCTION("""COMPUTED_VALUE"""),12.5)</f>
        <v>12.5</v>
      </c>
      <c r="H319" s="74">
        <f ca="1">IFERROR(__xludf.DUMMYFUNCTION("""COMPUTED_VALUE"""),17.5)</f>
        <v>17.5</v>
      </c>
      <c r="I319" s="74">
        <f ca="1">IFERROR(__xludf.DUMMYFUNCTION("""COMPUTED_VALUE"""),20)</f>
        <v>20</v>
      </c>
    </row>
    <row r="320" spans="2:9" ht="27" customHeight="1">
      <c r="B320" s="73" t="str">
        <f ca="1">IFERROR(__xludf.DUMMYFUNCTION("""COMPUTED_VALUE"""),"Hilo Nylon 6-0")</f>
        <v>Hilo Nylon 6-0</v>
      </c>
      <c r="C320" s="73" t="str">
        <f ca="1">IFERROR(__xludf.DUMMYFUNCTION("""COMPUTED_VALUE"""),"Unidad")</f>
        <v>Unidad</v>
      </c>
      <c r="D320" s="73"/>
      <c r="E320" s="73" t="str">
        <f ca="1">IFERROR(__xludf.DUMMYFUNCTION("""COMPUTED_VALUE"""),"H&amp;L")</f>
        <v>H&amp;L</v>
      </c>
      <c r="F320" s="73"/>
      <c r="G320" s="74">
        <f ca="1">IFERROR(__xludf.DUMMYFUNCTION("""COMPUTED_VALUE"""),13.95)</f>
        <v>13.95</v>
      </c>
      <c r="H320" s="74">
        <f ca="1">IFERROR(__xludf.DUMMYFUNCTION("""COMPUTED_VALUE"""),19.53)</f>
        <v>19.53</v>
      </c>
      <c r="I320" s="74">
        <f ca="1">IFERROR(__xludf.DUMMYFUNCTION("""COMPUTED_VALUE"""),20)</f>
        <v>20</v>
      </c>
    </row>
    <row r="321" spans="2:9" ht="27" customHeight="1">
      <c r="B321" s="73" t="str">
        <f ca="1">IFERROR(__xludf.DUMMYFUNCTION("""COMPUTED_VALUE"""),"Hilo Vicril 0-0")</f>
        <v>Hilo Vicril 0-0</v>
      </c>
      <c r="C321" s="73" t="str">
        <f ca="1">IFERROR(__xludf.DUMMYFUNCTION("""COMPUTED_VALUE"""),"Unidad")</f>
        <v>Unidad</v>
      </c>
      <c r="D321" s="73"/>
      <c r="E321" s="73" t="str">
        <f ca="1">IFERROR(__xludf.DUMMYFUNCTION("""COMPUTED_VALUE"""),"H&amp;L")</f>
        <v>H&amp;L</v>
      </c>
      <c r="F321" s="73" t="str">
        <f ca="1">IFERROR(__xludf.DUMMYFUNCTION("""COMPUTED_VALUE"""),"feb-29")</f>
        <v>feb-29</v>
      </c>
      <c r="G321" s="74">
        <f ca="1">IFERROR(__xludf.DUMMYFUNCTION("""COMPUTED_VALUE"""),5.8)</f>
        <v>5.8</v>
      </c>
      <c r="H321" s="74">
        <f ca="1">IFERROR(__xludf.DUMMYFUNCTION("""COMPUTED_VALUE"""),8.12)</f>
        <v>8.1199999999999992</v>
      </c>
      <c r="I321" s="74">
        <f ca="1">IFERROR(__xludf.DUMMYFUNCTION("""COMPUTED_VALUE"""),10)</f>
        <v>10</v>
      </c>
    </row>
    <row r="322" spans="2:9" ht="27" customHeight="1">
      <c r="B322" s="73" t="str">
        <f ca="1">IFERROR(__xludf.DUMMYFUNCTION("""COMPUTED_VALUE"""),"Hilo Vicril 1-0")</f>
        <v>Hilo Vicril 1-0</v>
      </c>
      <c r="C322" s="73" t="str">
        <f ca="1">IFERROR(__xludf.DUMMYFUNCTION("""COMPUTED_VALUE"""),"Unidad")</f>
        <v>Unidad</v>
      </c>
      <c r="D322" s="73"/>
      <c r="E322" s="73" t="str">
        <f ca="1">IFERROR(__xludf.DUMMYFUNCTION("""COMPUTED_VALUE"""),"H&amp;L")</f>
        <v>H&amp;L</v>
      </c>
      <c r="F322" s="73"/>
      <c r="G322" s="74">
        <f ca="1">IFERROR(__xludf.DUMMYFUNCTION("""COMPUTED_VALUE"""),8)</f>
        <v>8</v>
      </c>
      <c r="H322" s="74">
        <f ca="1">IFERROR(__xludf.DUMMYFUNCTION("""COMPUTED_VALUE"""),11.2)</f>
        <v>11.2</v>
      </c>
      <c r="I322" s="74">
        <f ca="1">IFERROR(__xludf.DUMMYFUNCTION("""COMPUTED_VALUE"""),15)</f>
        <v>15</v>
      </c>
    </row>
    <row r="323" spans="2:9" ht="27" customHeight="1">
      <c r="B323" s="73" t="str">
        <f ca="1">IFERROR(__xludf.DUMMYFUNCTION("""COMPUTED_VALUE"""),"Hilo Vicril 2-0 (punta Cónica )")</f>
        <v>Hilo Vicril 2-0 (punta Cónica )</v>
      </c>
      <c r="C323" s="73" t="str">
        <f ca="1">IFERROR(__xludf.DUMMYFUNCTION("""COMPUTED_VALUE"""),"Unidad")</f>
        <v>Unidad</v>
      </c>
      <c r="D323" s="73"/>
      <c r="E323" s="73" t="str">
        <f ca="1">IFERROR(__xludf.DUMMYFUNCTION("""COMPUTED_VALUE"""),"H&amp;L")</f>
        <v>H&amp;L</v>
      </c>
      <c r="F323" s="73"/>
      <c r="G323" s="74">
        <f ca="1">IFERROR(__xludf.DUMMYFUNCTION("""COMPUTED_VALUE"""),47.81)</f>
        <v>47.81</v>
      </c>
      <c r="H323" s="74">
        <f ca="1">IFERROR(__xludf.DUMMYFUNCTION("""COMPUTED_VALUE"""),66.934)</f>
        <v>66.933999999999997</v>
      </c>
      <c r="I323" s="74">
        <f ca="1">IFERROR(__xludf.DUMMYFUNCTION("""COMPUTED_VALUE"""),70)</f>
        <v>70</v>
      </c>
    </row>
    <row r="324" spans="2:9" ht="27" customHeight="1">
      <c r="B324" s="73" t="str">
        <f ca="1">IFERROR(__xludf.DUMMYFUNCTION("""COMPUTED_VALUE"""),"Hilo Vicril 3-0, Punta Cònica)")</f>
        <v>Hilo Vicril 3-0, Punta Cònica)</v>
      </c>
      <c r="C324" s="73" t="str">
        <f ca="1">IFERROR(__xludf.DUMMYFUNCTION("""COMPUTED_VALUE"""),"Unidad")</f>
        <v>Unidad</v>
      </c>
      <c r="D324" s="73"/>
      <c r="E324" s="73" t="str">
        <f ca="1">IFERROR(__xludf.DUMMYFUNCTION("""COMPUTED_VALUE"""),"H&amp;L")</f>
        <v>H&amp;L</v>
      </c>
      <c r="F324" s="73"/>
      <c r="G324" s="74">
        <f ca="1">IFERROR(__xludf.DUMMYFUNCTION("""COMPUTED_VALUE"""),99.5)</f>
        <v>99.5</v>
      </c>
      <c r="H324" s="74">
        <f ca="1">IFERROR(__xludf.DUMMYFUNCTION("""COMPUTED_VALUE"""),139.3)</f>
        <v>139.30000000000001</v>
      </c>
      <c r="I324" s="74">
        <f ca="1">IFERROR(__xludf.DUMMYFUNCTION("""COMPUTED_VALUE"""),140)</f>
        <v>140</v>
      </c>
    </row>
    <row r="325" spans="2:9" ht="27" customHeight="1">
      <c r="B325" s="73" t="str">
        <f ca="1">IFERROR(__xludf.DUMMYFUNCTION("""COMPUTED_VALUE"""),"Hilo Vicril 4-0")</f>
        <v>Hilo Vicril 4-0</v>
      </c>
      <c r="C325" s="73" t="str">
        <f ca="1">IFERROR(__xludf.DUMMYFUNCTION("""COMPUTED_VALUE"""),"Unidad")</f>
        <v>Unidad</v>
      </c>
      <c r="D325" s="73"/>
      <c r="E325" s="73" t="str">
        <f ca="1">IFERROR(__xludf.DUMMYFUNCTION("""COMPUTED_VALUE"""),"H&amp;L")</f>
        <v>H&amp;L</v>
      </c>
      <c r="F325" s="73"/>
      <c r="G325" s="74">
        <f ca="1">IFERROR(__xludf.DUMMYFUNCTION("""COMPUTED_VALUE"""),72.75)</f>
        <v>72.75</v>
      </c>
      <c r="H325" s="74">
        <f ca="1">IFERROR(__xludf.DUMMYFUNCTION("""COMPUTED_VALUE"""),101.85)</f>
        <v>101.85</v>
      </c>
      <c r="I325" s="74">
        <f ca="1">IFERROR(__xludf.DUMMYFUNCTION("""COMPUTED_VALUE"""),105)</f>
        <v>105</v>
      </c>
    </row>
    <row r="326" spans="2:9" ht="27" customHeight="1">
      <c r="B326" s="73" t="str">
        <f ca="1">IFERROR(__xludf.DUMMYFUNCTION("""COMPUTED_VALUE"""),"Hilo Vicril 5-0")</f>
        <v>Hilo Vicril 5-0</v>
      </c>
      <c r="C326" s="73" t="str">
        <f ca="1">IFERROR(__xludf.DUMMYFUNCTION("""COMPUTED_VALUE"""),"Unidad")</f>
        <v>Unidad</v>
      </c>
      <c r="D326" s="73"/>
      <c r="E326" s="73" t="str">
        <f ca="1">IFERROR(__xludf.DUMMYFUNCTION("""COMPUTED_VALUE"""),"H&amp;L")</f>
        <v>H&amp;L</v>
      </c>
      <c r="F326" s="73"/>
      <c r="G326" s="74">
        <f ca="1">IFERROR(__xludf.DUMMYFUNCTION("""COMPUTED_VALUE"""),9)</f>
        <v>9</v>
      </c>
      <c r="H326" s="74">
        <f ca="1">IFERROR(__xludf.DUMMYFUNCTION("""COMPUTED_VALUE"""),12.6)</f>
        <v>12.6</v>
      </c>
      <c r="I326" s="74">
        <f ca="1">IFERROR(__xludf.DUMMYFUNCTION("""COMPUTED_VALUE"""),20)</f>
        <v>20</v>
      </c>
    </row>
    <row r="327" spans="2:9" ht="27" customHeight="1">
      <c r="B327" s="73" t="str">
        <f ca="1">IFERROR(__xludf.DUMMYFUNCTION("""COMPUTED_VALUE"""),"Humificadores")</f>
        <v>Humificadores</v>
      </c>
      <c r="C327" s="73" t="str">
        <f ca="1">IFERROR(__xludf.DUMMYFUNCTION("""COMPUTED_VALUE"""),"Unidad")</f>
        <v>Unidad</v>
      </c>
      <c r="D327" s="73"/>
      <c r="E327" s="73" t="str">
        <f ca="1">IFERROR(__xludf.DUMMYFUNCTION("""COMPUTED_VALUE"""),"DAKO")</f>
        <v>DAKO</v>
      </c>
      <c r="F327" s="73"/>
      <c r="G327" s="74">
        <f ca="1">IFERROR(__xludf.DUMMYFUNCTION("""COMPUTED_VALUE"""),25)</f>
        <v>25</v>
      </c>
      <c r="H327" s="74">
        <f ca="1">IFERROR(__xludf.DUMMYFUNCTION("""COMPUTED_VALUE"""),35)</f>
        <v>35</v>
      </c>
      <c r="I327" s="74">
        <f ca="1">IFERROR(__xludf.DUMMYFUNCTION("""COMPUTED_VALUE"""),40)</f>
        <v>40</v>
      </c>
    </row>
    <row r="328" spans="2:9" ht="27" customHeight="1">
      <c r="B328" s="73" t="str">
        <f ca="1">IFERROR(__xludf.DUMMYFUNCTION("""COMPUTED_VALUE"""),"Hisopos de madera")</f>
        <v>Hisopos de madera</v>
      </c>
      <c r="C328" s="73" t="str">
        <f ca="1">IFERROR(__xludf.DUMMYFUNCTION("""COMPUTED_VALUE"""),"Bolsa 100 u.")</f>
        <v>Bolsa 100 u.</v>
      </c>
      <c r="D328" s="73"/>
      <c r="E328" s="73" t="str">
        <f ca="1">IFERROR(__xludf.DUMMYFUNCTION("""COMPUTED_VALUE"""),"H&amp;L")</f>
        <v>H&amp;L</v>
      </c>
      <c r="F328" s="73"/>
      <c r="G328" s="74">
        <f ca="1">IFERROR(__xludf.DUMMYFUNCTION("""COMPUTED_VALUE"""),6.5)</f>
        <v>6.5</v>
      </c>
      <c r="H328" s="74">
        <f ca="1">IFERROR(__xludf.DUMMYFUNCTION("""COMPUTED_VALUE"""),9.1)</f>
        <v>9.1</v>
      </c>
      <c r="I328" s="74">
        <f ca="1">IFERROR(__xludf.DUMMYFUNCTION("""COMPUTED_VALUE"""),15)</f>
        <v>15</v>
      </c>
    </row>
    <row r="329" spans="2:9" ht="27" customHeight="1">
      <c r="B329" s="73" t="str">
        <f ca="1">IFERROR(__xludf.DUMMYFUNCTION("""COMPUTED_VALUE"""),"Jeringa Desc. 1cc.")</f>
        <v>Jeringa Desc. 1cc.</v>
      </c>
      <c r="C329" s="73" t="str">
        <f ca="1">IFERROR(__xludf.DUMMYFUNCTION("""COMPUTED_VALUE"""),"caja 100 u,.")</f>
        <v>caja 100 u,.</v>
      </c>
      <c r="D329" s="73"/>
      <c r="E329" s="73" t="str">
        <f ca="1">IFERROR(__xludf.DUMMYFUNCTION("""COMPUTED_VALUE"""),"H&amp;L")</f>
        <v>H&amp;L</v>
      </c>
      <c r="F329" s="73"/>
      <c r="G329" s="74">
        <f ca="1">IFERROR(__xludf.DUMMYFUNCTION("""COMPUTED_VALUE"""),0.83)</f>
        <v>0.83</v>
      </c>
      <c r="H329" s="74">
        <f ca="1">IFERROR(__xludf.DUMMYFUNCTION("""COMPUTED_VALUE"""),1.162)</f>
        <v>1.1619999999999999</v>
      </c>
      <c r="I329" s="74">
        <f ca="1">IFERROR(__xludf.DUMMYFUNCTION("""COMPUTED_VALUE"""),5)</f>
        <v>5</v>
      </c>
    </row>
    <row r="330" spans="2:9" ht="27" customHeight="1">
      <c r="B330" s="73" t="str">
        <f ca="1">IFERROR(__xludf.DUMMYFUNCTION("""COMPUTED_VALUE"""),"Jeringa Desc. 3cc.")</f>
        <v>Jeringa Desc. 3cc.</v>
      </c>
      <c r="C330" s="73" t="str">
        <f ca="1">IFERROR(__xludf.DUMMYFUNCTION("""COMPUTED_VALUE"""),"caja 100 u,.")</f>
        <v>caja 100 u,.</v>
      </c>
      <c r="D330" s="73"/>
      <c r="E330" s="73" t="str">
        <f ca="1">IFERROR(__xludf.DUMMYFUNCTION("""COMPUTED_VALUE"""),"H&amp;L")</f>
        <v>H&amp;L</v>
      </c>
      <c r="F330" s="75">
        <f ca="1">IFERROR(__xludf.DUMMYFUNCTION("""COMPUTED_VALUE"""),45744)</f>
        <v>45744</v>
      </c>
      <c r="G330" s="74">
        <f ca="1">IFERROR(__xludf.DUMMYFUNCTION("""COMPUTED_VALUE"""),0.61)</f>
        <v>0.61</v>
      </c>
      <c r="H330" s="74">
        <f ca="1">IFERROR(__xludf.DUMMYFUNCTION("""COMPUTED_VALUE"""),0.854)</f>
        <v>0.85399999999999998</v>
      </c>
      <c r="I330" s="74">
        <f ca="1">IFERROR(__xludf.DUMMYFUNCTION("""COMPUTED_VALUE"""),5)</f>
        <v>5</v>
      </c>
    </row>
    <row r="331" spans="2:9" ht="27" customHeight="1">
      <c r="B331" s="73" t="str">
        <f ca="1">IFERROR(__xludf.DUMMYFUNCTION("""COMPUTED_VALUE"""),"Jeringa Desc. 5cc.")</f>
        <v>Jeringa Desc. 5cc.</v>
      </c>
      <c r="C331" s="73" t="str">
        <f ca="1">IFERROR(__xludf.DUMMYFUNCTION("""COMPUTED_VALUE"""),"caja 100 u,.")</f>
        <v>caja 100 u,.</v>
      </c>
      <c r="D331" s="73"/>
      <c r="E331" s="73" t="str">
        <f ca="1">IFERROR(__xludf.DUMMYFUNCTION("""COMPUTED_VALUE"""),"H&amp;L")</f>
        <v>H&amp;L</v>
      </c>
      <c r="F331" s="75">
        <f ca="1">IFERROR(__xludf.DUMMYFUNCTION("""COMPUTED_VALUE"""),45775)</f>
        <v>45775</v>
      </c>
      <c r="G331" s="74">
        <f ca="1">IFERROR(__xludf.DUMMYFUNCTION("""COMPUTED_VALUE"""),0.64)</f>
        <v>0.64</v>
      </c>
      <c r="H331" s="74">
        <f ca="1">IFERROR(__xludf.DUMMYFUNCTION("""COMPUTED_VALUE"""),0.896)</f>
        <v>0.89600000000000002</v>
      </c>
      <c r="I331" s="74">
        <f ca="1">IFERROR(__xludf.DUMMYFUNCTION("""COMPUTED_VALUE"""),5)</f>
        <v>5</v>
      </c>
    </row>
    <row r="332" spans="2:9" ht="27" customHeight="1">
      <c r="B332" s="73" t="str">
        <f ca="1">IFERROR(__xludf.DUMMYFUNCTION("""COMPUTED_VALUE"""),"Jeringa Desc. 10.cc")</f>
        <v>Jeringa Desc. 10.cc</v>
      </c>
      <c r="C332" s="73" t="str">
        <f ca="1">IFERROR(__xludf.DUMMYFUNCTION("""COMPUTED_VALUE"""),"caja 100 u,.")</f>
        <v>caja 100 u,.</v>
      </c>
      <c r="D332" s="73"/>
      <c r="E332" s="73" t="str">
        <f ca="1">IFERROR(__xludf.DUMMYFUNCTION("""COMPUTED_VALUE"""),"H&amp;L")</f>
        <v>H&amp;L</v>
      </c>
      <c r="F332" s="75">
        <f ca="1">IFERROR(__xludf.DUMMYFUNCTION("""COMPUTED_VALUE"""),45896)</f>
        <v>45896</v>
      </c>
      <c r="G332" s="74">
        <f ca="1">IFERROR(__xludf.DUMMYFUNCTION("""COMPUTED_VALUE"""),0.97)</f>
        <v>0.97</v>
      </c>
      <c r="H332" s="74">
        <f ca="1">IFERROR(__xludf.DUMMYFUNCTION("""COMPUTED_VALUE"""),1.358)</f>
        <v>1.3580000000000001</v>
      </c>
      <c r="I332" s="74">
        <f ca="1">IFERROR(__xludf.DUMMYFUNCTION("""COMPUTED_VALUE"""),5)</f>
        <v>5</v>
      </c>
    </row>
    <row r="333" spans="2:9" ht="27" customHeight="1">
      <c r="B333" s="73" t="str">
        <f ca="1">IFERROR(__xludf.DUMMYFUNCTION("""COMPUTED_VALUE"""),"Jeringa Desc. 20cc")</f>
        <v>Jeringa Desc. 20cc</v>
      </c>
      <c r="C333" s="73" t="str">
        <f ca="1">IFERROR(__xludf.DUMMYFUNCTION("""COMPUTED_VALUE"""),"caja 50")</f>
        <v>caja 50</v>
      </c>
      <c r="D333" s="73"/>
      <c r="E333" s="73" t="str">
        <f ca="1">IFERROR(__xludf.DUMMYFUNCTION("""COMPUTED_VALUE"""),"H&amp;L")</f>
        <v>H&amp;L</v>
      </c>
      <c r="F333" s="75">
        <f ca="1">IFERROR(__xludf.DUMMYFUNCTION("""COMPUTED_VALUE"""),45898)</f>
        <v>45898</v>
      </c>
      <c r="G333" s="74">
        <f ca="1">IFERROR(__xludf.DUMMYFUNCTION("""COMPUTED_VALUE"""),0.85)</f>
        <v>0.85</v>
      </c>
      <c r="H333" s="74">
        <f ca="1">IFERROR(__xludf.DUMMYFUNCTION("""COMPUTED_VALUE"""),1.19)</f>
        <v>1.19</v>
      </c>
      <c r="I333" s="74">
        <f ca="1">IFERROR(__xludf.DUMMYFUNCTION("""COMPUTED_VALUE"""),5)</f>
        <v>5</v>
      </c>
    </row>
    <row r="334" spans="2:9" ht="27" customHeight="1">
      <c r="B334" s="73" t="str">
        <f ca="1">IFERROR(__xludf.DUMMYFUNCTION("""COMPUTED_VALUE"""),"Mascarilla p/oxigeno c/res. L")</f>
        <v>Mascarilla p/oxigeno c/res. L</v>
      </c>
      <c r="C334" s="73" t="str">
        <f ca="1">IFERROR(__xludf.DUMMYFUNCTION("""COMPUTED_VALUE"""),"Unidad")</f>
        <v>Unidad</v>
      </c>
      <c r="D334" s="73"/>
      <c r="E334" s="73" t="str">
        <f ca="1">IFERROR(__xludf.DUMMYFUNCTION("""COMPUTED_VALUE"""),"H&amp;L")</f>
        <v>H&amp;L</v>
      </c>
      <c r="F334" s="75">
        <f ca="1">IFERROR(__xludf.DUMMYFUNCTION("""COMPUTED_VALUE"""),45837)</f>
        <v>45837</v>
      </c>
      <c r="G334" s="74">
        <f ca="1">IFERROR(__xludf.DUMMYFUNCTION("""COMPUTED_VALUE"""),15)</f>
        <v>15</v>
      </c>
      <c r="H334" s="74">
        <f ca="1">IFERROR(__xludf.DUMMYFUNCTION("""COMPUTED_VALUE"""),21)</f>
        <v>21</v>
      </c>
      <c r="I334" s="74">
        <f ca="1">IFERROR(__xludf.DUMMYFUNCTION("""COMPUTED_VALUE"""),30)</f>
        <v>30</v>
      </c>
    </row>
    <row r="335" spans="2:9" ht="27" customHeight="1">
      <c r="B335" s="73" t="str">
        <f ca="1">IFERROR(__xludf.DUMMYFUNCTION("""COMPUTED_VALUE"""),"Mascarilla p/oxigeno c/res. M")</f>
        <v>Mascarilla p/oxigeno c/res. M</v>
      </c>
      <c r="C335" s="73" t="str">
        <f ca="1">IFERROR(__xludf.DUMMYFUNCTION("""COMPUTED_VALUE"""),"Unidad")</f>
        <v>Unidad</v>
      </c>
      <c r="D335" s="73"/>
      <c r="E335" s="73" t="str">
        <f ca="1">IFERROR(__xludf.DUMMYFUNCTION("""COMPUTED_VALUE"""),"H&amp;L")</f>
        <v>H&amp;L</v>
      </c>
      <c r="F335" s="75">
        <f ca="1">IFERROR(__xludf.DUMMYFUNCTION("""COMPUTED_VALUE"""),45865)</f>
        <v>45865</v>
      </c>
      <c r="G335" s="74">
        <f ca="1">IFERROR(__xludf.DUMMYFUNCTION("""COMPUTED_VALUE"""),20)</f>
        <v>20</v>
      </c>
      <c r="H335" s="74">
        <f ca="1">IFERROR(__xludf.DUMMYFUNCTION("""COMPUTED_VALUE"""),28)</f>
        <v>28</v>
      </c>
      <c r="I335" s="74">
        <f ca="1">IFERROR(__xludf.DUMMYFUNCTION("""COMPUTED_VALUE"""),30)</f>
        <v>30</v>
      </c>
    </row>
    <row r="336" spans="2:9" ht="27" customHeight="1">
      <c r="B336" s="73" t="str">
        <f ca="1">IFERROR(__xludf.DUMMYFUNCTION("""COMPUTED_VALUE"""),"Mascarilla p/Nebulizar Talla L")</f>
        <v>Mascarilla p/Nebulizar Talla L</v>
      </c>
      <c r="C336" s="73" t="str">
        <f ca="1">IFERROR(__xludf.DUMMYFUNCTION("""COMPUTED_VALUE"""),"Unidad")</f>
        <v>Unidad</v>
      </c>
      <c r="D336" s="73"/>
      <c r="E336" s="73" t="str">
        <f ca="1">IFERROR(__xludf.DUMMYFUNCTION("""COMPUTED_VALUE"""),"H&amp;L")</f>
        <v>H&amp;L</v>
      </c>
      <c r="F336" s="73"/>
      <c r="G336" s="74">
        <f ca="1">IFERROR(__xludf.DUMMYFUNCTION("""COMPUTED_VALUE"""),12.5)</f>
        <v>12.5</v>
      </c>
      <c r="H336" s="74">
        <f ca="1">IFERROR(__xludf.DUMMYFUNCTION("""COMPUTED_VALUE"""),17.5)</f>
        <v>17.5</v>
      </c>
      <c r="I336" s="74">
        <f ca="1">IFERROR(__xludf.DUMMYFUNCTION("""COMPUTED_VALUE"""),25)</f>
        <v>25</v>
      </c>
    </row>
    <row r="337" spans="2:9" ht="27" customHeight="1">
      <c r="B337" s="73" t="str">
        <f ca="1">IFERROR(__xludf.DUMMYFUNCTION("""COMPUTED_VALUE"""),"Mascarillas p/nebulizar talla M")</f>
        <v>Mascarillas p/nebulizar talla M</v>
      </c>
      <c r="C337" s="73" t="str">
        <f ca="1">IFERROR(__xludf.DUMMYFUNCTION("""COMPUTED_VALUE"""),"caja 50 unid.")</f>
        <v>caja 50 unid.</v>
      </c>
      <c r="D337" s="73"/>
      <c r="E337" s="73" t="str">
        <f ca="1">IFERROR(__xludf.DUMMYFUNCTION("""COMPUTED_VALUE"""),"H&amp;L")</f>
        <v>H&amp;L</v>
      </c>
      <c r="F337" s="75">
        <f ca="1">IFERROR(__xludf.DUMMYFUNCTION("""COMPUTED_VALUE"""),45834)</f>
        <v>45834</v>
      </c>
      <c r="G337" s="74">
        <f ca="1">IFERROR(__xludf.DUMMYFUNCTION("""COMPUTED_VALUE"""),14.25)</f>
        <v>14.25</v>
      </c>
      <c r="H337" s="74">
        <f ca="1">IFERROR(__xludf.DUMMYFUNCTION("""COMPUTED_VALUE"""),19.95)</f>
        <v>19.95</v>
      </c>
      <c r="I337" s="74">
        <f ca="1">IFERROR(__xludf.DUMMYFUNCTION("""COMPUTED_VALUE"""),25)</f>
        <v>25</v>
      </c>
    </row>
    <row r="338" spans="2:9" ht="27" customHeight="1">
      <c r="B338" s="73" t="str">
        <f ca="1">IFERROR(__xludf.DUMMYFUNCTION("""COMPUTED_VALUE"""),"Microgoteros")</f>
        <v>Microgoteros</v>
      </c>
      <c r="C338" s="73" t="str">
        <f ca="1">IFERROR(__xludf.DUMMYFUNCTION("""COMPUTED_VALUE"""),"Unidad")</f>
        <v>Unidad</v>
      </c>
      <c r="D338" s="73"/>
      <c r="E338" s="73" t="str">
        <f ca="1">IFERROR(__xludf.DUMMYFUNCTION("""COMPUTED_VALUE"""),"H&amp;L")</f>
        <v>H&amp;L</v>
      </c>
      <c r="F338" s="75">
        <f ca="1">IFERROR(__xludf.DUMMYFUNCTION("""COMPUTED_VALUE"""),45837)</f>
        <v>45837</v>
      </c>
      <c r="G338" s="74">
        <f ca="1">IFERROR(__xludf.DUMMYFUNCTION("""COMPUTED_VALUE"""),17.4)</f>
        <v>17.399999999999999</v>
      </c>
      <c r="H338" s="74">
        <f ca="1">IFERROR(__xludf.DUMMYFUNCTION("""COMPUTED_VALUE"""),24.36)</f>
        <v>24.36</v>
      </c>
      <c r="I338" s="74">
        <f ca="1">IFERROR(__xludf.DUMMYFUNCTION("""COMPUTED_VALUE"""),30)</f>
        <v>30</v>
      </c>
    </row>
    <row r="339" spans="2:9" ht="27" customHeight="1">
      <c r="B339" s="73" t="str">
        <f ca="1">IFERROR(__xludf.DUMMYFUNCTION("""COMPUTED_VALUE"""),"Micropore 1 Pulgada")</f>
        <v>Micropore 1 Pulgada</v>
      </c>
      <c r="C339" s="73" t="str">
        <f ca="1">IFERROR(__xludf.DUMMYFUNCTION("""COMPUTED_VALUE"""),"Unidad")</f>
        <v>Unidad</v>
      </c>
      <c r="D339" s="73"/>
      <c r="E339" s="73" t="str">
        <f ca="1">IFERROR(__xludf.DUMMYFUNCTION("""COMPUTED_VALUE"""),"H&amp;L")</f>
        <v>H&amp;L</v>
      </c>
      <c r="F339" s="75">
        <f ca="1">IFERROR(__xludf.DUMMYFUNCTION("""COMPUTED_VALUE"""),45867)</f>
        <v>45867</v>
      </c>
      <c r="G339" s="74">
        <f ca="1">IFERROR(__xludf.DUMMYFUNCTION("""COMPUTED_VALUE"""),7.92)</f>
        <v>7.92</v>
      </c>
      <c r="H339" s="74">
        <f ca="1">IFERROR(__xludf.DUMMYFUNCTION("""COMPUTED_VALUE"""),11.088)</f>
        <v>11.087999999999999</v>
      </c>
      <c r="I339" s="74">
        <f ca="1">IFERROR(__xludf.DUMMYFUNCTION("""COMPUTED_VALUE"""),10)</f>
        <v>10</v>
      </c>
    </row>
    <row r="340" spans="2:9" ht="27" customHeight="1">
      <c r="B340" s="73" t="str">
        <f ca="1">IFERROR(__xludf.DUMMYFUNCTION("""COMPUTED_VALUE"""),"Papel Crepado 110*240")</f>
        <v>Papel Crepado 110*240</v>
      </c>
      <c r="C340" s="73" t="str">
        <f ca="1">IFERROR(__xludf.DUMMYFUNCTION("""COMPUTED_VALUE"""),"Rollo")</f>
        <v>Rollo</v>
      </c>
      <c r="D340" s="73"/>
      <c r="E340" s="73" t="str">
        <f ca="1">IFERROR(__xludf.DUMMYFUNCTION("""COMPUTED_VALUE"""),"PROVEEDORA QUIRÚRGICA")</f>
        <v>PROVEEDORA QUIRÚRGICA</v>
      </c>
      <c r="F340" s="75">
        <f ca="1">IFERROR(__xludf.DUMMYFUNCTION("""COMPUTED_VALUE"""),45867)</f>
        <v>45867</v>
      </c>
      <c r="G340" s="74">
        <f ca="1">IFERROR(__xludf.DUMMYFUNCTION("""COMPUTED_VALUE"""),1500)</f>
        <v>1500</v>
      </c>
      <c r="H340" s="74">
        <f ca="1">IFERROR(__xludf.DUMMYFUNCTION("""COMPUTED_VALUE"""),2100)</f>
        <v>2100</v>
      </c>
      <c r="I340" s="74">
        <f ca="1">IFERROR(__xludf.DUMMYFUNCTION("""COMPUTED_VALUE"""),2200)</f>
        <v>2200</v>
      </c>
    </row>
    <row r="341" spans="2:9" ht="27" customHeight="1">
      <c r="B341" s="73" t="str">
        <f ca="1">IFERROR(__xludf.DUMMYFUNCTION("""COMPUTED_VALUE"""),"Pañale Desechable Adulto")</f>
        <v>Pañale Desechable Adulto</v>
      </c>
      <c r="C341" s="73" t="str">
        <f ca="1">IFERROR(__xludf.DUMMYFUNCTION("""COMPUTED_VALUE"""),"paquete 6")</f>
        <v>paquete 6</v>
      </c>
      <c r="D341" s="73"/>
      <c r="E341" s="73" t="str">
        <f ca="1">IFERROR(__xludf.DUMMYFUNCTION("""COMPUTED_VALUE"""),"SUPER MAS")</f>
        <v>SUPER MAS</v>
      </c>
      <c r="F341" s="73"/>
      <c r="G341" s="74">
        <f ca="1">IFERROR(__xludf.DUMMYFUNCTION("""COMPUTED_VALUE"""),4.86)</f>
        <v>4.8600000000000003</v>
      </c>
      <c r="H341" s="74">
        <f ca="1">IFERROR(__xludf.DUMMYFUNCTION("""COMPUTED_VALUE"""),6.804)</f>
        <v>6.8040000000000003</v>
      </c>
      <c r="I341" s="74">
        <f ca="1">IFERROR(__xludf.DUMMYFUNCTION("""COMPUTED_VALUE"""),10)</f>
        <v>10</v>
      </c>
    </row>
    <row r="342" spans="2:9" ht="27" customHeight="1">
      <c r="B342" s="73" t="str">
        <f ca="1">IFERROR(__xludf.DUMMYFUNCTION("""COMPUTED_VALUE"""),"Pañal Desechable Niño")</f>
        <v>Pañal Desechable Niño</v>
      </c>
      <c r="C342" s="73" t="str">
        <f ca="1">IFERROR(__xludf.DUMMYFUNCTION("""COMPUTED_VALUE"""),"UNIDAD")</f>
        <v>UNIDAD</v>
      </c>
      <c r="D342" s="73"/>
      <c r="E342" s="73" t="str">
        <f ca="1">IFERROR(__xludf.DUMMYFUNCTION("""COMPUTED_VALUE"""),"INNOVA MED")</f>
        <v>INNOVA MED</v>
      </c>
      <c r="F342" s="75">
        <f ca="1">IFERROR(__xludf.DUMMYFUNCTION("""COMPUTED_VALUE"""),45866)</f>
        <v>45866</v>
      </c>
      <c r="G342" s="74">
        <f ca="1">IFERROR(__xludf.DUMMYFUNCTION("""COMPUTED_VALUE"""),2.08)</f>
        <v>2.08</v>
      </c>
      <c r="H342" s="74">
        <f ca="1">IFERROR(__xludf.DUMMYFUNCTION("""COMPUTED_VALUE"""),2.912)</f>
        <v>2.9119999999999999</v>
      </c>
      <c r="I342" s="74">
        <f ca="1">IFERROR(__xludf.DUMMYFUNCTION("""COMPUTED_VALUE"""),5)</f>
        <v>5</v>
      </c>
    </row>
    <row r="343" spans="2:9" ht="27" customHeight="1">
      <c r="B343" s="73" t="str">
        <f ca="1">IFERROR(__xludf.DUMMYFUNCTION("""COMPUTED_VALUE"""),"Sonda Foley No. 12")</f>
        <v>Sonda Foley No. 12</v>
      </c>
      <c r="C343" s="73" t="str">
        <f ca="1">IFERROR(__xludf.DUMMYFUNCTION("""COMPUTED_VALUE"""),"Unidad")</f>
        <v>Unidad</v>
      </c>
      <c r="D343" s="73"/>
      <c r="E343" s="73" t="str">
        <f ca="1">IFERROR(__xludf.DUMMYFUNCTION("""COMPUTED_VALUE"""),"H&amp;L")</f>
        <v>H&amp;L</v>
      </c>
      <c r="F343" s="73"/>
      <c r="G343" s="74">
        <f ca="1">IFERROR(__xludf.DUMMYFUNCTION("""COMPUTED_VALUE"""),3.5)</f>
        <v>3.5</v>
      </c>
      <c r="H343" s="74">
        <f ca="1">IFERROR(__xludf.DUMMYFUNCTION("""COMPUTED_VALUE"""),4.9)</f>
        <v>4.9000000000000004</v>
      </c>
      <c r="I343" s="74">
        <f ca="1">IFERROR(__xludf.DUMMYFUNCTION("""COMPUTED_VALUE"""),20)</f>
        <v>20</v>
      </c>
    </row>
    <row r="344" spans="2:9" ht="27" customHeight="1">
      <c r="B344" s="73" t="str">
        <f ca="1">IFERROR(__xludf.DUMMYFUNCTION("""COMPUTED_VALUE"""),"Sonda Foley 14")</f>
        <v>Sonda Foley 14</v>
      </c>
      <c r="C344" s="73" t="str">
        <f ca="1">IFERROR(__xludf.DUMMYFUNCTION("""COMPUTED_VALUE"""),"Unidad")</f>
        <v>Unidad</v>
      </c>
      <c r="D344" s="73"/>
      <c r="E344" s="73" t="str">
        <f ca="1">IFERROR(__xludf.DUMMYFUNCTION("""COMPUTED_VALUE"""),"H&amp;L")</f>
        <v>H&amp;L</v>
      </c>
      <c r="F344" s="75">
        <f ca="1">IFERROR(__xludf.DUMMYFUNCTION("""COMPUTED_VALUE"""),45987)</f>
        <v>45987</v>
      </c>
      <c r="G344" s="74">
        <f ca="1">IFERROR(__xludf.DUMMYFUNCTION("""COMPUTED_VALUE"""),3.5)</f>
        <v>3.5</v>
      </c>
      <c r="H344" s="74">
        <f ca="1">IFERROR(__xludf.DUMMYFUNCTION("""COMPUTED_VALUE"""),4.9)</f>
        <v>4.9000000000000004</v>
      </c>
      <c r="I344" s="74">
        <f ca="1">IFERROR(__xludf.DUMMYFUNCTION("""COMPUTED_VALUE"""),20)</f>
        <v>20</v>
      </c>
    </row>
    <row r="345" spans="2:9" ht="27" customHeight="1">
      <c r="B345" s="73" t="str">
        <f ca="1">IFERROR(__xludf.DUMMYFUNCTION("""COMPUTED_VALUE"""),"Sonda Foley No. 16")</f>
        <v>Sonda Foley No. 16</v>
      </c>
      <c r="C345" s="73" t="str">
        <f ca="1">IFERROR(__xludf.DUMMYFUNCTION("""COMPUTED_VALUE"""),"Unidad")</f>
        <v>Unidad</v>
      </c>
      <c r="D345" s="73"/>
      <c r="E345" s="73" t="str">
        <f ca="1">IFERROR(__xludf.DUMMYFUNCTION("""COMPUTED_VALUE"""),"H&amp;L")</f>
        <v>H&amp;L</v>
      </c>
      <c r="F345" s="75">
        <f ca="1">IFERROR(__xludf.DUMMYFUNCTION("""COMPUTED_VALUE"""),45834)</f>
        <v>45834</v>
      </c>
      <c r="G345" s="74">
        <f ca="1">IFERROR(__xludf.DUMMYFUNCTION("""COMPUTED_VALUE"""),7)</f>
        <v>7</v>
      </c>
      <c r="H345" s="74">
        <f ca="1">IFERROR(__xludf.DUMMYFUNCTION("""COMPUTED_VALUE"""),9.8)</f>
        <v>9.8000000000000007</v>
      </c>
      <c r="I345" s="74">
        <f ca="1">IFERROR(__xludf.DUMMYFUNCTION("""COMPUTED_VALUE"""),20)</f>
        <v>20</v>
      </c>
    </row>
    <row r="346" spans="2:9" ht="27" customHeight="1">
      <c r="B346" s="73" t="str">
        <f ca="1">IFERROR(__xludf.DUMMYFUNCTION("""COMPUTED_VALUE"""),"Sonda Foley 18")</f>
        <v>Sonda Foley 18</v>
      </c>
      <c r="C346" s="73" t="str">
        <f ca="1">IFERROR(__xludf.DUMMYFUNCTION("""COMPUTED_VALUE"""),"Unidad")</f>
        <v>Unidad</v>
      </c>
      <c r="D346" s="73"/>
      <c r="E346" s="73" t="str">
        <f ca="1">IFERROR(__xludf.DUMMYFUNCTION("""COMPUTED_VALUE"""),"H&amp;L")</f>
        <v>H&amp;L</v>
      </c>
      <c r="F346" s="75">
        <f ca="1">IFERROR(__xludf.DUMMYFUNCTION("""COMPUTED_VALUE"""),45927)</f>
        <v>45927</v>
      </c>
      <c r="G346" s="74">
        <f ca="1">IFERROR(__xludf.DUMMYFUNCTION("""COMPUTED_VALUE"""),3.5)</f>
        <v>3.5</v>
      </c>
      <c r="H346" s="74">
        <f ca="1">IFERROR(__xludf.DUMMYFUNCTION("""COMPUTED_VALUE"""),4.9)</f>
        <v>4.9000000000000004</v>
      </c>
      <c r="I346" s="74">
        <f ca="1">IFERROR(__xludf.DUMMYFUNCTION("""COMPUTED_VALUE"""),20)</f>
        <v>20</v>
      </c>
    </row>
    <row r="347" spans="2:9" ht="27" customHeight="1">
      <c r="B347" s="73" t="str">
        <f ca="1">IFERROR(__xludf.DUMMYFUNCTION("""COMPUTED_VALUE"""),"Sonda Foley 16 3 vias")</f>
        <v>Sonda Foley 16 3 vias</v>
      </c>
      <c r="C347" s="73" t="str">
        <f ca="1">IFERROR(__xludf.DUMMYFUNCTION("""COMPUTED_VALUE"""),"Unidad")</f>
        <v>Unidad</v>
      </c>
      <c r="D347" s="73"/>
      <c r="E347" s="73" t="str">
        <f ca="1">IFERROR(__xludf.DUMMYFUNCTION("""COMPUTED_VALUE"""),"H&amp;L")</f>
        <v>H&amp;L</v>
      </c>
      <c r="F347" s="75">
        <f ca="1">IFERROR(__xludf.DUMMYFUNCTION("""COMPUTED_VALUE"""),45864)</f>
        <v>45864</v>
      </c>
      <c r="G347" s="74">
        <f ca="1">IFERROR(__xludf.DUMMYFUNCTION("""COMPUTED_VALUE"""),3.5)</f>
        <v>3.5</v>
      </c>
      <c r="H347" s="74">
        <f ca="1">IFERROR(__xludf.DUMMYFUNCTION("""COMPUTED_VALUE"""),4.9)</f>
        <v>4.9000000000000004</v>
      </c>
      <c r="I347" s="74">
        <f ca="1">IFERROR(__xludf.DUMMYFUNCTION("""COMPUTED_VALUE"""),20)</f>
        <v>20</v>
      </c>
    </row>
    <row r="348" spans="2:9" ht="27" customHeight="1">
      <c r="B348" s="73" t="str">
        <f ca="1">IFERROR(__xludf.DUMMYFUNCTION("""COMPUTED_VALUE"""),"Sonda Foley 18 3 vias")</f>
        <v>Sonda Foley 18 3 vias</v>
      </c>
      <c r="C348" s="73" t="str">
        <f ca="1">IFERROR(__xludf.DUMMYFUNCTION("""COMPUTED_VALUE"""),"Unidad")</f>
        <v>Unidad</v>
      </c>
      <c r="D348" s="73"/>
      <c r="E348" s="73" t="str">
        <f ca="1">IFERROR(__xludf.DUMMYFUNCTION("""COMPUTED_VALUE"""),"H&amp;L")</f>
        <v>H&amp;L</v>
      </c>
      <c r="F348" s="75">
        <f ca="1">IFERROR(__xludf.DUMMYFUNCTION("""COMPUTED_VALUE"""),45864)</f>
        <v>45864</v>
      </c>
      <c r="G348" s="74">
        <f ca="1">IFERROR(__xludf.DUMMYFUNCTION("""COMPUTED_VALUE"""),2.5)</f>
        <v>2.5</v>
      </c>
      <c r="H348" s="74">
        <f ca="1">IFERROR(__xludf.DUMMYFUNCTION("""COMPUTED_VALUE"""),3.5)</f>
        <v>3.5</v>
      </c>
      <c r="I348" s="74">
        <f ca="1">IFERROR(__xludf.DUMMYFUNCTION("""COMPUTED_VALUE"""),20)</f>
        <v>20</v>
      </c>
    </row>
    <row r="349" spans="2:9" ht="27" customHeight="1">
      <c r="B349" s="73" t="str">
        <f ca="1">IFERROR(__xludf.DUMMYFUNCTION("""COMPUTED_VALUE"""),"Sonda Foley 20 3 vias")</f>
        <v>Sonda Foley 20 3 vias</v>
      </c>
      <c r="C349" s="73" t="str">
        <f ca="1">IFERROR(__xludf.DUMMYFUNCTION("""COMPUTED_VALUE"""),"Unidad")</f>
        <v>Unidad</v>
      </c>
      <c r="D349" s="73"/>
      <c r="E349" s="73" t="str">
        <f ca="1">IFERROR(__xludf.DUMMYFUNCTION("""COMPUTED_VALUE"""),"H&amp;L")</f>
        <v>H&amp;L</v>
      </c>
      <c r="F349" s="75">
        <f ca="1">IFERROR(__xludf.DUMMYFUNCTION("""COMPUTED_VALUE"""),45803)</f>
        <v>45803</v>
      </c>
      <c r="G349" s="74">
        <f ca="1">IFERROR(__xludf.DUMMYFUNCTION("""COMPUTED_VALUE"""),8)</f>
        <v>8</v>
      </c>
      <c r="H349" s="74">
        <f ca="1">IFERROR(__xludf.DUMMYFUNCTION("""COMPUTED_VALUE"""),11.2)</f>
        <v>11.2</v>
      </c>
      <c r="I349" s="74">
        <f ca="1">IFERROR(__xludf.DUMMYFUNCTION("""COMPUTED_VALUE"""),20)</f>
        <v>20</v>
      </c>
    </row>
    <row r="350" spans="2:9" ht="27" customHeight="1">
      <c r="B350" s="73" t="str">
        <f ca="1">IFERROR(__xludf.DUMMYFUNCTION("""COMPUTED_VALUE"""),"Sonda Foley 22 3 vias")</f>
        <v>Sonda Foley 22 3 vias</v>
      </c>
      <c r="C350" s="73" t="str">
        <f ca="1">IFERROR(__xludf.DUMMYFUNCTION("""COMPUTED_VALUE"""),"Unidad")</f>
        <v>Unidad</v>
      </c>
      <c r="D350" s="73"/>
      <c r="E350" s="73" t="str">
        <f ca="1">IFERROR(__xludf.DUMMYFUNCTION("""COMPUTED_VALUE"""),"H&amp;L")</f>
        <v>H&amp;L</v>
      </c>
      <c r="F350" s="75">
        <f ca="1">IFERROR(__xludf.DUMMYFUNCTION("""COMPUTED_VALUE"""),46018)</f>
        <v>46018</v>
      </c>
      <c r="G350" s="74">
        <f ca="1">IFERROR(__xludf.DUMMYFUNCTION("""COMPUTED_VALUE"""),8)</f>
        <v>8</v>
      </c>
      <c r="H350" s="74">
        <f ca="1">IFERROR(__xludf.DUMMYFUNCTION("""COMPUTED_VALUE"""),11.2)</f>
        <v>11.2</v>
      </c>
      <c r="I350" s="74">
        <f ca="1">IFERROR(__xludf.DUMMYFUNCTION("""COMPUTED_VALUE"""),20)</f>
        <v>20</v>
      </c>
    </row>
    <row r="351" spans="2:9" ht="27" customHeight="1">
      <c r="B351" s="73" t="str">
        <f ca="1">IFERROR(__xludf.DUMMYFUNCTION("""COMPUTED_VALUE"""),"SONDA DE ALIMENTACIÓN #10")</f>
        <v>SONDA DE ALIMENTACIÓN #10</v>
      </c>
      <c r="C351" s="73" t="str">
        <f ca="1">IFERROR(__xludf.DUMMYFUNCTION("""COMPUTED_VALUE"""),"UNIDAD")</f>
        <v>UNIDAD</v>
      </c>
      <c r="D351" s="73"/>
      <c r="E351" s="73" t="str">
        <f ca="1">IFERROR(__xludf.DUMMYFUNCTION("""COMPUTED_VALUE"""),"H&amp;L")</f>
        <v>H&amp;L</v>
      </c>
      <c r="F351" s="75">
        <f ca="1">IFERROR(__xludf.DUMMYFUNCTION("""COMPUTED_VALUE"""),45774)</f>
        <v>45774</v>
      </c>
      <c r="G351" s="74">
        <f ca="1">IFERROR(__xludf.DUMMYFUNCTION("""COMPUTED_VALUE"""),46722)</f>
        <v>46722</v>
      </c>
      <c r="H351" s="74">
        <f ca="1">IFERROR(__xludf.DUMMYFUNCTION("""COMPUTED_VALUE"""),65410.8)</f>
        <v>65410.8</v>
      </c>
      <c r="I351" s="74">
        <f ca="1">IFERROR(__xludf.DUMMYFUNCTION("""COMPUTED_VALUE"""),25)</f>
        <v>25</v>
      </c>
    </row>
    <row r="352" spans="2:9" ht="27" customHeight="1">
      <c r="B352" s="73" t="str">
        <f ca="1">IFERROR(__xludf.DUMMYFUNCTION("""COMPUTED_VALUE"""),"SONDA DE ALIMENTACIÓN #5")</f>
        <v>SONDA DE ALIMENTACIÓN #5</v>
      </c>
      <c r="C352" s="73" t="str">
        <f ca="1">IFERROR(__xludf.DUMMYFUNCTION("""COMPUTED_VALUE"""),"UNIDAD")</f>
        <v>UNIDAD</v>
      </c>
      <c r="D352" s="73"/>
      <c r="E352" s="73" t="str">
        <f ca="1">IFERROR(__xludf.DUMMYFUNCTION("""COMPUTED_VALUE"""),"H&amp;L")</f>
        <v>H&amp;L</v>
      </c>
      <c r="F352" s="73" t="str">
        <f ca="1">IFERROR(__xludf.DUMMYFUNCTION("""COMPUTED_VALUE"""),"INSUMEDIC GT")</f>
        <v>INSUMEDIC GT</v>
      </c>
      <c r="G352" s="74">
        <f ca="1">IFERROR(__xludf.DUMMYFUNCTION("""COMPUTED_VALUE"""),47119)</f>
        <v>47119</v>
      </c>
      <c r="H352" s="74">
        <f ca="1">IFERROR(__xludf.DUMMYFUNCTION("""COMPUTED_VALUE"""),65966.6)</f>
        <v>65966.600000000006</v>
      </c>
      <c r="I352" s="74">
        <f ca="1">IFERROR(__xludf.DUMMYFUNCTION("""COMPUTED_VALUE"""),25)</f>
        <v>25</v>
      </c>
    </row>
    <row r="353" spans="2:9" ht="27" customHeight="1">
      <c r="B353" s="73" t="str">
        <f ca="1">IFERROR(__xludf.DUMMYFUNCTION("""COMPUTED_VALUE"""),"SONDA DE ALIMENTACIÓN #8")</f>
        <v>SONDA DE ALIMENTACIÓN #8</v>
      </c>
      <c r="C353" s="73" t="str">
        <f ca="1">IFERROR(__xludf.DUMMYFUNCTION("""COMPUTED_VALUE"""),"UNIDAD")</f>
        <v>UNIDAD</v>
      </c>
      <c r="D353" s="73"/>
      <c r="E353" s="73" t="str">
        <f ca="1">IFERROR(__xludf.DUMMYFUNCTION("""COMPUTED_VALUE"""),"H&amp;L")</f>
        <v>H&amp;L</v>
      </c>
      <c r="F353" s="73" t="str">
        <f ca="1">IFERROR(__xludf.DUMMYFUNCTION("""COMPUTED_VALUE"""),"INSUMEDIC GT")</f>
        <v>INSUMEDIC GT</v>
      </c>
      <c r="G353" s="74">
        <f ca="1">IFERROR(__xludf.DUMMYFUNCTION("""COMPUTED_VALUE"""),47119)</f>
        <v>47119</v>
      </c>
      <c r="H353" s="74">
        <f ca="1">IFERROR(__xludf.DUMMYFUNCTION("""COMPUTED_VALUE"""),65966.6)</f>
        <v>65966.600000000006</v>
      </c>
      <c r="I353" s="74">
        <f ca="1">IFERROR(__xludf.DUMMYFUNCTION("""COMPUTED_VALUE"""),25)</f>
        <v>25</v>
      </c>
    </row>
    <row r="354" spans="2:9" ht="27" customHeight="1">
      <c r="B354" s="73" t="str">
        <f ca="1">IFERROR(__xludf.DUMMYFUNCTION("""COMPUTED_VALUE"""),"SONDA DE SUCCIÓN #14")</f>
        <v>SONDA DE SUCCIÓN #14</v>
      </c>
      <c r="C354" s="73" t="str">
        <f ca="1">IFERROR(__xludf.DUMMYFUNCTION("""COMPUTED_VALUE"""),"UNIDAD")</f>
        <v>UNIDAD</v>
      </c>
      <c r="D354" s="73"/>
      <c r="E354" s="73" t="str">
        <f ca="1">IFERROR(__xludf.DUMMYFUNCTION("""COMPUTED_VALUE"""),"H&amp;L")</f>
        <v>H&amp;L</v>
      </c>
      <c r="F354" s="73" t="str">
        <f ca="1">IFERROR(__xludf.DUMMYFUNCTION("""COMPUTED_VALUE"""),"INSUMEDIC GT")</f>
        <v>INSUMEDIC GT</v>
      </c>
      <c r="G354" s="74">
        <f ca="1">IFERROR(__xludf.DUMMYFUNCTION("""COMPUTED_VALUE"""),46327)</f>
        <v>46327</v>
      </c>
      <c r="H354" s="74">
        <f ca="1">IFERROR(__xludf.DUMMYFUNCTION("""COMPUTED_VALUE"""),64857.8)</f>
        <v>64857.8</v>
      </c>
      <c r="I354" s="74">
        <f ca="1">IFERROR(__xludf.DUMMYFUNCTION("""COMPUTED_VALUE"""),25)</f>
        <v>25</v>
      </c>
    </row>
    <row r="355" spans="2:9" ht="27" customHeight="1">
      <c r="B355" s="73" t="str">
        <f ca="1">IFERROR(__xludf.DUMMYFUNCTION("""COMPUTED_VALUE"""),"SONDA DE SUCCIÓN #18")</f>
        <v>SONDA DE SUCCIÓN #18</v>
      </c>
      <c r="C355" s="73" t="str">
        <f ca="1">IFERROR(__xludf.DUMMYFUNCTION("""COMPUTED_VALUE"""),"UNIDAD")</f>
        <v>UNIDAD</v>
      </c>
      <c r="D355" s="73"/>
      <c r="E355" s="73" t="str">
        <f ca="1">IFERROR(__xludf.DUMMYFUNCTION("""COMPUTED_VALUE"""),"H&amp;L")</f>
        <v>H&amp;L</v>
      </c>
      <c r="F355" s="73" t="str">
        <f ca="1">IFERROR(__xludf.DUMMYFUNCTION("""COMPUTED_VALUE"""),"INSUMEDIC GT")</f>
        <v>INSUMEDIC GT</v>
      </c>
      <c r="G355" s="74">
        <f ca="1">IFERROR(__xludf.DUMMYFUNCTION("""COMPUTED_VALUE"""),46204)</f>
        <v>46204</v>
      </c>
      <c r="H355" s="74">
        <f ca="1">IFERROR(__xludf.DUMMYFUNCTION("""COMPUTED_VALUE"""),64685.6)</f>
        <v>64685.599999999999</v>
      </c>
      <c r="I355" s="74">
        <f ca="1">IFERROR(__xludf.DUMMYFUNCTION("""COMPUTED_VALUE"""),25)</f>
        <v>25</v>
      </c>
    </row>
    <row r="356" spans="2:9" ht="27" customHeight="1">
      <c r="B356" s="73" t="str">
        <f ca="1">IFERROR(__xludf.DUMMYFUNCTION("""COMPUTED_VALUE"""),"SONDA DE SUCCIÓN #6")</f>
        <v>SONDA DE SUCCIÓN #6</v>
      </c>
      <c r="C356" s="73" t="str">
        <f ca="1">IFERROR(__xludf.DUMMYFUNCTION("""COMPUTED_VALUE"""),"UNIDAD")</f>
        <v>UNIDAD</v>
      </c>
      <c r="D356" s="73"/>
      <c r="E356" s="73" t="str">
        <f ca="1">IFERROR(__xludf.DUMMYFUNCTION("""COMPUTED_VALUE"""),"H&amp;L")</f>
        <v>H&amp;L</v>
      </c>
      <c r="F356" s="73" t="str">
        <f ca="1">IFERROR(__xludf.DUMMYFUNCTION("""COMPUTED_VALUE"""),"INSUMEDIC GT")</f>
        <v>INSUMEDIC GT</v>
      </c>
      <c r="G356" s="74">
        <f ca="1">IFERROR(__xludf.DUMMYFUNCTION("""COMPUTED_VALUE"""),46539)</f>
        <v>46539</v>
      </c>
      <c r="H356" s="74">
        <f ca="1">IFERROR(__xludf.DUMMYFUNCTION("""COMPUTED_VALUE"""),65154.6)</f>
        <v>65154.6</v>
      </c>
      <c r="I356" s="74">
        <f ca="1">IFERROR(__xludf.DUMMYFUNCTION("""COMPUTED_VALUE"""),25)</f>
        <v>25</v>
      </c>
    </row>
    <row r="357" spans="2:9" ht="27" customHeight="1">
      <c r="B357" s="73" t="str">
        <f ca="1">IFERROR(__xludf.DUMMYFUNCTION("""COMPUTED_VALUE"""),"Sellos de heparina")</f>
        <v>Sellos de heparina</v>
      </c>
      <c r="C357" s="73" t="str">
        <f ca="1">IFERROR(__xludf.DUMMYFUNCTION("""COMPUTED_VALUE"""),"caja 100 u,.")</f>
        <v>caja 100 u,.</v>
      </c>
      <c r="D357" s="73"/>
      <c r="E357" s="73" t="str">
        <f ca="1">IFERROR(__xludf.DUMMYFUNCTION("""COMPUTED_VALUE"""),"H&amp;L")</f>
        <v>H&amp;L</v>
      </c>
      <c r="F357" s="73" t="str">
        <f ca="1">IFERROR(__xludf.DUMMYFUNCTION("""COMPUTED_VALUE"""),"INSUMEDIC GT")</f>
        <v>INSUMEDIC GT</v>
      </c>
      <c r="G357" s="74">
        <f ca="1">IFERROR(__xludf.DUMMYFUNCTION("""COMPUTED_VALUE"""),1)</f>
        <v>1</v>
      </c>
      <c r="H357" s="74">
        <f ca="1">IFERROR(__xludf.DUMMYFUNCTION("""COMPUTED_VALUE"""),1.4)</f>
        <v>1.4</v>
      </c>
      <c r="I357" s="74">
        <f ca="1">IFERROR(__xludf.DUMMYFUNCTION("""COMPUTED_VALUE"""),5)</f>
        <v>5</v>
      </c>
    </row>
    <row r="358" spans="2:9" ht="27" customHeight="1">
      <c r="B358" s="73" t="str">
        <f ca="1">IFERROR(__xludf.DUMMYFUNCTION("""COMPUTED_VALUE"""),"Tiras para Glucómetro")</f>
        <v>Tiras para Glucómetro</v>
      </c>
      <c r="C358" s="73" t="str">
        <f ca="1">IFERROR(__xludf.DUMMYFUNCTION("""COMPUTED_VALUE"""),"caja 50 tiras")</f>
        <v>caja 50 tiras</v>
      </c>
      <c r="D358" s="73"/>
      <c r="E358" s="73" t="str">
        <f ca="1">IFERROR(__xludf.DUMMYFUNCTION("""COMPUTED_VALUE"""),"H&amp;L")</f>
        <v>H&amp;L</v>
      </c>
      <c r="F358" s="75">
        <f ca="1">IFERROR(__xludf.DUMMYFUNCTION("""COMPUTED_VALUE"""),45803)</f>
        <v>45803</v>
      </c>
      <c r="G358" s="74">
        <f ca="1">IFERROR(__xludf.DUMMYFUNCTION("""COMPUTED_VALUE"""),110)</f>
        <v>110</v>
      </c>
      <c r="H358" s="74">
        <f ca="1">IFERROR(__xludf.DUMMYFUNCTION("""COMPUTED_VALUE"""),154)</f>
        <v>154</v>
      </c>
      <c r="I358" s="74">
        <f ca="1">IFERROR(__xludf.DUMMYFUNCTION("""COMPUTED_VALUE"""),155)</f>
        <v>155</v>
      </c>
    </row>
    <row r="359" spans="2:9" ht="27" customHeight="1">
      <c r="B359" s="73" t="str">
        <f ca="1">IFERROR(__xludf.DUMMYFUNCTION("""COMPUTED_VALUE"""),"Termòmetros Orales")</f>
        <v>Termòmetros Orales</v>
      </c>
      <c r="C359" s="73" t="str">
        <f ca="1">IFERROR(__xludf.DUMMYFUNCTION("""COMPUTED_VALUE"""),"Unidad")</f>
        <v>Unidad</v>
      </c>
      <c r="D359" s="73"/>
      <c r="E359" s="73" t="str">
        <f ca="1">IFERROR(__xludf.DUMMYFUNCTION("""COMPUTED_VALUE"""),"H&amp;L")</f>
        <v>H&amp;L</v>
      </c>
      <c r="F359" s="75">
        <f ca="1">IFERROR(__xludf.DUMMYFUNCTION("""COMPUTED_VALUE"""),45926)</f>
        <v>45926</v>
      </c>
      <c r="G359" s="74">
        <f ca="1">IFERROR(__xludf.DUMMYFUNCTION("""COMPUTED_VALUE"""),70)</f>
        <v>70</v>
      </c>
      <c r="H359" s="74">
        <f ca="1">IFERROR(__xludf.DUMMYFUNCTION("""COMPUTED_VALUE"""),98)</f>
        <v>98</v>
      </c>
      <c r="I359" s="74">
        <f ca="1">IFERROR(__xludf.DUMMYFUNCTION("""COMPUTED_VALUE"""),100)</f>
        <v>100</v>
      </c>
    </row>
    <row r="360" spans="2:9" ht="27" customHeight="1">
      <c r="B360" s="73" t="str">
        <f ca="1">IFERROR(__xludf.DUMMYFUNCTION("""COMPUTED_VALUE"""),"TUBO DE ASPIRACIÓN")</f>
        <v>TUBO DE ASPIRACIÓN</v>
      </c>
      <c r="C360" s="73" t="str">
        <f ca="1">IFERROR(__xludf.DUMMYFUNCTION("""COMPUTED_VALUE"""),"UNIDAD")</f>
        <v>UNIDAD</v>
      </c>
      <c r="D360" s="73"/>
      <c r="E360" s="73" t="str">
        <f ca="1">IFERROR(__xludf.DUMMYFUNCTION("""COMPUTED_VALUE"""),"INSUMEDIC GT")</f>
        <v>INSUMEDIC GT</v>
      </c>
      <c r="F360" s="75">
        <f ca="1">IFERROR(__xludf.DUMMYFUNCTION("""COMPUTED_VALUE"""),45864)</f>
        <v>45864</v>
      </c>
      <c r="G360" s="74">
        <f ca="1">IFERROR(__xludf.DUMMYFUNCTION("""COMPUTED_VALUE"""),35)</f>
        <v>35</v>
      </c>
      <c r="H360" s="74">
        <f ca="1">IFERROR(__xludf.DUMMYFUNCTION("""COMPUTED_VALUE"""),49)</f>
        <v>49</v>
      </c>
      <c r="I360" s="74">
        <f ca="1">IFERROR(__xludf.DUMMYFUNCTION("""COMPUTED_VALUE"""),50)</f>
        <v>50</v>
      </c>
    </row>
    <row r="361" spans="2:9" ht="27" customHeight="1">
      <c r="B361" s="73" t="str">
        <f ca="1">IFERROR(__xludf.DUMMYFUNCTION("""COMPUTED_VALUE"""),"Tubo de Penros de 1/2")</f>
        <v>Tubo de Penros de 1/2</v>
      </c>
      <c r="C361" s="73" t="str">
        <f ca="1">IFERROR(__xludf.DUMMYFUNCTION("""COMPUTED_VALUE"""),"Unidad")</f>
        <v>Unidad</v>
      </c>
      <c r="D361" s="73"/>
      <c r="E361" s="73" t="str">
        <f ca="1">IFERROR(__xludf.DUMMYFUNCTION("""COMPUTED_VALUE"""),"H&amp;L")</f>
        <v>H&amp;L</v>
      </c>
      <c r="F361" s="75">
        <f ca="1">IFERROR(__xludf.DUMMYFUNCTION("""COMPUTED_VALUE"""),45775)</f>
        <v>45775</v>
      </c>
      <c r="G361" s="74">
        <f ca="1">IFERROR(__xludf.DUMMYFUNCTION("""COMPUTED_VALUE"""),65)</f>
        <v>65</v>
      </c>
      <c r="H361" s="74">
        <f ca="1">IFERROR(__xludf.DUMMYFUNCTION("""COMPUTED_VALUE"""),91)</f>
        <v>91</v>
      </c>
      <c r="I361" s="74">
        <f ca="1">IFERROR(__xludf.DUMMYFUNCTION("""COMPUTED_VALUE"""),109.76)</f>
        <v>109.76</v>
      </c>
    </row>
    <row r="362" spans="2:9" ht="27" customHeight="1">
      <c r="B362" s="73" t="str">
        <f ca="1">IFERROR(__xludf.DUMMYFUNCTION("""COMPUTED_VALUE"""),"Tubo de Penros de 1 Pulg.")</f>
        <v>Tubo de Penros de 1 Pulg.</v>
      </c>
      <c r="C362" s="73" t="str">
        <f ca="1">IFERROR(__xludf.DUMMYFUNCTION("""COMPUTED_VALUE"""),"fco.")</f>
        <v>fco.</v>
      </c>
      <c r="D362" s="73"/>
      <c r="E362" s="73" t="str">
        <f ca="1">IFERROR(__xludf.DUMMYFUNCTION("""COMPUTED_VALUE"""),"H&amp;L")</f>
        <v>H&amp;L</v>
      </c>
      <c r="F362" s="75">
        <f ca="1">IFERROR(__xludf.DUMMYFUNCTION("""COMPUTED_VALUE"""),45742)</f>
        <v>45742</v>
      </c>
      <c r="G362" s="74">
        <f ca="1">IFERROR(__xludf.DUMMYFUNCTION("""COMPUTED_VALUE"""),275.06)</f>
        <v>275.06</v>
      </c>
      <c r="H362" s="74">
        <f ca="1">IFERROR(__xludf.DUMMYFUNCTION("""COMPUTED_VALUE"""),385.084)</f>
        <v>385.084</v>
      </c>
      <c r="I362" s="74">
        <f ca="1">IFERROR(__xludf.DUMMYFUNCTION("""COMPUTED_VALUE"""),109.94)</f>
        <v>109.94</v>
      </c>
    </row>
    <row r="363" spans="2:9" ht="27" customHeight="1">
      <c r="B363" s="73" t="str">
        <f ca="1">IFERROR(__xludf.DUMMYFUNCTION("""COMPUTED_VALUE"""),"Vaselina solida")</f>
        <v>Vaselina solida</v>
      </c>
      <c r="C363" s="73" t="str">
        <f ca="1">IFERROR(__xludf.DUMMYFUNCTION("""COMPUTED_VALUE"""),"Unidad")</f>
        <v>Unidad</v>
      </c>
      <c r="D363" s="73"/>
      <c r="E363" s="73" t="str">
        <f ca="1">IFERROR(__xludf.DUMMYFUNCTION("""COMPUTED_VALUE"""),"H&amp;L")</f>
        <v>H&amp;L</v>
      </c>
      <c r="F363" s="75">
        <f ca="1">IFERROR(__xludf.DUMMYFUNCTION("""COMPUTED_VALUE"""),45988)</f>
        <v>45988</v>
      </c>
      <c r="G363" s="74">
        <f ca="1">IFERROR(__xludf.DUMMYFUNCTION("""COMPUTED_VALUE"""),128.58)</f>
        <v>128.58000000000001</v>
      </c>
      <c r="H363" s="74">
        <f ca="1">IFERROR(__xludf.DUMMYFUNCTION("""COMPUTED_VALUE"""),180.012)</f>
        <v>180.012</v>
      </c>
      <c r="I363" s="74">
        <f ca="1">IFERROR(__xludf.DUMMYFUNCTION("""COMPUTED_VALUE"""),94.7)</f>
        <v>94.7</v>
      </c>
    </row>
    <row r="364" spans="2:9" ht="27" customHeight="1">
      <c r="B364" s="73" t="str">
        <f ca="1">IFERROR(__xludf.DUMMYFUNCTION("""COMPUTED_VALUE"""),"Venda de gaza 4 pulg.")</f>
        <v>Venda de gaza 4 pulg.</v>
      </c>
      <c r="C364" s="73" t="str">
        <f ca="1">IFERROR(__xludf.DUMMYFUNCTION("""COMPUTED_VALUE"""),"Unidad")</f>
        <v>Unidad</v>
      </c>
      <c r="D364" s="73"/>
      <c r="E364" s="73" t="str">
        <f ca="1">IFERROR(__xludf.DUMMYFUNCTION("""COMPUTED_VALUE"""),"H&amp;L")</f>
        <v>H&amp;L</v>
      </c>
      <c r="F364" s="75">
        <f ca="1">IFERROR(__xludf.DUMMYFUNCTION("""COMPUTED_VALUE"""),45956)</f>
        <v>45956</v>
      </c>
      <c r="G364" s="74">
        <f ca="1">IFERROR(__xludf.DUMMYFUNCTION("""COMPUTED_VALUE"""),15.75)</f>
        <v>15.75</v>
      </c>
      <c r="H364" s="74">
        <f ca="1">IFERROR(__xludf.DUMMYFUNCTION("""COMPUTED_VALUE"""),22.05)</f>
        <v>22.05</v>
      </c>
      <c r="I364" s="74">
        <f ca="1">IFERROR(__xludf.DUMMYFUNCTION("""COMPUTED_VALUE"""),25)</f>
        <v>25</v>
      </c>
    </row>
    <row r="365" spans="2:9" ht="27" customHeight="1">
      <c r="B365" s="73" t="str">
        <f ca="1">IFERROR(__xludf.DUMMYFUNCTION("""COMPUTED_VALUE"""),"Venda de guata 4 Pulg.")</f>
        <v>Venda de guata 4 Pulg.</v>
      </c>
      <c r="C365" s="73" t="str">
        <f ca="1">IFERROR(__xludf.DUMMYFUNCTION("""COMPUTED_VALUE"""),"Unidad")</f>
        <v>Unidad</v>
      </c>
      <c r="D365" s="73"/>
      <c r="E365" s="73" t="str">
        <f ca="1">IFERROR(__xludf.DUMMYFUNCTION("""COMPUTED_VALUE"""),"H&amp;L")</f>
        <v>H&amp;L</v>
      </c>
      <c r="F365" s="75">
        <f ca="1">IFERROR(__xludf.DUMMYFUNCTION("""COMPUTED_VALUE"""),45773)</f>
        <v>45773</v>
      </c>
      <c r="G365" s="74">
        <f ca="1">IFERROR(__xludf.DUMMYFUNCTION("""COMPUTED_VALUE"""),15)</f>
        <v>15</v>
      </c>
      <c r="H365" s="74">
        <f ca="1">IFERROR(__xludf.DUMMYFUNCTION("""COMPUTED_VALUE"""),21)</f>
        <v>21</v>
      </c>
      <c r="I365" s="74">
        <f ca="1">IFERROR(__xludf.DUMMYFUNCTION("""COMPUTED_VALUE"""),242.03)</f>
        <v>242.03</v>
      </c>
    </row>
    <row r="366" spans="2:9" ht="27" customHeight="1">
      <c r="B366" s="73" t="str">
        <f ca="1">IFERROR(__xludf.DUMMYFUNCTION("""COMPUTED_VALUE"""),"Venda de yeso 4 pulg.")</f>
        <v>Venda de yeso 4 pulg.</v>
      </c>
      <c r="C366" s="73" t="str">
        <f ca="1">IFERROR(__xludf.DUMMYFUNCTION("""COMPUTED_VALUE"""),"Unidad")</f>
        <v>Unidad</v>
      </c>
      <c r="D366" s="73"/>
      <c r="E366" s="73" t="str">
        <f ca="1">IFERROR(__xludf.DUMMYFUNCTION("""COMPUTED_VALUE"""),"H&amp;L")</f>
        <v>H&amp;L</v>
      </c>
      <c r="F366" s="75">
        <f ca="1">IFERROR(__xludf.DUMMYFUNCTION("""COMPUTED_VALUE"""),45683)</f>
        <v>45683</v>
      </c>
      <c r="G366" s="74">
        <f ca="1">IFERROR(__xludf.DUMMYFUNCTION("""COMPUTED_VALUE"""),52.5)</f>
        <v>52.5</v>
      </c>
      <c r="H366" s="74">
        <f ca="1">IFERROR(__xludf.DUMMYFUNCTION("""COMPUTED_VALUE"""),73.5)</f>
        <v>73.5</v>
      </c>
      <c r="I366" s="74">
        <f ca="1">IFERROR(__xludf.DUMMYFUNCTION("""COMPUTED_VALUE"""),159.66)</f>
        <v>159.66</v>
      </c>
    </row>
    <row r="367" spans="2:9" ht="27" customHeight="1">
      <c r="B367" s="73" t="str">
        <f ca="1">IFERROR(__xludf.DUMMYFUNCTION("""COMPUTED_VALUE"""),"Venda de yeso 6 pulg.")</f>
        <v>Venda de yeso 6 pulg.</v>
      </c>
      <c r="C367" s="73" t="str">
        <f ca="1">IFERROR(__xludf.DUMMYFUNCTION("""COMPUTED_VALUE"""),"Unidad")</f>
        <v>Unidad</v>
      </c>
      <c r="D367" s="73"/>
      <c r="E367" s="73" t="str">
        <f ca="1">IFERROR(__xludf.DUMMYFUNCTION("""COMPUTED_VALUE"""),"H&amp;L")</f>
        <v>H&amp;L</v>
      </c>
      <c r="F367" s="75">
        <f ca="1">IFERROR(__xludf.DUMMYFUNCTION("""COMPUTED_VALUE"""),45686)</f>
        <v>45686</v>
      </c>
      <c r="G367" s="74">
        <f ca="1">IFERROR(__xludf.DUMMYFUNCTION("""COMPUTED_VALUE"""),75)</f>
        <v>75</v>
      </c>
      <c r="H367" s="74">
        <f ca="1">IFERROR(__xludf.DUMMYFUNCTION("""COMPUTED_VALUE"""),105)</f>
        <v>105</v>
      </c>
      <c r="I367" s="74">
        <f ca="1">IFERROR(__xludf.DUMMYFUNCTION("""COMPUTED_VALUE"""),110.11)</f>
        <v>110.11</v>
      </c>
    </row>
    <row r="368" spans="2:9" ht="27" customHeight="1">
      <c r="B368" s="73" t="str">
        <f ca="1">IFERROR(__xludf.DUMMYFUNCTION("""COMPUTED_VALUE"""),"Venda Elastica 4 Pulg. Don.")</f>
        <v>Venda Elastica 4 Pulg. Don.</v>
      </c>
      <c r="C368" s="73" t="str">
        <f ca="1">IFERROR(__xludf.DUMMYFUNCTION("""COMPUTED_VALUE"""),"Unidad")</f>
        <v>Unidad</v>
      </c>
      <c r="D368" s="73"/>
      <c r="E368" s="73" t="str">
        <f ca="1">IFERROR(__xludf.DUMMYFUNCTION("""COMPUTED_VALUE"""),"H&amp;L")</f>
        <v>H&amp;L</v>
      </c>
      <c r="F368" s="75">
        <f ca="1">IFERROR(__xludf.DUMMYFUNCTION("""COMPUTED_VALUE"""),45835)</f>
        <v>45835</v>
      </c>
      <c r="G368" s="74">
        <f ca="1">IFERROR(__xludf.DUMMYFUNCTION("""COMPUTED_VALUE"""),86.5)</f>
        <v>86.5</v>
      </c>
      <c r="H368" s="74">
        <f ca="1">IFERROR(__xludf.DUMMYFUNCTION("""COMPUTED_VALUE"""),121.1)</f>
        <v>121.1</v>
      </c>
      <c r="I368" s="74">
        <f ca="1">IFERROR(__xludf.DUMMYFUNCTION("""COMPUTED_VALUE"""),271.4)</f>
        <v>271.39999999999998</v>
      </c>
    </row>
    <row r="369" spans="2:9" ht="27" customHeight="1">
      <c r="B369" s="73" t="str">
        <f ca="1">IFERROR(__xludf.DUMMYFUNCTION("""COMPUTED_VALUE"""),"Venda Elastica 6 Pulg")</f>
        <v>Venda Elastica 6 Pulg</v>
      </c>
      <c r="C369" s="73" t="str">
        <f ca="1">IFERROR(__xludf.DUMMYFUNCTION("""COMPUTED_VALUE"""),"Unidad")</f>
        <v>Unidad</v>
      </c>
      <c r="D369" s="73"/>
      <c r="E369" s="73" t="str">
        <f ca="1">IFERROR(__xludf.DUMMYFUNCTION("""COMPUTED_VALUE"""),"H&amp;L")</f>
        <v>H&amp;L</v>
      </c>
      <c r="F369" s="75">
        <f ca="1">IFERROR(__xludf.DUMMYFUNCTION("""COMPUTED_VALUE"""),45713)</f>
        <v>45713</v>
      </c>
      <c r="G369" s="74">
        <f ca="1">IFERROR(__xludf.DUMMYFUNCTION("""COMPUTED_VALUE"""),135)</f>
        <v>135</v>
      </c>
      <c r="H369" s="74">
        <f ca="1">IFERROR(__xludf.DUMMYFUNCTION("""COMPUTED_VALUE"""),189)</f>
        <v>189</v>
      </c>
      <c r="I369" s="74">
        <f ca="1">IFERROR(__xludf.DUMMYFUNCTION("""COMPUTED_VALUE"""),87.5)</f>
        <v>87.5</v>
      </c>
    </row>
    <row r="370" spans="2:9" ht="27" customHeight="1">
      <c r="B370" s="73" t="str">
        <f ca="1">IFERROR(__xludf.DUMMYFUNCTION("""COMPUTED_VALUE"""),"peras de succion")</f>
        <v>peras de succion</v>
      </c>
      <c r="C370" s="73" t="str">
        <f ca="1">IFERROR(__xludf.DUMMYFUNCTION("""COMPUTED_VALUE"""),"UNIDAD")</f>
        <v>UNIDAD</v>
      </c>
      <c r="D370" s="73"/>
      <c r="E370" s="73" t="str">
        <f ca="1">IFERROR(__xludf.DUMMYFUNCTION("""COMPUTED_VALUE"""),"H&amp;L")</f>
        <v>H&amp;L</v>
      </c>
      <c r="F370" s="75">
        <f ca="1">IFERROR(__xludf.DUMMYFUNCTION("""COMPUTED_VALUE"""),45958)</f>
        <v>45958</v>
      </c>
      <c r="G370" s="74">
        <f ca="1">IFERROR(__xludf.DUMMYFUNCTION("""COMPUTED_VALUE"""),10)</f>
        <v>10</v>
      </c>
      <c r="H370" s="74">
        <f ca="1">IFERROR(__xludf.DUMMYFUNCTION("""COMPUTED_VALUE"""),14)</f>
        <v>14</v>
      </c>
      <c r="I370" s="74">
        <f ca="1">IFERROR(__xludf.DUMMYFUNCTION("""COMPUTED_VALUE"""),25)</f>
        <v>25</v>
      </c>
    </row>
    <row r="371" spans="2:9" ht="27" customHeight="1">
      <c r="B371" s="59"/>
      <c r="C371" s="59"/>
      <c r="D371" s="59"/>
      <c r="E371" s="59"/>
      <c r="F371" s="59"/>
      <c r="G371" s="59"/>
      <c r="H371" s="59"/>
      <c r="I371" s="59"/>
    </row>
    <row r="372" spans="2:9" ht="27" customHeight="1">
      <c r="B372" s="59"/>
      <c r="C372" s="59"/>
      <c r="D372" s="59"/>
      <c r="E372" s="59"/>
      <c r="F372" s="59"/>
      <c r="G372" s="59"/>
      <c r="H372" s="59"/>
      <c r="I372" s="59"/>
    </row>
    <row r="373" spans="2:9" ht="27" customHeight="1">
      <c r="B373" s="59"/>
      <c r="C373" s="59"/>
      <c r="D373" s="59"/>
      <c r="E373" s="59"/>
      <c r="F373" s="59"/>
      <c r="G373" s="59"/>
      <c r="H373" s="59"/>
      <c r="I373" s="59"/>
    </row>
    <row r="374" spans="2:9" ht="27" customHeight="1">
      <c r="B374" s="59"/>
      <c r="C374" s="59"/>
      <c r="D374" s="59"/>
      <c r="E374" s="59"/>
      <c r="F374" s="59"/>
      <c r="G374" s="59"/>
      <c r="H374" s="59"/>
      <c r="I374" s="59"/>
    </row>
    <row r="375" spans="2:9" ht="27" customHeight="1">
      <c r="B375" s="59"/>
      <c r="C375" s="59"/>
      <c r="D375" s="59"/>
      <c r="E375" s="59"/>
      <c r="F375" s="59"/>
      <c r="G375" s="59"/>
      <c r="H375" s="59"/>
      <c r="I375" s="59"/>
    </row>
    <row r="376" spans="2:9" ht="27" customHeight="1">
      <c r="B376" s="59"/>
      <c r="C376" s="59"/>
      <c r="D376" s="59"/>
      <c r="E376" s="59"/>
      <c r="F376" s="59"/>
      <c r="G376" s="59"/>
      <c r="H376" s="59"/>
      <c r="I376" s="59"/>
    </row>
    <row r="377" spans="2:9" ht="27" customHeight="1">
      <c r="B377" s="59"/>
      <c r="C377" s="59"/>
      <c r="D377" s="59"/>
      <c r="E377" s="59"/>
      <c r="F377" s="59"/>
      <c r="G377" s="59"/>
      <c r="H377" s="59"/>
      <c r="I377" s="59"/>
    </row>
    <row r="378" spans="2:9" ht="27" customHeight="1">
      <c r="B378" s="59"/>
      <c r="C378" s="59"/>
      <c r="D378" s="59"/>
      <c r="E378" s="59"/>
      <c r="F378" s="59"/>
      <c r="G378" s="59"/>
      <c r="H378" s="59"/>
      <c r="I378" s="59"/>
    </row>
    <row r="379" spans="2:9" ht="27" customHeight="1">
      <c r="B379" s="59"/>
      <c r="C379" s="59"/>
      <c r="D379" s="59"/>
      <c r="E379" s="59"/>
      <c r="F379" s="59"/>
      <c r="G379" s="59"/>
      <c r="H379" s="59"/>
      <c r="I379" s="59"/>
    </row>
    <row r="380" spans="2:9" ht="27" customHeight="1">
      <c r="B380" s="59"/>
      <c r="C380" s="59"/>
      <c r="D380" s="59"/>
      <c r="E380" s="59"/>
      <c r="F380" s="59"/>
      <c r="G380" s="59"/>
      <c r="H380" s="59"/>
      <c r="I380" s="59"/>
    </row>
    <row r="381" spans="2:9" ht="27" customHeight="1">
      <c r="B381" s="59"/>
      <c r="C381" s="59"/>
      <c r="D381" s="59"/>
      <c r="E381" s="59"/>
      <c r="F381" s="59"/>
      <c r="G381" s="59"/>
      <c r="H381" s="59"/>
      <c r="I381" s="59"/>
    </row>
    <row r="382" spans="2:9" ht="27" customHeight="1">
      <c r="B382" s="59"/>
      <c r="C382" s="59"/>
      <c r="D382" s="59"/>
      <c r="E382" s="59"/>
      <c r="F382" s="59"/>
      <c r="G382" s="59"/>
      <c r="H382" s="59"/>
      <c r="I382" s="59"/>
    </row>
    <row r="383" spans="2:9" ht="27" customHeight="1">
      <c r="B383" s="59"/>
      <c r="C383" s="59"/>
      <c r="D383" s="59"/>
      <c r="E383" s="59"/>
      <c r="F383" s="59"/>
      <c r="G383" s="59"/>
      <c r="H383" s="59"/>
      <c r="I383" s="59"/>
    </row>
    <row r="384" spans="2:9" ht="27" customHeight="1">
      <c r="B384" s="59"/>
      <c r="C384" s="59"/>
      <c r="D384" s="59"/>
      <c r="E384" s="59"/>
      <c r="F384" s="59"/>
      <c r="G384" s="59"/>
      <c r="H384" s="59"/>
      <c r="I384" s="59"/>
    </row>
    <row r="385" spans="2:9" ht="27" customHeight="1">
      <c r="B385" s="59"/>
      <c r="C385" s="59"/>
      <c r="D385" s="59"/>
      <c r="E385" s="59"/>
      <c r="F385" s="59"/>
      <c r="G385" s="59"/>
      <c r="H385" s="59"/>
      <c r="I385" s="59"/>
    </row>
    <row r="386" spans="2:9" ht="27" customHeight="1">
      <c r="B386" s="59"/>
      <c r="C386" s="59"/>
      <c r="D386" s="59"/>
      <c r="E386" s="59"/>
      <c r="F386" s="59"/>
      <c r="G386" s="59"/>
      <c r="H386" s="59"/>
      <c r="I386" s="59"/>
    </row>
    <row r="387" spans="2:9" ht="27" customHeight="1">
      <c r="B387" s="59"/>
      <c r="C387" s="59"/>
      <c r="D387" s="59"/>
      <c r="E387" s="59"/>
      <c r="F387" s="59"/>
      <c r="G387" s="59"/>
      <c r="H387" s="59"/>
      <c r="I387" s="59"/>
    </row>
    <row r="388" spans="2:9" ht="27" customHeight="1">
      <c r="B388" s="59"/>
      <c r="C388" s="59"/>
      <c r="D388" s="59"/>
      <c r="E388" s="59"/>
      <c r="F388" s="59"/>
      <c r="G388" s="59"/>
      <c r="H388" s="59"/>
      <c r="I388" s="59"/>
    </row>
    <row r="389" spans="2:9" ht="12.75">
      <c r="B389" s="59"/>
      <c r="C389" s="59"/>
      <c r="D389" s="59"/>
      <c r="E389" s="59"/>
      <c r="F389" s="59"/>
      <c r="G389" s="59"/>
      <c r="H389" s="59"/>
      <c r="I389" s="59"/>
    </row>
    <row r="390" spans="2:9" ht="12.75">
      <c r="B390" s="59"/>
      <c r="C390" s="59"/>
      <c r="D390" s="59"/>
      <c r="E390" s="59"/>
      <c r="F390" s="59"/>
      <c r="G390" s="59"/>
      <c r="H390" s="59"/>
      <c r="I390" s="59"/>
    </row>
    <row r="391" spans="2:9" ht="12.75">
      <c r="B391" s="59"/>
      <c r="C391" s="59"/>
      <c r="D391" s="59"/>
      <c r="E391" s="59"/>
      <c r="F391" s="59"/>
      <c r="G391" s="59"/>
      <c r="H391" s="59"/>
      <c r="I391" s="59"/>
    </row>
    <row r="392" spans="2:9" ht="12.75">
      <c r="B392" s="59"/>
      <c r="C392" s="59"/>
      <c r="D392" s="59"/>
      <c r="E392" s="59"/>
      <c r="F392" s="59"/>
      <c r="G392" s="59"/>
      <c r="H392" s="59"/>
      <c r="I392" s="59"/>
    </row>
    <row r="393" spans="2:9" ht="12.75">
      <c r="B393" s="59"/>
      <c r="C393" s="59"/>
      <c r="D393" s="59"/>
      <c r="E393" s="59"/>
      <c r="F393" s="59"/>
      <c r="G393" s="59"/>
      <c r="H393" s="59"/>
      <c r="I393" s="59"/>
    </row>
    <row r="394" spans="2:9" ht="12.75">
      <c r="B394" s="59"/>
      <c r="C394" s="59"/>
      <c r="D394" s="59"/>
      <c r="E394" s="59"/>
      <c r="F394" s="59"/>
      <c r="G394" s="59"/>
      <c r="H394" s="59"/>
      <c r="I394" s="59"/>
    </row>
    <row r="395" spans="2:9" ht="12.75">
      <c r="B395" s="59"/>
      <c r="C395" s="59"/>
      <c r="D395" s="59"/>
      <c r="E395" s="59"/>
      <c r="F395" s="59"/>
      <c r="G395" s="59"/>
      <c r="H395" s="59"/>
      <c r="I395" s="59"/>
    </row>
    <row r="396" spans="2:9" ht="12.75">
      <c r="B396" s="59"/>
      <c r="C396" s="59"/>
      <c r="D396" s="59"/>
      <c r="E396" s="59"/>
      <c r="F396" s="59"/>
      <c r="G396" s="59"/>
      <c r="H396" s="59"/>
      <c r="I396" s="59"/>
    </row>
    <row r="397" spans="2:9" ht="12.75">
      <c r="B397" s="59"/>
      <c r="C397" s="59"/>
      <c r="D397" s="59"/>
      <c r="E397" s="59"/>
      <c r="F397" s="59"/>
      <c r="G397" s="59"/>
      <c r="H397" s="59"/>
      <c r="I397" s="59"/>
    </row>
    <row r="398" spans="2:9" ht="12.75">
      <c r="B398" s="59"/>
      <c r="C398" s="59"/>
      <c r="D398" s="59"/>
      <c r="E398" s="59"/>
      <c r="F398" s="59"/>
      <c r="G398" s="59"/>
      <c r="H398" s="59"/>
      <c r="I398" s="59"/>
    </row>
    <row r="399" spans="2:9" ht="12.75">
      <c r="B399" s="59"/>
      <c r="C399" s="59"/>
      <c r="D399" s="59"/>
      <c r="E399" s="59"/>
      <c r="F399" s="59"/>
      <c r="G399" s="59"/>
      <c r="H399" s="59"/>
      <c r="I399" s="59"/>
    </row>
    <row r="400" spans="2:9" ht="12.75">
      <c r="B400" s="59"/>
      <c r="C400" s="59"/>
      <c r="D400" s="59"/>
      <c r="E400" s="59"/>
      <c r="F400" s="59"/>
      <c r="G400" s="59"/>
      <c r="H400" s="59"/>
      <c r="I400" s="59"/>
    </row>
    <row r="401" spans="2:9" ht="12.75">
      <c r="B401" s="59"/>
      <c r="C401" s="59"/>
      <c r="D401" s="59"/>
      <c r="E401" s="59"/>
      <c r="F401" s="59"/>
      <c r="G401" s="59"/>
      <c r="H401" s="59"/>
      <c r="I401" s="59"/>
    </row>
    <row r="402" spans="2:9" ht="12.75">
      <c r="B402" s="59"/>
      <c r="C402" s="59"/>
      <c r="D402" s="59"/>
      <c r="E402" s="59"/>
      <c r="F402" s="59"/>
      <c r="G402" s="59"/>
      <c r="H402" s="59"/>
      <c r="I402" s="59"/>
    </row>
    <row r="403" spans="2:9" ht="12.75">
      <c r="B403" s="59"/>
      <c r="C403" s="59"/>
      <c r="D403" s="59"/>
      <c r="E403" s="59"/>
      <c r="F403" s="59"/>
      <c r="G403" s="59"/>
      <c r="H403" s="59"/>
      <c r="I403" s="59"/>
    </row>
    <row r="404" spans="2:9" ht="12.75">
      <c r="B404" s="59"/>
      <c r="C404" s="59"/>
      <c r="D404" s="59"/>
      <c r="E404" s="59"/>
      <c r="F404" s="59"/>
      <c r="G404" s="59"/>
      <c r="H404" s="59"/>
      <c r="I404" s="59"/>
    </row>
    <row r="405" spans="2:9" ht="12.75">
      <c r="B405" s="59"/>
      <c r="C405" s="59"/>
      <c r="D405" s="59"/>
      <c r="E405" s="59"/>
      <c r="F405" s="59"/>
      <c r="G405" s="59"/>
      <c r="H405" s="59"/>
      <c r="I405" s="59"/>
    </row>
    <row r="406" spans="2:9" ht="12.75">
      <c r="B406" s="59"/>
      <c r="C406" s="59"/>
      <c r="D406" s="59"/>
      <c r="E406" s="59"/>
      <c r="F406" s="59"/>
      <c r="G406" s="59"/>
      <c r="H406" s="59"/>
      <c r="I406" s="59"/>
    </row>
    <row r="407" spans="2:9" ht="12.75">
      <c r="B407" s="59"/>
      <c r="C407" s="59"/>
      <c r="D407" s="59"/>
      <c r="E407" s="59"/>
      <c r="F407" s="59"/>
      <c r="G407" s="59"/>
      <c r="H407" s="59"/>
      <c r="I407" s="59"/>
    </row>
    <row r="408" spans="2:9" ht="12.75">
      <c r="B408" s="59"/>
      <c r="C408" s="59"/>
      <c r="D408" s="59"/>
      <c r="E408" s="59"/>
      <c r="F408" s="59"/>
      <c r="G408" s="59"/>
      <c r="H408" s="59"/>
      <c r="I408" s="59"/>
    </row>
    <row r="409" spans="2:9" ht="12.75">
      <c r="B409" s="59"/>
      <c r="C409" s="59"/>
      <c r="D409" s="59"/>
      <c r="E409" s="59"/>
      <c r="F409" s="59"/>
      <c r="G409" s="59"/>
      <c r="H409" s="59"/>
      <c r="I409" s="59"/>
    </row>
    <row r="410" spans="2:9" ht="12.75">
      <c r="B410" s="59"/>
      <c r="C410" s="59"/>
      <c r="D410" s="59"/>
      <c r="E410" s="59"/>
      <c r="F410" s="59"/>
      <c r="G410" s="59"/>
      <c r="H410" s="59"/>
      <c r="I410" s="59"/>
    </row>
    <row r="411" spans="2:9" ht="12.75">
      <c r="B411" s="59"/>
      <c r="C411" s="59"/>
      <c r="D411" s="59"/>
      <c r="E411" s="59"/>
      <c r="F411" s="59"/>
      <c r="G411" s="59"/>
      <c r="H411" s="59"/>
      <c r="I411" s="59"/>
    </row>
    <row r="412" spans="2:9" ht="12.75">
      <c r="B412" s="59"/>
      <c r="C412" s="59"/>
      <c r="D412" s="59"/>
      <c r="E412" s="59"/>
      <c r="F412" s="59"/>
      <c r="G412" s="59"/>
      <c r="H412" s="59"/>
      <c r="I412" s="59"/>
    </row>
    <row r="413" spans="2:9" ht="12.75">
      <c r="B413" s="59"/>
      <c r="C413" s="59"/>
      <c r="D413" s="59"/>
      <c r="E413" s="59"/>
      <c r="F413" s="59"/>
      <c r="G413" s="59"/>
      <c r="H413" s="59"/>
      <c r="I413" s="59"/>
    </row>
    <row r="414" spans="2:9" ht="12.75">
      <c r="B414" s="59"/>
      <c r="C414" s="59"/>
      <c r="D414" s="59"/>
      <c r="E414" s="59"/>
      <c r="F414" s="59"/>
      <c r="G414" s="59"/>
      <c r="H414" s="59"/>
      <c r="I414" s="59"/>
    </row>
    <row r="415" spans="2:9" ht="12.75">
      <c r="B415" s="59"/>
      <c r="C415" s="59"/>
      <c r="D415" s="59"/>
      <c r="E415" s="59"/>
      <c r="F415" s="59"/>
      <c r="G415" s="59"/>
      <c r="H415" s="59"/>
      <c r="I415" s="59"/>
    </row>
    <row r="416" spans="2:9" ht="12.75">
      <c r="B416" s="59"/>
      <c r="C416" s="59"/>
      <c r="D416" s="59"/>
      <c r="E416" s="59"/>
      <c r="F416" s="59"/>
      <c r="G416" s="59"/>
      <c r="H416" s="59"/>
      <c r="I416" s="59"/>
    </row>
    <row r="417" spans="2:9" ht="12.75">
      <c r="B417" s="59"/>
      <c r="C417" s="59"/>
      <c r="D417" s="59"/>
      <c r="E417" s="59"/>
      <c r="F417" s="59"/>
      <c r="G417" s="59"/>
      <c r="H417" s="59"/>
      <c r="I417" s="59"/>
    </row>
    <row r="418" spans="2:9" ht="12.75">
      <c r="B418" s="59"/>
      <c r="C418" s="59"/>
      <c r="D418" s="59"/>
      <c r="E418" s="59"/>
      <c r="F418" s="59"/>
      <c r="G418" s="59"/>
      <c r="H418" s="59"/>
      <c r="I418" s="59"/>
    </row>
    <row r="419" spans="2:9" ht="12.75">
      <c r="B419" s="59"/>
      <c r="C419" s="59"/>
      <c r="D419" s="59"/>
      <c r="E419" s="59"/>
      <c r="F419" s="59"/>
      <c r="G419" s="59"/>
      <c r="H419" s="59"/>
      <c r="I419" s="59"/>
    </row>
    <row r="420" spans="2:9" ht="12.75">
      <c r="B420" s="59"/>
      <c r="C420" s="59"/>
      <c r="D420" s="59"/>
      <c r="E420" s="59"/>
      <c r="F420" s="59"/>
      <c r="G420" s="59"/>
      <c r="H420" s="59"/>
      <c r="I420" s="59"/>
    </row>
    <row r="421" spans="2:9" ht="12.75">
      <c r="B421" s="59"/>
      <c r="C421" s="59"/>
      <c r="D421" s="59"/>
      <c r="E421" s="59"/>
      <c r="F421" s="59"/>
      <c r="G421" s="59"/>
      <c r="H421" s="59"/>
      <c r="I421" s="59"/>
    </row>
    <row r="422" spans="2:9" ht="12.75">
      <c r="B422" s="59"/>
      <c r="C422" s="59"/>
      <c r="D422" s="59"/>
      <c r="E422" s="59"/>
      <c r="F422" s="59"/>
      <c r="G422" s="59"/>
      <c r="H422" s="59"/>
      <c r="I422" s="59"/>
    </row>
    <row r="423" spans="2:9" ht="12.75">
      <c r="B423" s="59"/>
      <c r="C423" s="59"/>
      <c r="D423" s="59"/>
      <c r="E423" s="59"/>
      <c r="F423" s="59"/>
      <c r="G423" s="59"/>
      <c r="H423" s="59"/>
      <c r="I423" s="59"/>
    </row>
    <row r="424" spans="2:9" ht="12.75">
      <c r="B424" s="59"/>
      <c r="C424" s="59"/>
      <c r="D424" s="59"/>
      <c r="E424" s="59"/>
      <c r="F424" s="59"/>
      <c r="G424" s="59"/>
      <c r="H424" s="59"/>
      <c r="I424" s="59"/>
    </row>
    <row r="425" spans="2:9" ht="12.75">
      <c r="B425" s="59"/>
      <c r="C425" s="59"/>
      <c r="D425" s="59"/>
      <c r="E425" s="59"/>
      <c r="F425" s="59"/>
      <c r="G425" s="59"/>
      <c r="H425" s="59"/>
      <c r="I425" s="59"/>
    </row>
    <row r="426" spans="2:9" ht="12.75">
      <c r="B426" s="59"/>
      <c r="C426" s="59"/>
      <c r="D426" s="59"/>
      <c r="E426" s="59"/>
      <c r="F426" s="59"/>
      <c r="G426" s="59"/>
      <c r="H426" s="59"/>
      <c r="I426" s="59"/>
    </row>
    <row r="427" spans="2:9" ht="12.75">
      <c r="B427" s="59"/>
      <c r="C427" s="59"/>
      <c r="D427" s="59"/>
      <c r="E427" s="59"/>
      <c r="F427" s="59"/>
      <c r="G427" s="59"/>
      <c r="H427" s="59"/>
      <c r="I427" s="59"/>
    </row>
    <row r="428" spans="2:9" ht="12.75">
      <c r="B428" s="59"/>
      <c r="C428" s="59"/>
      <c r="D428" s="59"/>
      <c r="E428" s="59"/>
      <c r="F428" s="59"/>
      <c r="G428" s="59"/>
      <c r="H428" s="59"/>
      <c r="I428" s="59"/>
    </row>
    <row r="429" spans="2:9" ht="12.75">
      <c r="B429" s="59"/>
      <c r="C429" s="59"/>
      <c r="D429" s="59"/>
      <c r="E429" s="59"/>
      <c r="F429" s="59"/>
      <c r="G429" s="59"/>
      <c r="H429" s="59"/>
      <c r="I429" s="59"/>
    </row>
    <row r="430" spans="2:9" ht="12.75">
      <c r="B430" s="59"/>
      <c r="C430" s="59"/>
      <c r="D430" s="59"/>
      <c r="E430" s="59"/>
      <c r="F430" s="59"/>
      <c r="G430" s="59"/>
      <c r="H430" s="59"/>
      <c r="I430" s="59"/>
    </row>
    <row r="431" spans="2:9" ht="12.75">
      <c r="B431" s="59"/>
      <c r="C431" s="59"/>
      <c r="D431" s="59"/>
      <c r="E431" s="59"/>
      <c r="F431" s="59"/>
      <c r="G431" s="59"/>
      <c r="H431" s="59"/>
      <c r="I431" s="59"/>
    </row>
    <row r="432" spans="2:9" ht="12.75">
      <c r="B432" s="59"/>
      <c r="C432" s="59"/>
      <c r="D432" s="59"/>
      <c r="E432" s="59"/>
      <c r="F432" s="59"/>
      <c r="G432" s="59"/>
      <c r="H432" s="59"/>
      <c r="I432" s="59"/>
    </row>
    <row r="433" spans="2:9" ht="12.75">
      <c r="B433" s="59"/>
      <c r="C433" s="59"/>
      <c r="D433" s="59"/>
      <c r="E433" s="59"/>
      <c r="F433" s="59"/>
      <c r="G433" s="59"/>
      <c r="H433" s="59"/>
      <c r="I433" s="59"/>
    </row>
    <row r="434" spans="2:9" ht="12.75">
      <c r="B434" s="59"/>
      <c r="C434" s="59"/>
      <c r="D434" s="59"/>
      <c r="E434" s="59"/>
      <c r="F434" s="59"/>
      <c r="G434" s="59"/>
      <c r="H434" s="59"/>
      <c r="I434" s="59"/>
    </row>
    <row r="435" spans="2:9" ht="12.75">
      <c r="B435" s="59"/>
      <c r="C435" s="59"/>
      <c r="D435" s="59"/>
      <c r="E435" s="59"/>
      <c r="F435" s="59"/>
      <c r="G435" s="59"/>
      <c r="H435" s="59"/>
      <c r="I435" s="59"/>
    </row>
    <row r="436" spans="2:9" ht="12.75">
      <c r="B436" s="59"/>
      <c r="C436" s="59"/>
      <c r="D436" s="59"/>
      <c r="E436" s="59"/>
      <c r="F436" s="59"/>
      <c r="G436" s="59"/>
      <c r="H436" s="59"/>
      <c r="I436" s="59"/>
    </row>
    <row r="437" spans="2:9" ht="12.75">
      <c r="B437" s="59"/>
      <c r="C437" s="59"/>
      <c r="D437" s="59"/>
      <c r="E437" s="59"/>
      <c r="F437" s="59"/>
      <c r="G437" s="59"/>
      <c r="H437" s="59"/>
      <c r="I437" s="59"/>
    </row>
    <row r="438" spans="2:9" ht="12.75">
      <c r="B438" s="59"/>
      <c r="C438" s="59"/>
      <c r="D438" s="59"/>
      <c r="E438" s="59"/>
      <c r="F438" s="59"/>
      <c r="G438" s="59"/>
      <c r="H438" s="59"/>
      <c r="I438" s="59"/>
    </row>
    <row r="439" spans="2:9" ht="12.75">
      <c r="B439" s="59"/>
      <c r="C439" s="59"/>
      <c r="D439" s="59"/>
      <c r="E439" s="59"/>
      <c r="F439" s="59"/>
      <c r="G439" s="59"/>
      <c r="H439" s="59"/>
      <c r="I439" s="59"/>
    </row>
    <row r="440" spans="2:9" ht="12.75">
      <c r="B440" s="59"/>
      <c r="C440" s="59"/>
      <c r="D440" s="59"/>
      <c r="E440" s="59"/>
      <c r="F440" s="59"/>
      <c r="G440" s="59"/>
      <c r="H440" s="59"/>
      <c r="I440" s="59"/>
    </row>
    <row r="441" spans="2:9" ht="12.75">
      <c r="B441" s="59"/>
      <c r="C441" s="59"/>
      <c r="D441" s="59"/>
      <c r="E441" s="59"/>
      <c r="F441" s="59"/>
      <c r="G441" s="59"/>
      <c r="H441" s="59"/>
      <c r="I441" s="59"/>
    </row>
    <row r="442" spans="2:9" ht="12.75">
      <c r="B442" s="59"/>
      <c r="C442" s="59"/>
      <c r="D442" s="59"/>
      <c r="E442" s="59"/>
      <c r="F442" s="59"/>
      <c r="G442" s="59"/>
      <c r="H442" s="59"/>
      <c r="I442" s="59"/>
    </row>
    <row r="443" spans="2:9" ht="12.75">
      <c r="B443" s="59"/>
      <c r="C443" s="59"/>
      <c r="D443" s="59"/>
      <c r="E443" s="59"/>
      <c r="F443" s="59"/>
      <c r="G443" s="59"/>
      <c r="H443" s="59"/>
      <c r="I443" s="59"/>
    </row>
    <row r="444" spans="2:9" ht="12.75">
      <c r="B444" s="59"/>
      <c r="C444" s="59"/>
      <c r="D444" s="59"/>
      <c r="E444" s="59"/>
      <c r="F444" s="59"/>
      <c r="G444" s="59"/>
      <c r="H444" s="59"/>
      <c r="I444" s="59"/>
    </row>
    <row r="445" spans="2:9" ht="12.75">
      <c r="B445" s="59"/>
      <c r="C445" s="59"/>
      <c r="D445" s="59"/>
      <c r="E445" s="59"/>
      <c r="F445" s="59"/>
      <c r="G445" s="59"/>
      <c r="H445" s="59"/>
      <c r="I445" s="59"/>
    </row>
    <row r="446" spans="2:9" ht="12.75">
      <c r="B446" s="59"/>
      <c r="C446" s="59"/>
      <c r="D446" s="59"/>
      <c r="E446" s="59"/>
      <c r="F446" s="59"/>
      <c r="G446" s="59"/>
      <c r="H446" s="59"/>
      <c r="I446" s="59"/>
    </row>
    <row r="447" spans="2:9" ht="12.75">
      <c r="B447" s="59"/>
      <c r="C447" s="59"/>
      <c r="D447" s="59"/>
      <c r="E447" s="59"/>
      <c r="F447" s="59"/>
      <c r="G447" s="59"/>
      <c r="H447" s="59"/>
      <c r="I447" s="59"/>
    </row>
    <row r="448" spans="2:9" ht="12.75">
      <c r="B448" s="59"/>
      <c r="C448" s="59"/>
      <c r="D448" s="59"/>
      <c r="E448" s="59"/>
      <c r="F448" s="59"/>
      <c r="G448" s="59"/>
      <c r="H448" s="59"/>
      <c r="I448" s="59"/>
    </row>
    <row r="449" spans="2:9" ht="12.75">
      <c r="B449" s="59"/>
      <c r="C449" s="59"/>
      <c r="D449" s="59"/>
      <c r="E449" s="59"/>
      <c r="F449" s="59"/>
      <c r="G449" s="59"/>
      <c r="H449" s="59"/>
      <c r="I449" s="59"/>
    </row>
    <row r="450" spans="2:9" ht="12.75">
      <c r="B450" s="59"/>
      <c r="C450" s="59"/>
      <c r="D450" s="59"/>
      <c r="E450" s="59"/>
      <c r="F450" s="59"/>
      <c r="G450" s="59"/>
      <c r="H450" s="59"/>
      <c r="I450" s="59"/>
    </row>
    <row r="451" spans="2:9" ht="12.75">
      <c r="B451" s="59"/>
      <c r="C451" s="59"/>
      <c r="D451" s="59"/>
      <c r="E451" s="59"/>
      <c r="F451" s="59"/>
      <c r="G451" s="59"/>
      <c r="H451" s="59"/>
      <c r="I451" s="59"/>
    </row>
    <row r="452" spans="2:9" ht="12.75">
      <c r="B452" s="59"/>
      <c r="C452" s="59"/>
      <c r="D452" s="59"/>
      <c r="E452" s="59"/>
      <c r="F452" s="59"/>
      <c r="G452" s="59"/>
      <c r="H452" s="59"/>
      <c r="I452" s="59"/>
    </row>
    <row r="453" spans="2:9" ht="12.75">
      <c r="B453" s="59"/>
      <c r="C453" s="59"/>
      <c r="D453" s="59"/>
      <c r="E453" s="59"/>
      <c r="F453" s="59"/>
      <c r="G453" s="59"/>
      <c r="H453" s="59"/>
      <c r="I453" s="59"/>
    </row>
    <row r="454" spans="2:9" ht="12.75">
      <c r="B454" s="59"/>
      <c r="C454" s="59"/>
      <c r="D454" s="59"/>
      <c r="E454" s="59"/>
      <c r="F454" s="59"/>
      <c r="G454" s="59"/>
      <c r="H454" s="59"/>
      <c r="I454" s="59"/>
    </row>
    <row r="455" spans="2:9" ht="12.75">
      <c r="B455" s="59"/>
      <c r="C455" s="59"/>
      <c r="D455" s="59"/>
      <c r="E455" s="59"/>
      <c r="F455" s="59"/>
      <c r="G455" s="59"/>
      <c r="H455" s="59"/>
      <c r="I455" s="59"/>
    </row>
    <row r="456" spans="2:9" ht="12.75">
      <c r="B456" s="59"/>
      <c r="C456" s="59"/>
      <c r="D456" s="59"/>
      <c r="E456" s="59"/>
      <c r="F456" s="59"/>
      <c r="G456" s="59"/>
      <c r="H456" s="59"/>
      <c r="I456" s="59"/>
    </row>
    <row r="457" spans="2:9" ht="12.75">
      <c r="B457" s="59"/>
      <c r="C457" s="59"/>
      <c r="D457" s="59"/>
      <c r="E457" s="59"/>
      <c r="F457" s="59"/>
      <c r="G457" s="59"/>
      <c r="H457" s="59"/>
      <c r="I457" s="59"/>
    </row>
    <row r="458" spans="2:9" ht="12.75">
      <c r="B458" s="59"/>
      <c r="C458" s="59"/>
      <c r="D458" s="59"/>
      <c r="E458" s="59"/>
      <c r="F458" s="59"/>
      <c r="G458" s="59"/>
      <c r="H458" s="59"/>
      <c r="I458" s="59"/>
    </row>
    <row r="459" spans="2:9" ht="12.75">
      <c r="B459" s="59"/>
      <c r="C459" s="59"/>
      <c r="D459" s="59"/>
      <c r="E459" s="59"/>
      <c r="F459" s="59"/>
      <c r="G459" s="59"/>
      <c r="H459" s="59"/>
      <c r="I459" s="59"/>
    </row>
    <row r="460" spans="2:9" ht="12.75">
      <c r="B460" s="59"/>
      <c r="C460" s="59"/>
      <c r="D460" s="59"/>
      <c r="E460" s="59"/>
      <c r="F460" s="59"/>
      <c r="G460" s="59"/>
      <c r="H460" s="59"/>
      <c r="I460" s="59"/>
    </row>
    <row r="461" spans="2:9" ht="12.75">
      <c r="B461" s="59"/>
      <c r="C461" s="59"/>
      <c r="D461" s="59"/>
      <c r="E461" s="59"/>
      <c r="F461" s="59"/>
      <c r="G461" s="59"/>
      <c r="H461" s="59"/>
      <c r="I461" s="59"/>
    </row>
    <row r="462" spans="2:9" ht="12.75">
      <c r="B462" s="59"/>
      <c r="C462" s="59"/>
      <c r="D462" s="59"/>
      <c r="E462" s="59"/>
      <c r="F462" s="59"/>
      <c r="G462" s="59"/>
      <c r="H462" s="59"/>
      <c r="I462" s="59"/>
    </row>
    <row r="463" spans="2:9" ht="12.75">
      <c r="B463" s="59"/>
      <c r="C463" s="59"/>
      <c r="D463" s="59"/>
      <c r="E463" s="59"/>
      <c r="F463" s="59"/>
      <c r="G463" s="59"/>
      <c r="H463" s="59"/>
      <c r="I463" s="59"/>
    </row>
    <row r="464" spans="2:9" ht="12.75">
      <c r="B464" s="59"/>
      <c r="C464" s="59"/>
      <c r="D464" s="59"/>
      <c r="E464" s="59"/>
      <c r="F464" s="59"/>
      <c r="G464" s="59"/>
      <c r="H464" s="59"/>
      <c r="I464" s="59"/>
    </row>
    <row r="465" spans="2:9" ht="12.75">
      <c r="B465" s="59"/>
      <c r="C465" s="59"/>
      <c r="D465" s="59"/>
      <c r="E465" s="59"/>
      <c r="F465" s="59"/>
      <c r="G465" s="59"/>
      <c r="H465" s="59"/>
      <c r="I465" s="59"/>
    </row>
    <row r="466" spans="2:9" ht="12.75">
      <c r="B466" s="59"/>
      <c r="C466" s="59"/>
      <c r="D466" s="59"/>
      <c r="E466" s="59"/>
      <c r="F466" s="59"/>
      <c r="G466" s="59"/>
      <c r="H466" s="59"/>
      <c r="I466" s="59"/>
    </row>
    <row r="467" spans="2:9" ht="12.75">
      <c r="B467" s="59"/>
      <c r="C467" s="59"/>
      <c r="D467" s="59"/>
      <c r="E467" s="59"/>
      <c r="F467" s="59"/>
      <c r="G467" s="59"/>
      <c r="H467" s="59"/>
      <c r="I467" s="59"/>
    </row>
    <row r="468" spans="2:9" ht="12.75">
      <c r="B468" s="59"/>
      <c r="C468" s="59"/>
      <c r="D468" s="59"/>
      <c r="E468" s="59"/>
      <c r="F468" s="59"/>
      <c r="G468" s="59"/>
      <c r="H468" s="59"/>
      <c r="I468" s="59"/>
    </row>
    <row r="469" spans="2:9" ht="12.75">
      <c r="B469" s="59"/>
      <c r="C469" s="59"/>
      <c r="D469" s="59"/>
      <c r="E469" s="59"/>
      <c r="F469" s="59"/>
      <c r="G469" s="59"/>
      <c r="H469" s="59"/>
      <c r="I469" s="59"/>
    </row>
    <row r="470" spans="2:9" ht="12.75">
      <c r="B470" s="59"/>
      <c r="C470" s="59"/>
      <c r="D470" s="59"/>
      <c r="E470" s="59"/>
      <c r="F470" s="59"/>
      <c r="G470" s="59"/>
      <c r="H470" s="59"/>
      <c r="I470" s="59"/>
    </row>
    <row r="471" spans="2:9" ht="12.75">
      <c r="B471" s="59"/>
      <c r="C471" s="59"/>
      <c r="D471" s="59"/>
      <c r="E471" s="59"/>
      <c r="F471" s="59"/>
      <c r="G471" s="59"/>
      <c r="H471" s="59"/>
      <c r="I471" s="59"/>
    </row>
    <row r="472" spans="2:9" ht="12.75">
      <c r="B472" s="59"/>
      <c r="C472" s="59"/>
      <c r="D472" s="59"/>
      <c r="E472" s="59"/>
      <c r="F472" s="59"/>
      <c r="G472" s="59"/>
      <c r="H472" s="59"/>
      <c r="I472" s="59"/>
    </row>
    <row r="473" spans="2:9" ht="12.75">
      <c r="B473" s="59"/>
      <c r="C473" s="59"/>
      <c r="D473" s="59"/>
      <c r="E473" s="59"/>
      <c r="F473" s="59"/>
      <c r="G473" s="59"/>
      <c r="H473" s="59"/>
      <c r="I473" s="59"/>
    </row>
    <row r="474" spans="2:9" ht="12.75">
      <c r="B474" s="59"/>
      <c r="C474" s="59"/>
      <c r="D474" s="59"/>
      <c r="E474" s="59"/>
      <c r="F474" s="59"/>
      <c r="G474" s="59"/>
      <c r="H474" s="59"/>
      <c r="I474" s="59"/>
    </row>
    <row r="475" spans="2:9" ht="12.75">
      <c r="B475" s="59"/>
      <c r="C475" s="59"/>
      <c r="D475" s="59"/>
      <c r="E475" s="59"/>
      <c r="F475" s="59"/>
      <c r="G475" s="59"/>
      <c r="H475" s="59"/>
      <c r="I475" s="59"/>
    </row>
    <row r="476" spans="2:9" ht="12.75">
      <c r="B476" s="59"/>
      <c r="C476" s="59"/>
      <c r="D476" s="59"/>
      <c r="E476" s="59"/>
      <c r="F476" s="59"/>
      <c r="G476" s="59"/>
      <c r="H476" s="59"/>
      <c r="I476" s="59"/>
    </row>
    <row r="477" spans="2:9" ht="12.75">
      <c r="B477" s="59"/>
      <c r="C477" s="59"/>
      <c r="D477" s="59"/>
      <c r="E477" s="59"/>
      <c r="F477" s="59"/>
      <c r="G477" s="59"/>
      <c r="H477" s="59"/>
      <c r="I477" s="59"/>
    </row>
    <row r="478" spans="2:9" ht="12.75">
      <c r="B478" s="59"/>
      <c r="C478" s="59"/>
      <c r="D478" s="59"/>
      <c r="E478" s="59"/>
      <c r="F478" s="59"/>
      <c r="G478" s="59"/>
      <c r="H478" s="59"/>
      <c r="I478" s="59"/>
    </row>
    <row r="479" spans="2:9" ht="12.75">
      <c r="B479" s="59"/>
      <c r="C479" s="59"/>
      <c r="D479" s="59"/>
      <c r="E479" s="59"/>
      <c r="F479" s="59"/>
      <c r="G479" s="59"/>
      <c r="H479" s="59"/>
      <c r="I479" s="59"/>
    </row>
    <row r="480" spans="2:9" ht="12.75">
      <c r="B480" s="59"/>
      <c r="C480" s="59"/>
      <c r="D480" s="59"/>
      <c r="E480" s="59"/>
      <c r="F480" s="59"/>
      <c r="G480" s="59"/>
      <c r="H480" s="59"/>
      <c r="I480" s="59"/>
    </row>
    <row r="481" spans="2:9" ht="12.75">
      <c r="B481" s="59"/>
      <c r="C481" s="59"/>
      <c r="D481" s="59"/>
      <c r="E481" s="59"/>
      <c r="F481" s="59"/>
      <c r="G481" s="59"/>
      <c r="H481" s="59"/>
      <c r="I481" s="59"/>
    </row>
    <row r="482" spans="2:9" ht="12.75">
      <c r="B482" s="59"/>
      <c r="C482" s="59"/>
      <c r="D482" s="59"/>
      <c r="E482" s="59"/>
      <c r="F482" s="59"/>
      <c r="G482" s="59"/>
      <c r="H482" s="59"/>
      <c r="I482" s="59"/>
    </row>
    <row r="483" spans="2:9" ht="12.75">
      <c r="B483" s="59"/>
      <c r="C483" s="59"/>
      <c r="D483" s="59"/>
      <c r="E483" s="59"/>
      <c r="F483" s="59"/>
      <c r="G483" s="59"/>
      <c r="H483" s="59"/>
      <c r="I483" s="59"/>
    </row>
    <row r="484" spans="2:9" ht="12.75">
      <c r="B484" s="59"/>
      <c r="C484" s="59"/>
      <c r="D484" s="59"/>
      <c r="E484" s="59"/>
      <c r="F484" s="59"/>
      <c r="G484" s="59"/>
      <c r="H484" s="59"/>
      <c r="I484" s="59"/>
    </row>
    <row r="485" spans="2:9" ht="12.75">
      <c r="B485" s="59"/>
      <c r="C485" s="59"/>
      <c r="D485" s="59"/>
      <c r="E485" s="59"/>
      <c r="F485" s="59"/>
      <c r="G485" s="59"/>
      <c r="H485" s="59"/>
      <c r="I485" s="59"/>
    </row>
    <row r="486" spans="2:9" ht="12.75">
      <c r="B486" s="59"/>
      <c r="C486" s="59"/>
      <c r="D486" s="59"/>
      <c r="E486" s="59"/>
      <c r="F486" s="59"/>
      <c r="G486" s="59"/>
      <c r="H486" s="59"/>
      <c r="I486" s="59"/>
    </row>
    <row r="487" spans="2:9" ht="12.75">
      <c r="B487" s="59"/>
      <c r="C487" s="59"/>
      <c r="D487" s="59"/>
      <c r="E487" s="59"/>
      <c r="F487" s="59"/>
      <c r="G487" s="59"/>
      <c r="H487" s="59"/>
      <c r="I487" s="59"/>
    </row>
    <row r="488" spans="2:9" ht="12.75">
      <c r="B488" s="59"/>
      <c r="C488" s="59"/>
      <c r="D488" s="59"/>
      <c r="E488" s="59"/>
      <c r="F488" s="59"/>
      <c r="G488" s="59"/>
      <c r="H488" s="59"/>
      <c r="I488" s="59"/>
    </row>
    <row r="489" spans="2:9" ht="12.75">
      <c r="B489" s="59"/>
      <c r="C489" s="59"/>
      <c r="D489" s="59"/>
      <c r="E489" s="59"/>
      <c r="F489" s="59"/>
      <c r="G489" s="59"/>
      <c r="H489" s="59"/>
      <c r="I489" s="59"/>
    </row>
    <row r="490" spans="2:9" ht="12.75">
      <c r="B490" s="59"/>
      <c r="C490" s="59"/>
      <c r="D490" s="59"/>
      <c r="E490" s="59"/>
      <c r="F490" s="59"/>
      <c r="G490" s="59"/>
      <c r="H490" s="59"/>
      <c r="I490" s="59"/>
    </row>
    <row r="491" spans="2:9" ht="12.75">
      <c r="B491" s="59"/>
      <c r="C491" s="59"/>
      <c r="D491" s="59"/>
      <c r="E491" s="59"/>
      <c r="F491" s="59"/>
      <c r="G491" s="59"/>
      <c r="H491" s="59"/>
      <c r="I491" s="59"/>
    </row>
    <row r="492" spans="2:9" ht="12.75">
      <c r="B492" s="59"/>
      <c r="C492" s="59"/>
      <c r="D492" s="59"/>
      <c r="E492" s="59"/>
      <c r="F492" s="59"/>
      <c r="G492" s="59"/>
      <c r="H492" s="59"/>
      <c r="I492" s="59"/>
    </row>
    <row r="493" spans="2:9" ht="12.75">
      <c r="B493" s="59"/>
      <c r="C493" s="59"/>
      <c r="D493" s="59"/>
      <c r="E493" s="59"/>
      <c r="F493" s="59"/>
      <c r="G493" s="59"/>
      <c r="H493" s="59"/>
      <c r="I493" s="59"/>
    </row>
    <row r="494" spans="2:9" ht="12.75">
      <c r="B494" s="59"/>
      <c r="C494" s="59"/>
      <c r="D494" s="59"/>
      <c r="E494" s="59"/>
      <c r="F494" s="59"/>
      <c r="G494" s="59"/>
      <c r="H494" s="59"/>
      <c r="I494" s="59"/>
    </row>
    <row r="495" spans="2:9" ht="12.75">
      <c r="B495" s="59"/>
      <c r="C495" s="59"/>
      <c r="D495" s="59"/>
      <c r="E495" s="59"/>
      <c r="F495" s="59"/>
      <c r="G495" s="59"/>
      <c r="H495" s="59"/>
      <c r="I495" s="59"/>
    </row>
    <row r="496" spans="2:9" ht="12.75">
      <c r="B496" s="59"/>
      <c r="C496" s="59"/>
      <c r="D496" s="59"/>
      <c r="E496" s="59"/>
      <c r="F496" s="59"/>
      <c r="G496" s="59"/>
      <c r="H496" s="59"/>
      <c r="I496" s="59"/>
    </row>
    <row r="497" spans="2:9" ht="12.75">
      <c r="B497" s="59"/>
      <c r="C497" s="59"/>
      <c r="D497" s="59"/>
      <c r="E497" s="59"/>
      <c r="F497" s="59"/>
      <c r="G497" s="59"/>
      <c r="H497" s="59"/>
      <c r="I497" s="59"/>
    </row>
    <row r="498" spans="2:9" ht="12.75">
      <c r="B498" s="59"/>
      <c r="C498" s="59"/>
      <c r="D498" s="59"/>
      <c r="E498" s="59"/>
      <c r="F498" s="59"/>
      <c r="G498" s="59"/>
      <c r="H498" s="59"/>
      <c r="I498" s="59"/>
    </row>
    <row r="499" spans="2:9" ht="12.75">
      <c r="B499" s="59"/>
      <c r="C499" s="59"/>
      <c r="D499" s="59"/>
      <c r="E499" s="59"/>
      <c r="F499" s="59"/>
      <c r="G499" s="59"/>
      <c r="H499" s="59"/>
      <c r="I499" s="59"/>
    </row>
    <row r="500" spans="2:9" ht="12.75">
      <c r="B500" s="59"/>
      <c r="C500" s="59"/>
      <c r="D500" s="59"/>
      <c r="E500" s="59"/>
      <c r="F500" s="59"/>
      <c r="G500" s="59"/>
      <c r="H500" s="59"/>
      <c r="I500" s="59"/>
    </row>
    <row r="501" spans="2:9" ht="12.75">
      <c r="B501" s="59"/>
      <c r="C501" s="59"/>
      <c r="D501" s="59"/>
      <c r="E501" s="59"/>
      <c r="F501" s="59"/>
      <c r="G501" s="59"/>
      <c r="H501" s="59"/>
      <c r="I501" s="59"/>
    </row>
    <row r="502" spans="2:9" ht="12.75">
      <c r="B502" s="59"/>
      <c r="C502" s="59"/>
      <c r="D502" s="59"/>
      <c r="E502" s="59"/>
      <c r="F502" s="59"/>
      <c r="G502" s="59"/>
      <c r="H502" s="59"/>
      <c r="I502" s="59"/>
    </row>
    <row r="503" spans="2:9" ht="12.75">
      <c r="B503" s="59"/>
      <c r="C503" s="59"/>
      <c r="D503" s="59"/>
      <c r="E503" s="59"/>
      <c r="F503" s="59"/>
      <c r="G503" s="59"/>
      <c r="H503" s="59"/>
      <c r="I503" s="59"/>
    </row>
    <row r="504" spans="2:9" ht="12.75">
      <c r="B504" s="59"/>
      <c r="C504" s="59"/>
      <c r="D504" s="59"/>
      <c r="E504" s="59"/>
      <c r="F504" s="59"/>
      <c r="G504" s="59"/>
      <c r="H504" s="59"/>
      <c r="I504" s="59"/>
    </row>
    <row r="505" spans="2:9" ht="12.75">
      <c r="B505" s="59"/>
      <c r="C505" s="59"/>
      <c r="D505" s="59"/>
      <c r="E505" s="59"/>
      <c r="F505" s="59"/>
      <c r="G505" s="59"/>
      <c r="H505" s="59"/>
      <c r="I505" s="59"/>
    </row>
    <row r="506" spans="2:9" ht="12.75">
      <c r="B506" s="59"/>
      <c r="C506" s="59"/>
      <c r="D506" s="59"/>
      <c r="E506" s="59"/>
      <c r="F506" s="59"/>
      <c r="G506" s="59"/>
      <c r="H506" s="59"/>
      <c r="I506" s="59"/>
    </row>
    <row r="507" spans="2:9" ht="12.75">
      <c r="B507" s="59"/>
      <c r="C507" s="59"/>
      <c r="D507" s="59"/>
      <c r="E507" s="59"/>
      <c r="F507" s="59"/>
      <c r="G507" s="59"/>
      <c r="H507" s="59"/>
      <c r="I507" s="59"/>
    </row>
    <row r="508" spans="2:9" ht="12.75">
      <c r="B508" s="59"/>
      <c r="C508" s="59"/>
      <c r="D508" s="59"/>
      <c r="E508" s="59"/>
      <c r="F508" s="59"/>
      <c r="G508" s="59"/>
      <c r="H508" s="59"/>
      <c r="I508" s="59"/>
    </row>
    <row r="509" spans="2:9" ht="12.75">
      <c r="B509" s="59"/>
      <c r="C509" s="59"/>
      <c r="D509" s="59"/>
      <c r="E509" s="59"/>
      <c r="F509" s="59"/>
      <c r="G509" s="59"/>
      <c r="H509" s="59"/>
      <c r="I509" s="59"/>
    </row>
    <row r="510" spans="2:9" ht="12.75">
      <c r="B510" s="59"/>
      <c r="C510" s="59"/>
      <c r="D510" s="59"/>
      <c r="E510" s="59"/>
      <c r="F510" s="59"/>
      <c r="G510" s="59"/>
      <c r="H510" s="59"/>
      <c r="I510" s="59"/>
    </row>
    <row r="511" spans="2:9" ht="12.75">
      <c r="B511" s="59"/>
      <c r="C511" s="59"/>
      <c r="D511" s="59"/>
      <c r="E511" s="59"/>
      <c r="F511" s="59"/>
      <c r="G511" s="59"/>
      <c r="H511" s="59"/>
      <c r="I511" s="59"/>
    </row>
    <row r="512" spans="2:9" ht="12.75">
      <c r="B512" s="59"/>
      <c r="C512" s="59"/>
      <c r="D512" s="59"/>
      <c r="E512" s="59"/>
      <c r="F512" s="59"/>
      <c r="G512" s="59"/>
      <c r="H512" s="59"/>
      <c r="I512" s="59"/>
    </row>
    <row r="513" spans="2:9" ht="12.75">
      <c r="B513" s="59"/>
      <c r="C513" s="59"/>
      <c r="D513" s="59"/>
      <c r="E513" s="59"/>
      <c r="F513" s="59"/>
      <c r="G513" s="59"/>
      <c r="H513" s="59"/>
      <c r="I513" s="59"/>
    </row>
    <row r="514" spans="2:9" ht="12.75">
      <c r="B514" s="59"/>
      <c r="C514" s="59"/>
      <c r="D514" s="59"/>
      <c r="E514" s="59"/>
      <c r="F514" s="59"/>
      <c r="G514" s="59"/>
      <c r="H514" s="59"/>
      <c r="I514" s="59"/>
    </row>
    <row r="515" spans="2:9" ht="12.75">
      <c r="B515" s="59"/>
      <c r="C515" s="59"/>
      <c r="D515" s="59"/>
      <c r="E515" s="59"/>
      <c r="F515" s="59"/>
      <c r="G515" s="59"/>
      <c r="H515" s="59"/>
      <c r="I515" s="59"/>
    </row>
    <row r="516" spans="2:9" ht="12.75">
      <c r="B516" s="59"/>
      <c r="C516" s="59"/>
      <c r="D516" s="59"/>
      <c r="E516" s="59"/>
      <c r="F516" s="59"/>
      <c r="G516" s="59"/>
      <c r="H516" s="59"/>
      <c r="I516" s="59"/>
    </row>
    <row r="517" spans="2:9" ht="12.75">
      <c r="B517" s="59"/>
      <c r="C517" s="59"/>
      <c r="D517" s="59"/>
      <c r="E517" s="59"/>
      <c r="F517" s="59"/>
      <c r="G517" s="59"/>
      <c r="H517" s="59"/>
      <c r="I517" s="59"/>
    </row>
    <row r="518" spans="2:9" ht="12.75">
      <c r="B518" s="59"/>
      <c r="C518" s="59"/>
      <c r="D518" s="59"/>
      <c r="E518" s="59"/>
      <c r="F518" s="59"/>
      <c r="G518" s="59"/>
      <c r="H518" s="59"/>
      <c r="I518" s="59"/>
    </row>
    <row r="519" spans="2:9" ht="12.75">
      <c r="B519" s="59"/>
      <c r="C519" s="59"/>
      <c r="D519" s="59"/>
      <c r="E519" s="59"/>
      <c r="F519" s="59"/>
      <c r="G519" s="59"/>
      <c r="H519" s="59"/>
      <c r="I519" s="59"/>
    </row>
    <row r="520" spans="2:9" ht="12.75">
      <c r="B520" s="59"/>
      <c r="C520" s="59"/>
      <c r="D520" s="59"/>
      <c r="E520" s="59"/>
      <c r="F520" s="59"/>
      <c r="G520" s="59"/>
      <c r="H520" s="59"/>
      <c r="I520" s="59"/>
    </row>
    <row r="521" spans="2:9" ht="12.75">
      <c r="B521" s="59"/>
      <c r="C521" s="59"/>
      <c r="D521" s="59"/>
      <c r="E521" s="59"/>
      <c r="F521" s="59"/>
      <c r="G521" s="59"/>
      <c r="H521" s="59"/>
      <c r="I521" s="59"/>
    </row>
    <row r="522" spans="2:9" ht="12.75">
      <c r="B522" s="59"/>
      <c r="C522" s="59"/>
      <c r="D522" s="59"/>
      <c r="E522" s="59"/>
      <c r="F522" s="59"/>
      <c r="G522" s="59"/>
      <c r="H522" s="59"/>
      <c r="I522" s="59"/>
    </row>
    <row r="523" spans="2:9" ht="12.75">
      <c r="B523" s="59"/>
      <c r="C523" s="59"/>
      <c r="D523" s="59"/>
      <c r="E523" s="59"/>
      <c r="F523" s="59"/>
      <c r="G523" s="59"/>
      <c r="H523" s="59"/>
      <c r="I523" s="59"/>
    </row>
    <row r="524" spans="2:9" ht="12.75">
      <c r="B524" s="59"/>
      <c r="C524" s="59"/>
      <c r="D524" s="59"/>
      <c r="E524" s="59"/>
      <c r="F524" s="59"/>
      <c r="G524" s="59"/>
      <c r="H524" s="59"/>
      <c r="I524" s="59"/>
    </row>
    <row r="525" spans="2:9" ht="12.75">
      <c r="B525" s="59"/>
      <c r="C525" s="59"/>
      <c r="D525" s="59"/>
      <c r="E525" s="59"/>
      <c r="F525" s="59"/>
      <c r="G525" s="59"/>
      <c r="H525" s="59"/>
      <c r="I525" s="59"/>
    </row>
    <row r="526" spans="2:9" ht="12.75">
      <c r="B526" s="59"/>
      <c r="C526" s="59"/>
      <c r="D526" s="59"/>
      <c r="E526" s="59"/>
      <c r="F526" s="59"/>
      <c r="G526" s="59"/>
      <c r="H526" s="59"/>
      <c r="I526" s="59"/>
    </row>
    <row r="527" spans="2:9" ht="12.75">
      <c r="B527" s="59"/>
      <c r="C527" s="59"/>
      <c r="D527" s="59"/>
      <c r="E527" s="59"/>
      <c r="F527" s="59"/>
      <c r="G527" s="59"/>
      <c r="H527" s="59"/>
      <c r="I527" s="59"/>
    </row>
    <row r="528" spans="2:9" ht="12.75">
      <c r="B528" s="59"/>
      <c r="C528" s="59"/>
      <c r="D528" s="59"/>
      <c r="E528" s="59"/>
      <c r="F528" s="59"/>
      <c r="G528" s="59"/>
      <c r="H528" s="59"/>
      <c r="I528" s="59"/>
    </row>
    <row r="529" spans="2:9" ht="12.75">
      <c r="B529" s="59"/>
      <c r="C529" s="59"/>
      <c r="D529" s="59"/>
      <c r="E529" s="59"/>
      <c r="F529" s="59"/>
      <c r="G529" s="59"/>
      <c r="H529" s="59"/>
      <c r="I529" s="59"/>
    </row>
    <row r="530" spans="2:9" ht="12.75">
      <c r="B530" s="59"/>
      <c r="C530" s="59"/>
      <c r="D530" s="59"/>
      <c r="E530" s="59"/>
      <c r="F530" s="59"/>
      <c r="G530" s="59"/>
      <c r="H530" s="59"/>
      <c r="I530" s="59"/>
    </row>
    <row r="531" spans="2:9" ht="12.75">
      <c r="B531" s="59"/>
      <c r="C531" s="59"/>
      <c r="D531" s="59"/>
      <c r="E531" s="59"/>
      <c r="F531" s="59"/>
      <c r="G531" s="59"/>
      <c r="H531" s="59"/>
      <c r="I531" s="59"/>
    </row>
    <row r="532" spans="2:9" ht="12.75">
      <c r="B532" s="59"/>
      <c r="C532" s="59"/>
      <c r="D532" s="59"/>
      <c r="E532" s="59"/>
      <c r="F532" s="59"/>
      <c r="G532" s="59"/>
      <c r="H532" s="59"/>
      <c r="I532" s="59"/>
    </row>
    <row r="533" spans="2:9" ht="12.75">
      <c r="B533" s="59"/>
      <c r="C533" s="59"/>
      <c r="D533" s="59"/>
      <c r="E533" s="59"/>
      <c r="F533" s="59"/>
      <c r="G533" s="59"/>
      <c r="H533" s="59"/>
      <c r="I533" s="59"/>
    </row>
    <row r="534" spans="2:9" ht="12.75">
      <c r="B534" s="59"/>
      <c r="C534" s="59"/>
      <c r="D534" s="59"/>
      <c r="E534" s="59"/>
      <c r="F534" s="59"/>
      <c r="G534" s="59"/>
      <c r="H534" s="59"/>
      <c r="I534" s="59"/>
    </row>
    <row r="535" spans="2:9" ht="12.75">
      <c r="B535" s="59"/>
      <c r="C535" s="59"/>
      <c r="D535" s="59"/>
      <c r="E535" s="59"/>
      <c r="F535" s="59"/>
      <c r="G535" s="59"/>
      <c r="H535" s="59"/>
      <c r="I535" s="59"/>
    </row>
    <row r="536" spans="2:9" ht="12.75">
      <c r="B536" s="59"/>
      <c r="C536" s="59"/>
      <c r="D536" s="59"/>
      <c r="E536" s="59"/>
      <c r="F536" s="59"/>
      <c r="G536" s="59"/>
      <c r="H536" s="59"/>
      <c r="I536" s="59"/>
    </row>
    <row r="537" spans="2:9" ht="12.75">
      <c r="B537" s="59"/>
      <c r="C537" s="59"/>
      <c r="D537" s="59"/>
      <c r="E537" s="59"/>
      <c r="F537" s="59"/>
      <c r="G537" s="59"/>
      <c r="H537" s="59"/>
      <c r="I537" s="59"/>
    </row>
    <row r="538" spans="2:9" ht="12.75">
      <c r="B538" s="59"/>
      <c r="C538" s="59"/>
      <c r="D538" s="59"/>
      <c r="E538" s="59"/>
      <c r="F538" s="59"/>
      <c r="G538" s="59"/>
      <c r="H538" s="59"/>
      <c r="I538" s="59"/>
    </row>
    <row r="539" spans="2:9" ht="12.75">
      <c r="B539" s="59"/>
      <c r="C539" s="59"/>
      <c r="D539" s="59"/>
      <c r="E539" s="59"/>
      <c r="F539" s="59"/>
      <c r="G539" s="59"/>
      <c r="H539" s="59"/>
      <c r="I539" s="59"/>
    </row>
    <row r="540" spans="2:9" ht="12.75">
      <c r="B540" s="59"/>
      <c r="C540" s="59"/>
      <c r="D540" s="59"/>
      <c r="E540" s="59"/>
      <c r="F540" s="59"/>
      <c r="G540" s="59"/>
      <c r="H540" s="59"/>
      <c r="I540" s="59"/>
    </row>
    <row r="541" spans="2:9" ht="12.75">
      <c r="B541" s="59"/>
      <c r="C541" s="59"/>
      <c r="D541" s="59"/>
      <c r="E541" s="59"/>
      <c r="F541" s="59"/>
      <c r="G541" s="59"/>
      <c r="H541" s="59"/>
      <c r="I541" s="59"/>
    </row>
    <row r="542" spans="2:9" ht="12.75">
      <c r="B542" s="59"/>
      <c r="C542" s="59"/>
      <c r="D542" s="59"/>
      <c r="E542" s="59"/>
      <c r="F542" s="59"/>
      <c r="G542" s="59"/>
      <c r="H542" s="59"/>
      <c r="I542" s="59"/>
    </row>
    <row r="543" spans="2:9" ht="12.75">
      <c r="B543" s="59"/>
      <c r="C543" s="59"/>
      <c r="D543" s="59"/>
      <c r="E543" s="59"/>
      <c r="F543" s="59"/>
      <c r="G543" s="59"/>
      <c r="H543" s="59"/>
      <c r="I543" s="59"/>
    </row>
    <row r="544" spans="2:9" ht="12.75">
      <c r="B544" s="59"/>
      <c r="C544" s="59"/>
      <c r="D544" s="59"/>
      <c r="E544" s="59"/>
      <c r="F544" s="59"/>
      <c r="G544" s="59"/>
      <c r="H544" s="59"/>
      <c r="I544" s="59"/>
    </row>
    <row r="545" spans="2:9" ht="12.75">
      <c r="B545" s="59"/>
      <c r="C545" s="59"/>
      <c r="D545" s="59"/>
      <c r="E545" s="59"/>
      <c r="F545" s="59"/>
      <c r="G545" s="59"/>
      <c r="H545" s="59"/>
      <c r="I545" s="59"/>
    </row>
    <row r="546" spans="2:9" ht="12.75">
      <c r="B546" s="59"/>
      <c r="C546" s="59"/>
      <c r="D546" s="59"/>
      <c r="E546" s="59"/>
      <c r="F546" s="59"/>
      <c r="G546" s="59"/>
      <c r="H546" s="59"/>
      <c r="I546" s="59"/>
    </row>
    <row r="547" spans="2:9" ht="12.75">
      <c r="B547" s="59"/>
      <c r="C547" s="59"/>
      <c r="D547" s="59"/>
      <c r="E547" s="59"/>
      <c r="F547" s="59"/>
      <c r="G547" s="59"/>
      <c r="H547" s="59"/>
      <c r="I547" s="59"/>
    </row>
    <row r="548" spans="2:9" ht="12.75">
      <c r="B548" s="59"/>
      <c r="C548" s="59"/>
      <c r="D548" s="59"/>
      <c r="E548" s="59"/>
      <c r="F548" s="59"/>
      <c r="G548" s="59"/>
      <c r="H548" s="59"/>
      <c r="I548" s="59"/>
    </row>
    <row r="549" spans="2:9" ht="12.75">
      <c r="B549" s="59"/>
      <c r="C549" s="59"/>
      <c r="D549" s="59"/>
      <c r="E549" s="59"/>
      <c r="F549" s="59"/>
      <c r="G549" s="59"/>
      <c r="H549" s="59"/>
      <c r="I549" s="59"/>
    </row>
    <row r="550" spans="2:9" ht="12.75">
      <c r="B550" s="59"/>
      <c r="C550" s="59"/>
      <c r="D550" s="59"/>
      <c r="E550" s="59"/>
      <c r="F550" s="59"/>
      <c r="G550" s="59"/>
      <c r="H550" s="59"/>
      <c r="I550" s="59"/>
    </row>
    <row r="551" spans="2:9" ht="12.75">
      <c r="B551" s="59"/>
      <c r="C551" s="59"/>
      <c r="D551" s="59"/>
      <c r="E551" s="59"/>
      <c r="F551" s="59"/>
      <c r="G551" s="59"/>
      <c r="H551" s="59"/>
      <c r="I551" s="59"/>
    </row>
    <row r="552" spans="2:9" ht="12.75">
      <c r="B552" s="59"/>
      <c r="C552" s="59"/>
      <c r="D552" s="59"/>
      <c r="E552" s="59"/>
      <c r="F552" s="59"/>
      <c r="G552" s="59"/>
      <c r="H552" s="59"/>
      <c r="I552" s="59"/>
    </row>
    <row r="553" spans="2:9" ht="12.75">
      <c r="B553" s="59"/>
      <c r="C553" s="59"/>
      <c r="D553" s="59"/>
      <c r="E553" s="59"/>
      <c r="F553" s="59"/>
      <c r="G553" s="59"/>
      <c r="H553" s="59"/>
      <c r="I553" s="59"/>
    </row>
    <row r="554" spans="2:9" ht="12.75">
      <c r="B554" s="59"/>
      <c r="C554" s="59"/>
      <c r="D554" s="59"/>
      <c r="E554" s="59"/>
      <c r="F554" s="59"/>
      <c r="G554" s="59"/>
      <c r="H554" s="59"/>
      <c r="I554" s="59"/>
    </row>
    <row r="555" spans="2:9" ht="12.75">
      <c r="B555" s="59"/>
      <c r="C555" s="59"/>
      <c r="D555" s="59"/>
      <c r="E555" s="59"/>
      <c r="F555" s="59"/>
      <c r="G555" s="59"/>
      <c r="H555" s="59"/>
      <c r="I555" s="59"/>
    </row>
    <row r="556" spans="2:9" ht="12.75">
      <c r="B556" s="59"/>
      <c r="C556" s="59"/>
      <c r="D556" s="59"/>
      <c r="E556" s="59"/>
      <c r="F556" s="59"/>
      <c r="G556" s="59"/>
      <c r="H556" s="59"/>
      <c r="I556" s="59"/>
    </row>
    <row r="557" spans="2:9" ht="12.75">
      <c r="B557" s="59"/>
      <c r="C557" s="59"/>
      <c r="D557" s="59"/>
      <c r="E557" s="59"/>
      <c r="F557" s="59"/>
      <c r="G557" s="59"/>
      <c r="H557" s="59"/>
      <c r="I557" s="59"/>
    </row>
    <row r="558" spans="2:9" ht="12.75">
      <c r="B558" s="59"/>
      <c r="C558" s="59"/>
      <c r="D558" s="59"/>
      <c r="E558" s="59"/>
      <c r="F558" s="59"/>
      <c r="G558" s="59"/>
      <c r="H558" s="59"/>
      <c r="I558" s="59"/>
    </row>
    <row r="559" spans="2:9" ht="12.75">
      <c r="B559" s="59"/>
      <c r="C559" s="59"/>
      <c r="D559" s="59"/>
      <c r="E559" s="59"/>
      <c r="F559" s="59"/>
      <c r="G559" s="59"/>
      <c r="H559" s="59"/>
      <c r="I559" s="59"/>
    </row>
    <row r="560" spans="2:9" ht="12.75">
      <c r="B560" s="59"/>
      <c r="C560" s="59"/>
      <c r="D560" s="59"/>
      <c r="E560" s="59"/>
      <c r="F560" s="59"/>
      <c r="G560" s="59"/>
      <c r="H560" s="59"/>
      <c r="I560" s="59"/>
    </row>
    <row r="561" spans="2:9" ht="12.75">
      <c r="B561" s="59"/>
      <c r="C561" s="59"/>
      <c r="D561" s="59"/>
      <c r="E561" s="59"/>
      <c r="F561" s="59"/>
      <c r="G561" s="59"/>
      <c r="H561" s="59"/>
      <c r="I561" s="59"/>
    </row>
    <row r="562" spans="2:9" ht="12.75">
      <c r="B562" s="59"/>
      <c r="C562" s="59"/>
      <c r="D562" s="59"/>
      <c r="E562" s="59"/>
      <c r="F562" s="59"/>
      <c r="G562" s="59"/>
      <c r="H562" s="59"/>
      <c r="I562" s="59"/>
    </row>
    <row r="563" spans="2:9" ht="12.75">
      <c r="B563" s="59"/>
      <c r="C563" s="59"/>
      <c r="D563" s="59"/>
      <c r="E563" s="59"/>
      <c r="F563" s="59"/>
      <c r="G563" s="59"/>
      <c r="H563" s="59"/>
      <c r="I563" s="59"/>
    </row>
    <row r="564" spans="2:9" ht="12.75">
      <c r="B564" s="59"/>
      <c r="C564" s="59"/>
      <c r="D564" s="59"/>
      <c r="E564" s="59"/>
      <c r="F564" s="59"/>
      <c r="G564" s="59"/>
      <c r="H564" s="59"/>
      <c r="I564" s="59"/>
    </row>
    <row r="565" spans="2:9" ht="12.75">
      <c r="B565" s="59"/>
      <c r="C565" s="59"/>
      <c r="D565" s="59"/>
      <c r="E565" s="59"/>
      <c r="F565" s="59"/>
      <c r="G565" s="59"/>
      <c r="H565" s="59"/>
      <c r="I565" s="59"/>
    </row>
    <row r="566" spans="2:9" ht="12.75">
      <c r="B566" s="59"/>
      <c r="C566" s="59"/>
      <c r="D566" s="59"/>
      <c r="E566" s="59"/>
      <c r="F566" s="59"/>
      <c r="G566" s="59"/>
      <c r="H566" s="59"/>
      <c r="I566" s="59"/>
    </row>
    <row r="567" spans="2:9" ht="12.75">
      <c r="B567" s="59"/>
      <c r="C567" s="59"/>
      <c r="D567" s="59"/>
      <c r="E567" s="59"/>
      <c r="F567" s="59"/>
      <c r="G567" s="59"/>
      <c r="H567" s="59"/>
      <c r="I567" s="59"/>
    </row>
    <row r="568" spans="2:9" ht="12.75">
      <c r="B568" s="59"/>
      <c r="C568" s="59"/>
      <c r="D568" s="59"/>
      <c r="E568" s="59"/>
      <c r="F568" s="59"/>
      <c r="G568" s="59"/>
      <c r="H568" s="59"/>
      <c r="I568" s="59"/>
    </row>
    <row r="569" spans="2:9" ht="12.75">
      <c r="B569" s="59"/>
      <c r="C569" s="59"/>
      <c r="D569" s="59"/>
      <c r="E569" s="59"/>
      <c r="F569" s="59"/>
      <c r="G569" s="59"/>
      <c r="H569" s="59"/>
      <c r="I569" s="59"/>
    </row>
    <row r="570" spans="2:9" ht="12.75">
      <c r="B570" s="59"/>
      <c r="C570" s="59"/>
      <c r="D570" s="59"/>
      <c r="E570" s="59"/>
      <c r="F570" s="59"/>
      <c r="G570" s="59"/>
      <c r="H570" s="59"/>
      <c r="I570" s="59"/>
    </row>
    <row r="571" spans="2:9" ht="12.75">
      <c r="B571" s="59"/>
      <c r="C571" s="59"/>
      <c r="D571" s="59"/>
      <c r="E571" s="59"/>
      <c r="F571" s="59"/>
      <c r="G571" s="59"/>
      <c r="H571" s="59"/>
      <c r="I571" s="59"/>
    </row>
    <row r="572" spans="2:9" ht="12.75">
      <c r="B572" s="59"/>
      <c r="C572" s="59"/>
      <c r="D572" s="59"/>
      <c r="E572" s="59"/>
      <c r="F572" s="59"/>
      <c r="G572" s="59"/>
      <c r="H572" s="59"/>
      <c r="I572" s="59"/>
    </row>
    <row r="573" spans="2:9" ht="12.75">
      <c r="B573" s="59"/>
      <c r="C573" s="59"/>
      <c r="D573" s="59"/>
      <c r="E573" s="59"/>
      <c r="F573" s="59"/>
      <c r="G573" s="59"/>
      <c r="H573" s="59"/>
      <c r="I573" s="59"/>
    </row>
    <row r="574" spans="2:9" ht="12.75">
      <c r="B574" s="59"/>
      <c r="C574" s="59"/>
      <c r="D574" s="59"/>
      <c r="E574" s="59"/>
      <c r="F574" s="59"/>
      <c r="G574" s="59"/>
      <c r="H574" s="59"/>
      <c r="I574" s="59"/>
    </row>
    <row r="575" spans="2:9" ht="12.75">
      <c r="B575" s="59"/>
      <c r="C575" s="59"/>
      <c r="D575" s="59"/>
      <c r="E575" s="59"/>
      <c r="F575" s="59"/>
      <c r="G575" s="59"/>
      <c r="H575" s="59"/>
      <c r="I575" s="59"/>
    </row>
    <row r="576" spans="2:9" ht="12.75">
      <c r="B576" s="59"/>
      <c r="C576" s="59"/>
      <c r="D576" s="59"/>
      <c r="E576" s="59"/>
      <c r="F576" s="59"/>
      <c r="G576" s="59"/>
      <c r="H576" s="59"/>
      <c r="I576" s="59"/>
    </row>
    <row r="577" spans="2:9" ht="12.75">
      <c r="B577" s="59"/>
      <c r="C577" s="59"/>
      <c r="D577" s="59"/>
      <c r="E577" s="59"/>
      <c r="F577" s="59"/>
      <c r="G577" s="59"/>
      <c r="H577" s="59"/>
      <c r="I577" s="59"/>
    </row>
    <row r="578" spans="2:9" ht="12.75">
      <c r="B578" s="59"/>
      <c r="C578" s="59"/>
      <c r="D578" s="59"/>
      <c r="E578" s="59"/>
      <c r="F578" s="59"/>
      <c r="G578" s="59"/>
      <c r="H578" s="59"/>
      <c r="I578" s="59"/>
    </row>
    <row r="579" spans="2:9" ht="12.75">
      <c r="B579" s="59"/>
      <c r="C579" s="59"/>
      <c r="D579" s="59"/>
      <c r="E579" s="59"/>
      <c r="F579" s="59"/>
      <c r="G579" s="59"/>
      <c r="H579" s="59"/>
      <c r="I579" s="59"/>
    </row>
    <row r="580" spans="2:9" ht="12.75">
      <c r="B580" s="59"/>
      <c r="C580" s="59"/>
      <c r="D580" s="59"/>
      <c r="E580" s="59"/>
      <c r="F580" s="59"/>
      <c r="G580" s="59"/>
      <c r="H580" s="59"/>
      <c r="I580" s="59"/>
    </row>
    <row r="581" spans="2:9" ht="12.75">
      <c r="B581" s="59"/>
      <c r="C581" s="59"/>
      <c r="D581" s="59"/>
      <c r="E581" s="59"/>
      <c r="F581" s="59"/>
      <c r="G581" s="59"/>
      <c r="H581" s="59"/>
      <c r="I581" s="59"/>
    </row>
    <row r="582" spans="2:9" ht="12.75">
      <c r="B582" s="59"/>
      <c r="C582" s="59"/>
      <c r="D582" s="59"/>
      <c r="E582" s="59"/>
      <c r="F582" s="59"/>
      <c r="G582" s="59"/>
      <c r="H582" s="59"/>
      <c r="I582" s="59"/>
    </row>
    <row r="583" spans="2:9" ht="12.75">
      <c r="B583" s="59"/>
      <c r="C583" s="59"/>
      <c r="D583" s="59"/>
      <c r="E583" s="59"/>
      <c r="F583" s="59"/>
      <c r="G583" s="59"/>
      <c r="H583" s="59"/>
      <c r="I583" s="59"/>
    </row>
    <row r="584" spans="2:9" ht="12.75">
      <c r="B584" s="59"/>
      <c r="C584" s="59"/>
      <c r="D584" s="59"/>
      <c r="E584" s="59"/>
      <c r="F584" s="59"/>
      <c r="G584" s="59"/>
      <c r="H584" s="59"/>
      <c r="I584" s="59"/>
    </row>
    <row r="585" spans="2:9" ht="12.75">
      <c r="B585" s="59"/>
      <c r="C585" s="59"/>
      <c r="D585" s="59"/>
      <c r="E585" s="59"/>
      <c r="F585" s="59"/>
      <c r="G585" s="59"/>
      <c r="H585" s="59"/>
      <c r="I585" s="59"/>
    </row>
    <row r="586" spans="2:9" ht="12.75">
      <c r="B586" s="59"/>
      <c r="C586" s="59"/>
      <c r="D586" s="59"/>
      <c r="E586" s="59"/>
      <c r="F586" s="59"/>
      <c r="G586" s="59"/>
      <c r="H586" s="59"/>
      <c r="I586" s="59"/>
    </row>
    <row r="587" spans="2:9" ht="12.75">
      <c r="B587" s="59"/>
      <c r="C587" s="59"/>
      <c r="D587" s="59"/>
      <c r="E587" s="59"/>
      <c r="F587" s="59"/>
      <c r="G587" s="59"/>
      <c r="H587" s="59"/>
      <c r="I587" s="59"/>
    </row>
    <row r="588" spans="2:9" ht="12.75">
      <c r="B588" s="59"/>
      <c r="C588" s="59"/>
      <c r="D588" s="59"/>
      <c r="E588" s="59"/>
      <c r="F588" s="59"/>
      <c r="G588" s="59"/>
      <c r="H588" s="59"/>
      <c r="I588" s="59"/>
    </row>
    <row r="589" spans="2:9" ht="12.75">
      <c r="B589" s="59"/>
      <c r="C589" s="59"/>
      <c r="D589" s="59"/>
      <c r="E589" s="59"/>
      <c r="F589" s="59"/>
      <c r="G589" s="59"/>
      <c r="H589" s="59"/>
      <c r="I589" s="59"/>
    </row>
    <row r="590" spans="2:9" ht="12.75">
      <c r="B590" s="59"/>
      <c r="C590" s="59"/>
      <c r="D590" s="59"/>
      <c r="E590" s="59"/>
      <c r="F590" s="59"/>
      <c r="G590" s="59"/>
      <c r="H590" s="59"/>
      <c r="I590" s="59"/>
    </row>
    <row r="591" spans="2:9" ht="12.75">
      <c r="B591" s="59"/>
      <c r="C591" s="59"/>
      <c r="D591" s="59"/>
      <c r="E591" s="59"/>
      <c r="F591" s="59"/>
      <c r="G591" s="59"/>
      <c r="H591" s="59"/>
      <c r="I591" s="59"/>
    </row>
    <row r="592" spans="2:9" ht="12.75">
      <c r="B592" s="59"/>
      <c r="C592" s="59"/>
      <c r="D592" s="59"/>
      <c r="E592" s="59"/>
      <c r="F592" s="59"/>
      <c r="G592" s="59"/>
      <c r="H592" s="59"/>
      <c r="I592" s="59"/>
    </row>
    <row r="593" spans="2:9" ht="12.75">
      <c r="B593" s="59"/>
      <c r="C593" s="59"/>
      <c r="D593" s="59"/>
      <c r="E593" s="59"/>
      <c r="F593" s="59"/>
      <c r="G593" s="59"/>
      <c r="H593" s="59"/>
      <c r="I593" s="59"/>
    </row>
    <row r="594" spans="2:9" ht="12.75">
      <c r="B594" s="59"/>
      <c r="C594" s="59"/>
      <c r="D594" s="59"/>
      <c r="E594" s="59"/>
      <c r="F594" s="59"/>
      <c r="G594" s="59"/>
      <c r="H594" s="59"/>
      <c r="I594" s="59"/>
    </row>
    <row r="595" spans="2:9" ht="12.75">
      <c r="B595" s="59"/>
      <c r="C595" s="59"/>
      <c r="D595" s="59"/>
      <c r="E595" s="59"/>
      <c r="F595" s="59"/>
      <c r="G595" s="59"/>
      <c r="H595" s="59"/>
      <c r="I595" s="59"/>
    </row>
    <row r="596" spans="2:9" ht="12.75">
      <c r="B596" s="59"/>
      <c r="C596" s="59"/>
      <c r="D596" s="59"/>
      <c r="E596" s="59"/>
      <c r="F596" s="59"/>
      <c r="G596" s="59"/>
      <c r="H596" s="59"/>
      <c r="I596" s="59"/>
    </row>
    <row r="597" spans="2:9" ht="12.75">
      <c r="B597" s="59"/>
      <c r="C597" s="59"/>
      <c r="D597" s="59"/>
      <c r="E597" s="59"/>
      <c r="F597" s="59"/>
      <c r="G597" s="59"/>
      <c r="H597" s="59"/>
      <c r="I597" s="59"/>
    </row>
    <row r="598" spans="2:9" ht="12.75">
      <c r="B598" s="59"/>
      <c r="C598" s="59"/>
      <c r="D598" s="59"/>
      <c r="E598" s="59"/>
      <c r="F598" s="59"/>
      <c r="G598" s="59"/>
      <c r="H598" s="59"/>
      <c r="I598" s="59"/>
    </row>
    <row r="599" spans="2:9" ht="12.75">
      <c r="B599" s="59"/>
      <c r="C599" s="59"/>
      <c r="D599" s="59"/>
      <c r="E599" s="59"/>
      <c r="F599" s="59"/>
      <c r="G599" s="59"/>
      <c r="H599" s="59"/>
      <c r="I599" s="59"/>
    </row>
    <row r="600" spans="2:9" ht="12.75">
      <c r="B600" s="59"/>
      <c r="C600" s="59"/>
      <c r="D600" s="59"/>
      <c r="E600" s="59"/>
      <c r="F600" s="59"/>
      <c r="G600" s="59"/>
      <c r="H600" s="59"/>
      <c r="I600" s="59"/>
    </row>
    <row r="601" spans="2:9" ht="12.75">
      <c r="B601" s="59"/>
      <c r="C601" s="59"/>
      <c r="D601" s="59"/>
      <c r="E601" s="59"/>
      <c r="F601" s="59"/>
      <c r="G601" s="59"/>
      <c r="H601" s="59"/>
      <c r="I601" s="59"/>
    </row>
    <row r="602" spans="2:9" ht="12.75">
      <c r="B602" s="59"/>
      <c r="C602" s="59"/>
      <c r="D602" s="59"/>
      <c r="E602" s="59"/>
      <c r="F602" s="59"/>
      <c r="G602" s="59"/>
      <c r="H602" s="59"/>
      <c r="I602" s="59"/>
    </row>
    <row r="603" spans="2:9" ht="12.75">
      <c r="B603" s="59"/>
      <c r="C603" s="59"/>
      <c r="D603" s="59"/>
      <c r="E603" s="59"/>
      <c r="F603" s="59"/>
      <c r="G603" s="59"/>
      <c r="H603" s="59"/>
      <c r="I603" s="59"/>
    </row>
    <row r="604" spans="2:9" ht="12.75">
      <c r="B604" s="59"/>
      <c r="C604" s="59"/>
      <c r="D604" s="59"/>
      <c r="E604" s="59"/>
      <c r="F604" s="59"/>
      <c r="G604" s="59"/>
      <c r="H604" s="59"/>
      <c r="I604" s="59"/>
    </row>
    <row r="605" spans="2:9" ht="12.75">
      <c r="B605" s="59"/>
      <c r="C605" s="59"/>
      <c r="D605" s="59"/>
      <c r="E605" s="59"/>
      <c r="F605" s="59"/>
      <c r="G605" s="59"/>
      <c r="H605" s="59"/>
      <c r="I605" s="59"/>
    </row>
    <row r="606" spans="2:9" ht="12.75">
      <c r="B606" s="59"/>
      <c r="C606" s="59"/>
      <c r="D606" s="59"/>
      <c r="E606" s="59"/>
      <c r="F606" s="59"/>
      <c r="G606" s="59"/>
      <c r="H606" s="59"/>
      <c r="I606" s="59"/>
    </row>
    <row r="607" spans="2:9" ht="12.75">
      <c r="B607" s="59"/>
      <c r="C607" s="59"/>
      <c r="D607" s="59"/>
      <c r="E607" s="59"/>
      <c r="F607" s="59"/>
      <c r="G607" s="59"/>
      <c r="H607" s="59"/>
      <c r="I607" s="59"/>
    </row>
    <row r="608" spans="2:9" ht="12.75">
      <c r="B608" s="59"/>
      <c r="C608" s="59"/>
      <c r="D608" s="59"/>
      <c r="E608" s="59"/>
      <c r="F608" s="59"/>
      <c r="G608" s="59"/>
      <c r="H608" s="59"/>
      <c r="I608" s="59"/>
    </row>
    <row r="609" spans="2:9" ht="12.75">
      <c r="B609" s="59"/>
      <c r="C609" s="59"/>
      <c r="D609" s="59"/>
      <c r="E609" s="59"/>
      <c r="F609" s="59"/>
      <c r="G609" s="59"/>
      <c r="H609" s="59"/>
      <c r="I609" s="59"/>
    </row>
    <row r="610" spans="2:9" ht="12.75">
      <c r="B610" s="59"/>
      <c r="C610" s="59"/>
      <c r="D610" s="59"/>
      <c r="E610" s="59"/>
      <c r="F610" s="59"/>
      <c r="G610" s="59"/>
      <c r="H610" s="59"/>
      <c r="I610" s="59"/>
    </row>
    <row r="611" spans="2:9" ht="12.75">
      <c r="B611" s="59"/>
      <c r="C611" s="59"/>
      <c r="D611" s="59"/>
      <c r="E611" s="59"/>
      <c r="F611" s="59"/>
      <c r="G611" s="59"/>
      <c r="H611" s="59"/>
      <c r="I611" s="59"/>
    </row>
    <row r="612" spans="2:9" ht="12.75">
      <c r="B612" s="59"/>
      <c r="C612" s="59"/>
      <c r="D612" s="59"/>
      <c r="E612" s="59"/>
      <c r="F612" s="59"/>
      <c r="G612" s="59"/>
      <c r="H612" s="59"/>
      <c r="I612" s="59"/>
    </row>
    <row r="613" spans="2:9" ht="12.75">
      <c r="B613" s="59"/>
      <c r="C613" s="59"/>
      <c r="D613" s="59"/>
      <c r="E613" s="59"/>
      <c r="F613" s="59"/>
      <c r="G613" s="59"/>
      <c r="H613" s="59"/>
      <c r="I613" s="59"/>
    </row>
    <row r="614" spans="2:9" ht="12.75">
      <c r="B614" s="59"/>
      <c r="C614" s="59"/>
      <c r="D614" s="59"/>
      <c r="E614" s="59"/>
      <c r="F614" s="59"/>
      <c r="G614" s="59"/>
      <c r="H614" s="59"/>
      <c r="I614" s="59"/>
    </row>
    <row r="615" spans="2:9" ht="12.75">
      <c r="B615" s="59"/>
      <c r="C615" s="59"/>
      <c r="D615" s="59"/>
      <c r="E615" s="59"/>
      <c r="F615" s="59"/>
      <c r="G615" s="59"/>
      <c r="H615" s="59"/>
      <c r="I615" s="59"/>
    </row>
    <row r="616" spans="2:9" ht="12.75">
      <c r="B616" s="59"/>
      <c r="C616" s="59"/>
      <c r="D616" s="59"/>
      <c r="E616" s="59"/>
      <c r="F616" s="59"/>
      <c r="G616" s="59"/>
      <c r="H616" s="59"/>
      <c r="I616" s="59"/>
    </row>
    <row r="617" spans="2:9" ht="12.75">
      <c r="B617" s="59"/>
      <c r="C617" s="59"/>
      <c r="D617" s="59"/>
      <c r="E617" s="59"/>
      <c r="F617" s="59"/>
      <c r="G617" s="59"/>
      <c r="H617" s="59"/>
      <c r="I617" s="59"/>
    </row>
    <row r="618" spans="2:9" ht="12.75">
      <c r="B618" s="59"/>
      <c r="C618" s="59"/>
      <c r="D618" s="59"/>
      <c r="E618" s="59"/>
      <c r="F618" s="59"/>
      <c r="G618" s="59"/>
      <c r="H618" s="59"/>
      <c r="I618" s="59"/>
    </row>
    <row r="619" spans="2:9" ht="12.75">
      <c r="B619" s="59"/>
      <c r="C619" s="59"/>
      <c r="D619" s="59"/>
      <c r="E619" s="59"/>
      <c r="F619" s="59"/>
      <c r="G619" s="59"/>
      <c r="H619" s="59"/>
      <c r="I619" s="59"/>
    </row>
    <row r="620" spans="2:9" ht="12.75">
      <c r="B620" s="59"/>
      <c r="C620" s="59"/>
      <c r="D620" s="59"/>
      <c r="E620" s="59"/>
      <c r="F620" s="59"/>
      <c r="G620" s="59"/>
      <c r="H620" s="59"/>
      <c r="I620" s="59"/>
    </row>
    <row r="621" spans="2:9" ht="12.75">
      <c r="B621" s="59"/>
      <c r="C621" s="59"/>
      <c r="D621" s="59"/>
      <c r="E621" s="59"/>
      <c r="F621" s="59"/>
      <c r="G621" s="59"/>
      <c r="H621" s="59"/>
      <c r="I621" s="59"/>
    </row>
    <row r="622" spans="2:9" ht="12.75">
      <c r="B622" s="59"/>
      <c r="C622" s="59"/>
      <c r="D622" s="59"/>
      <c r="E622" s="59"/>
      <c r="F622" s="59"/>
      <c r="G622" s="59"/>
      <c r="H622" s="59"/>
      <c r="I622" s="59"/>
    </row>
    <row r="623" spans="2:9" ht="12.75">
      <c r="B623" s="59"/>
      <c r="C623" s="59"/>
      <c r="D623" s="59"/>
      <c r="E623" s="59"/>
      <c r="F623" s="59"/>
      <c r="G623" s="59"/>
      <c r="H623" s="59"/>
      <c r="I623" s="59"/>
    </row>
    <row r="624" spans="2:9" ht="12.75">
      <c r="B624" s="59"/>
      <c r="C624" s="59"/>
      <c r="D624" s="59"/>
      <c r="E624" s="59"/>
      <c r="F624" s="59"/>
      <c r="G624" s="59"/>
      <c r="H624" s="59"/>
      <c r="I624" s="59"/>
    </row>
    <row r="625" spans="2:9" ht="12.75">
      <c r="B625" s="59"/>
      <c r="C625" s="59"/>
      <c r="D625" s="59"/>
      <c r="E625" s="59"/>
      <c r="F625" s="59"/>
      <c r="G625" s="59"/>
      <c r="H625" s="59"/>
      <c r="I625" s="59"/>
    </row>
    <row r="626" spans="2:9" ht="12.75">
      <c r="B626" s="59"/>
      <c r="C626" s="59"/>
      <c r="D626" s="59"/>
      <c r="E626" s="59"/>
      <c r="F626" s="59"/>
      <c r="G626" s="59"/>
      <c r="H626" s="59"/>
      <c r="I626" s="59"/>
    </row>
    <row r="627" spans="2:9" ht="12.75">
      <c r="B627" s="59"/>
      <c r="C627" s="59"/>
      <c r="D627" s="59"/>
      <c r="E627" s="59"/>
      <c r="F627" s="59"/>
      <c r="G627" s="59"/>
      <c r="H627" s="59"/>
      <c r="I627" s="59"/>
    </row>
    <row r="628" spans="2:9" ht="12.75">
      <c r="B628" s="59"/>
      <c r="C628" s="59"/>
      <c r="D628" s="59"/>
      <c r="E628" s="59"/>
      <c r="F628" s="59"/>
      <c r="G628" s="59"/>
      <c r="H628" s="59"/>
      <c r="I628" s="59"/>
    </row>
    <row r="629" spans="2:9" ht="12.75">
      <c r="B629" s="59"/>
      <c r="C629" s="59"/>
      <c r="D629" s="59"/>
      <c r="E629" s="59"/>
      <c r="F629" s="59"/>
      <c r="G629" s="59"/>
      <c r="H629" s="59"/>
      <c r="I629" s="59"/>
    </row>
    <row r="630" spans="2:9" ht="12.75">
      <c r="B630" s="59"/>
      <c r="C630" s="59"/>
      <c r="D630" s="59"/>
      <c r="E630" s="59"/>
      <c r="F630" s="59"/>
      <c r="G630" s="59"/>
      <c r="H630" s="59"/>
      <c r="I630" s="59"/>
    </row>
    <row r="631" spans="2:9" ht="12.75">
      <c r="B631" s="59"/>
      <c r="C631" s="59"/>
      <c r="D631" s="59"/>
      <c r="E631" s="59"/>
      <c r="F631" s="59"/>
      <c r="G631" s="59"/>
      <c r="H631" s="59"/>
      <c r="I631" s="59"/>
    </row>
    <row r="632" spans="2:9" ht="12.75">
      <c r="B632" s="59"/>
      <c r="C632" s="59"/>
      <c r="D632" s="59"/>
      <c r="E632" s="59"/>
      <c r="F632" s="59"/>
      <c r="G632" s="59"/>
      <c r="H632" s="59"/>
      <c r="I632" s="59"/>
    </row>
    <row r="633" spans="2:9" ht="12.75">
      <c r="B633" s="59"/>
      <c r="C633" s="59"/>
      <c r="D633" s="59"/>
      <c r="E633" s="59"/>
      <c r="F633" s="59"/>
      <c r="G633" s="59"/>
      <c r="H633" s="59"/>
      <c r="I633" s="59"/>
    </row>
    <row r="634" spans="2:9" ht="12.75">
      <c r="B634" s="59"/>
      <c r="C634" s="59"/>
      <c r="D634" s="59"/>
      <c r="E634" s="59"/>
      <c r="F634" s="59"/>
      <c r="G634" s="59"/>
      <c r="H634" s="59"/>
      <c r="I634" s="59"/>
    </row>
    <row r="635" spans="2:9" ht="12.75">
      <c r="B635" s="59"/>
      <c r="C635" s="59"/>
      <c r="D635" s="59"/>
      <c r="E635" s="59"/>
      <c r="F635" s="59"/>
      <c r="G635" s="59"/>
      <c r="H635" s="59"/>
      <c r="I635" s="59"/>
    </row>
    <row r="636" spans="2:9" ht="12.75">
      <c r="B636" s="59"/>
      <c r="C636" s="59"/>
      <c r="D636" s="59"/>
      <c r="E636" s="59"/>
      <c r="F636" s="59"/>
      <c r="G636" s="59"/>
      <c r="H636" s="59"/>
      <c r="I636" s="59"/>
    </row>
    <row r="637" spans="2:9" ht="12.75">
      <c r="B637" s="59"/>
      <c r="C637" s="59"/>
      <c r="D637" s="59"/>
      <c r="E637" s="59"/>
      <c r="F637" s="59"/>
      <c r="G637" s="59"/>
      <c r="H637" s="59"/>
      <c r="I637" s="59"/>
    </row>
    <row r="638" spans="2:9" ht="12.75">
      <c r="B638" s="59"/>
      <c r="C638" s="59"/>
      <c r="D638" s="59"/>
      <c r="E638" s="59"/>
      <c r="F638" s="59"/>
      <c r="G638" s="59"/>
      <c r="H638" s="59"/>
      <c r="I638" s="59"/>
    </row>
    <row r="639" spans="2:9" ht="12.75">
      <c r="B639" s="59"/>
      <c r="C639" s="59"/>
      <c r="D639" s="59"/>
      <c r="E639" s="59"/>
      <c r="F639" s="59"/>
      <c r="G639" s="59"/>
      <c r="H639" s="59"/>
      <c r="I639" s="59"/>
    </row>
    <row r="640" spans="2:9" ht="12.75">
      <c r="B640" s="59"/>
      <c r="C640" s="59"/>
      <c r="D640" s="59"/>
      <c r="E640" s="59"/>
      <c r="F640" s="59"/>
      <c r="G640" s="59"/>
      <c r="H640" s="59"/>
      <c r="I640" s="59"/>
    </row>
    <row r="641" spans="2:9" ht="12.75">
      <c r="B641" s="59"/>
      <c r="C641" s="59"/>
      <c r="D641" s="59"/>
      <c r="E641" s="59"/>
      <c r="F641" s="59"/>
      <c r="G641" s="59"/>
      <c r="H641" s="59"/>
      <c r="I641" s="59"/>
    </row>
    <row r="642" spans="2:9" ht="12.75">
      <c r="B642" s="59"/>
      <c r="C642" s="59"/>
      <c r="D642" s="59"/>
      <c r="E642" s="59"/>
      <c r="F642" s="59"/>
      <c r="G642" s="59"/>
      <c r="H642" s="59"/>
      <c r="I642" s="59"/>
    </row>
    <row r="643" spans="2:9" ht="12.75">
      <c r="B643" s="59"/>
      <c r="C643" s="59"/>
      <c r="D643" s="59"/>
      <c r="E643" s="59"/>
      <c r="F643" s="59"/>
      <c r="G643" s="59"/>
      <c r="H643" s="59"/>
      <c r="I643" s="59"/>
    </row>
    <row r="644" spans="2:9" ht="12.75">
      <c r="B644" s="59"/>
      <c r="C644" s="59"/>
      <c r="D644" s="59"/>
      <c r="E644" s="59"/>
      <c r="F644" s="59"/>
      <c r="G644" s="59"/>
      <c r="H644" s="59"/>
      <c r="I644" s="59"/>
    </row>
    <row r="645" spans="2:9" ht="12.75">
      <c r="B645" s="59"/>
      <c r="C645" s="59"/>
      <c r="D645" s="59"/>
      <c r="E645" s="59"/>
      <c r="F645" s="59"/>
      <c r="G645" s="59"/>
      <c r="H645" s="59"/>
      <c r="I645" s="59"/>
    </row>
    <row r="646" spans="2:9" ht="12.75">
      <c r="B646" s="59"/>
      <c r="C646" s="59"/>
      <c r="D646" s="59"/>
      <c r="E646" s="59"/>
      <c r="F646" s="59"/>
      <c r="G646" s="59"/>
      <c r="H646" s="59"/>
      <c r="I646" s="59"/>
    </row>
    <row r="647" spans="2:9" ht="12.75">
      <c r="B647" s="59"/>
      <c r="C647" s="59"/>
      <c r="D647" s="59"/>
      <c r="E647" s="59"/>
      <c r="F647" s="59"/>
      <c r="G647" s="59"/>
      <c r="H647" s="59"/>
      <c r="I647" s="59"/>
    </row>
    <row r="648" spans="2:9" ht="12.75">
      <c r="B648" s="59"/>
      <c r="C648" s="59"/>
      <c r="D648" s="59"/>
      <c r="E648" s="59"/>
      <c r="F648" s="59"/>
      <c r="G648" s="59"/>
      <c r="H648" s="59"/>
      <c r="I648" s="59"/>
    </row>
    <row r="649" spans="2:9" ht="12.75">
      <c r="B649" s="59"/>
      <c r="C649" s="59"/>
      <c r="D649" s="59"/>
      <c r="E649" s="59"/>
      <c r="F649" s="59"/>
      <c r="G649" s="59"/>
      <c r="H649" s="59"/>
      <c r="I649" s="59"/>
    </row>
    <row r="650" spans="2:9" ht="12.75">
      <c r="B650" s="59"/>
      <c r="C650" s="59"/>
      <c r="D650" s="59"/>
      <c r="E650" s="59"/>
      <c r="F650" s="59"/>
      <c r="G650" s="59"/>
      <c r="H650" s="59"/>
      <c r="I650" s="59"/>
    </row>
    <row r="651" spans="2:9" ht="12.75">
      <c r="B651" s="59"/>
      <c r="C651" s="59"/>
      <c r="D651" s="59"/>
      <c r="E651" s="59"/>
      <c r="F651" s="59"/>
      <c r="G651" s="59"/>
      <c r="H651" s="59"/>
      <c r="I651" s="59"/>
    </row>
    <row r="652" spans="2:9" ht="12.75">
      <c r="B652" s="59"/>
      <c r="C652" s="59"/>
      <c r="D652" s="59"/>
      <c r="E652" s="59"/>
      <c r="F652" s="59"/>
      <c r="G652" s="59"/>
      <c r="H652" s="59"/>
      <c r="I652" s="59"/>
    </row>
    <row r="653" spans="2:9" ht="12.75">
      <c r="B653" s="59"/>
      <c r="C653" s="59"/>
      <c r="D653" s="59"/>
      <c r="E653" s="59"/>
      <c r="F653" s="59"/>
      <c r="G653" s="59"/>
      <c r="H653" s="59"/>
      <c r="I653" s="59"/>
    </row>
    <row r="654" spans="2:9" ht="12.75">
      <c r="B654" s="59"/>
      <c r="C654" s="59"/>
      <c r="D654" s="59"/>
      <c r="E654" s="59"/>
      <c r="F654" s="59"/>
      <c r="G654" s="59"/>
      <c r="H654" s="59"/>
      <c r="I654" s="59"/>
    </row>
    <row r="655" spans="2:9" ht="12.75">
      <c r="B655" s="59"/>
      <c r="C655" s="59"/>
      <c r="D655" s="59"/>
      <c r="E655" s="59"/>
      <c r="F655" s="59"/>
      <c r="G655" s="59"/>
      <c r="H655" s="59"/>
      <c r="I655" s="59"/>
    </row>
    <row r="656" spans="2:9" ht="12.75">
      <c r="B656" s="59"/>
      <c r="C656" s="59"/>
      <c r="D656" s="59"/>
      <c r="E656" s="59"/>
      <c r="F656" s="59"/>
      <c r="G656" s="59"/>
      <c r="H656" s="59"/>
      <c r="I656" s="59"/>
    </row>
    <row r="657" spans="2:9" ht="12.75">
      <c r="B657" s="59"/>
      <c r="C657" s="59"/>
      <c r="D657" s="59"/>
      <c r="E657" s="59"/>
      <c r="F657" s="59"/>
      <c r="G657" s="59"/>
      <c r="H657" s="59"/>
      <c r="I657" s="59"/>
    </row>
    <row r="658" spans="2:9" ht="12.75">
      <c r="B658" s="59"/>
      <c r="C658" s="59"/>
      <c r="D658" s="59"/>
      <c r="E658" s="59"/>
      <c r="F658" s="59"/>
      <c r="G658" s="59"/>
      <c r="H658" s="59"/>
      <c r="I658" s="59"/>
    </row>
    <row r="659" spans="2:9" ht="12.75">
      <c r="B659" s="59"/>
      <c r="C659" s="59"/>
      <c r="D659" s="59"/>
      <c r="E659" s="59"/>
      <c r="F659" s="59"/>
      <c r="G659" s="59"/>
      <c r="H659" s="59"/>
      <c r="I659" s="59"/>
    </row>
    <row r="660" spans="2:9" ht="12.75">
      <c r="B660" s="59"/>
      <c r="C660" s="59"/>
      <c r="D660" s="59"/>
      <c r="E660" s="59"/>
      <c r="F660" s="59"/>
      <c r="G660" s="59"/>
      <c r="H660" s="59"/>
      <c r="I660" s="59"/>
    </row>
    <row r="661" spans="2:9" ht="12.75">
      <c r="B661" s="59"/>
      <c r="C661" s="59"/>
      <c r="D661" s="59"/>
      <c r="E661" s="59"/>
      <c r="F661" s="59"/>
      <c r="G661" s="59"/>
      <c r="H661" s="59"/>
      <c r="I661" s="59"/>
    </row>
    <row r="662" spans="2:9" ht="12.75">
      <c r="B662" s="59"/>
      <c r="C662" s="59"/>
      <c r="D662" s="59"/>
      <c r="E662" s="59"/>
      <c r="F662" s="59"/>
      <c r="G662" s="59"/>
      <c r="H662" s="59"/>
      <c r="I662" s="59"/>
    </row>
    <row r="663" spans="2:9" ht="12.75">
      <c r="B663" s="59"/>
      <c r="C663" s="59"/>
      <c r="D663" s="59"/>
      <c r="E663" s="59"/>
      <c r="F663" s="59"/>
      <c r="G663" s="59"/>
      <c r="H663" s="59"/>
      <c r="I663" s="59"/>
    </row>
    <row r="664" spans="2:9" ht="12.75">
      <c r="B664" s="59"/>
      <c r="C664" s="59"/>
      <c r="D664" s="59"/>
      <c r="E664" s="59"/>
      <c r="F664" s="59"/>
      <c r="G664" s="59"/>
      <c r="H664" s="59"/>
      <c r="I664" s="59"/>
    </row>
    <row r="665" spans="2:9" ht="12.75">
      <c r="B665" s="59"/>
      <c r="C665" s="59"/>
      <c r="D665" s="59"/>
      <c r="E665" s="59"/>
      <c r="F665" s="59"/>
      <c r="G665" s="59"/>
      <c r="H665" s="59"/>
      <c r="I665" s="59"/>
    </row>
    <row r="666" spans="2:9" ht="12.75">
      <c r="B666" s="59"/>
      <c r="C666" s="59"/>
      <c r="D666" s="59"/>
      <c r="E666" s="59"/>
      <c r="F666" s="59"/>
      <c r="G666" s="59"/>
      <c r="H666" s="59"/>
      <c r="I666" s="59"/>
    </row>
    <row r="667" spans="2:9" ht="12.75">
      <c r="B667" s="59"/>
      <c r="C667" s="59"/>
      <c r="D667" s="59"/>
      <c r="E667" s="59"/>
      <c r="F667" s="59"/>
      <c r="G667" s="59"/>
      <c r="H667" s="59"/>
      <c r="I667" s="59"/>
    </row>
    <row r="668" spans="2:9" ht="12.75">
      <c r="B668" s="59"/>
      <c r="C668" s="59"/>
      <c r="D668" s="59"/>
      <c r="E668" s="59"/>
      <c r="F668" s="59"/>
      <c r="G668" s="59"/>
      <c r="H668" s="59"/>
      <c r="I668" s="59"/>
    </row>
    <row r="669" spans="2:9" ht="12.75">
      <c r="B669" s="59"/>
      <c r="C669" s="59"/>
      <c r="D669" s="59"/>
      <c r="E669" s="59"/>
      <c r="F669" s="59"/>
      <c r="G669" s="59"/>
      <c r="H669" s="59"/>
      <c r="I669" s="59"/>
    </row>
    <row r="670" spans="2:9" ht="12.75">
      <c r="B670" s="59"/>
      <c r="C670" s="59"/>
      <c r="D670" s="59"/>
      <c r="E670" s="59"/>
      <c r="F670" s="59"/>
      <c r="G670" s="59"/>
      <c r="H670" s="59"/>
      <c r="I670" s="59"/>
    </row>
    <row r="671" spans="2:9" ht="12.75">
      <c r="B671" s="59"/>
      <c r="C671" s="59"/>
      <c r="D671" s="59"/>
      <c r="E671" s="59"/>
      <c r="F671" s="59"/>
      <c r="G671" s="59"/>
      <c r="H671" s="59"/>
      <c r="I671" s="59"/>
    </row>
    <row r="672" spans="2:9" ht="12.75">
      <c r="B672" s="59"/>
      <c r="C672" s="59"/>
      <c r="D672" s="59"/>
      <c r="E672" s="59"/>
      <c r="F672" s="59"/>
      <c r="G672" s="59"/>
      <c r="H672" s="59"/>
      <c r="I672" s="59"/>
    </row>
    <row r="673" spans="2:9" ht="12.75">
      <c r="B673" s="59"/>
      <c r="C673" s="59"/>
      <c r="D673" s="59"/>
      <c r="E673" s="59"/>
      <c r="F673" s="59"/>
      <c r="G673" s="59"/>
      <c r="H673" s="59"/>
      <c r="I673" s="59"/>
    </row>
    <row r="674" spans="2:9" ht="12.75">
      <c r="B674" s="59"/>
      <c r="C674" s="59"/>
      <c r="D674" s="59"/>
      <c r="E674" s="59"/>
      <c r="F674" s="59"/>
      <c r="G674" s="59"/>
      <c r="H674" s="59"/>
      <c r="I674" s="59"/>
    </row>
    <row r="675" spans="2:9" ht="12.75">
      <c r="B675" s="59"/>
      <c r="C675" s="59"/>
      <c r="D675" s="59"/>
      <c r="E675" s="59"/>
      <c r="F675" s="59"/>
      <c r="G675" s="59"/>
      <c r="H675" s="59"/>
      <c r="I675" s="59"/>
    </row>
    <row r="676" spans="2:9" ht="12.75">
      <c r="B676" s="59"/>
      <c r="C676" s="59"/>
      <c r="D676" s="59"/>
      <c r="E676" s="59"/>
      <c r="F676" s="59"/>
      <c r="G676" s="59"/>
      <c r="H676" s="59"/>
      <c r="I676" s="59"/>
    </row>
    <row r="677" spans="2:9" ht="12.75">
      <c r="B677" s="59"/>
      <c r="C677" s="59"/>
      <c r="D677" s="59"/>
      <c r="E677" s="59"/>
      <c r="F677" s="59"/>
      <c r="G677" s="59"/>
      <c r="H677" s="59"/>
      <c r="I677" s="59"/>
    </row>
    <row r="678" spans="2:9" ht="12.75">
      <c r="B678" s="59"/>
      <c r="C678" s="59"/>
      <c r="D678" s="59"/>
      <c r="E678" s="59"/>
      <c r="F678" s="59"/>
      <c r="G678" s="59"/>
      <c r="H678" s="59"/>
      <c r="I678" s="59"/>
    </row>
    <row r="679" spans="2:9" ht="12.75">
      <c r="B679" s="59"/>
      <c r="C679" s="59"/>
      <c r="D679" s="59"/>
      <c r="E679" s="59"/>
      <c r="F679" s="59"/>
      <c r="G679" s="59"/>
      <c r="H679" s="59"/>
      <c r="I679" s="59"/>
    </row>
    <row r="680" spans="2:9" ht="12.75">
      <c r="B680" s="59"/>
      <c r="C680" s="59"/>
      <c r="D680" s="59"/>
      <c r="E680" s="59"/>
      <c r="F680" s="59"/>
      <c r="G680" s="59"/>
      <c r="H680" s="59"/>
      <c r="I680" s="59"/>
    </row>
    <row r="681" spans="2:9" ht="12.75">
      <c r="B681" s="59"/>
      <c r="C681" s="59"/>
      <c r="D681" s="59"/>
      <c r="E681" s="59"/>
      <c r="F681" s="59"/>
      <c r="G681" s="59"/>
      <c r="H681" s="59"/>
      <c r="I681" s="59"/>
    </row>
    <row r="682" spans="2:9" ht="12.75">
      <c r="B682" s="59"/>
      <c r="C682" s="59"/>
      <c r="D682" s="59"/>
      <c r="E682" s="59"/>
      <c r="F682" s="59"/>
      <c r="G682" s="59"/>
      <c r="H682" s="59"/>
      <c r="I682" s="59"/>
    </row>
    <row r="683" spans="2:9" ht="12.75">
      <c r="B683" s="59"/>
      <c r="C683" s="59"/>
      <c r="D683" s="59"/>
      <c r="E683" s="59"/>
      <c r="F683" s="59"/>
      <c r="G683" s="59"/>
      <c r="H683" s="59"/>
      <c r="I683" s="59"/>
    </row>
    <row r="684" spans="2:9" ht="12.75">
      <c r="B684" s="59"/>
      <c r="C684" s="59"/>
      <c r="D684" s="59"/>
      <c r="E684" s="59"/>
      <c r="F684" s="59"/>
      <c r="G684" s="59"/>
      <c r="H684" s="59"/>
      <c r="I684" s="59"/>
    </row>
    <row r="685" spans="2:9" ht="12.75">
      <c r="B685" s="59"/>
      <c r="C685" s="59"/>
      <c r="D685" s="59"/>
      <c r="E685" s="59"/>
      <c r="F685" s="59"/>
      <c r="G685" s="59"/>
      <c r="H685" s="59"/>
      <c r="I685" s="59"/>
    </row>
    <row r="686" spans="2:9" ht="12.75">
      <c r="B686" s="59"/>
      <c r="C686" s="59"/>
      <c r="D686" s="59"/>
      <c r="E686" s="59"/>
      <c r="F686" s="59"/>
      <c r="G686" s="59"/>
      <c r="H686" s="59"/>
      <c r="I686" s="59"/>
    </row>
    <row r="687" spans="2:9" ht="12.75">
      <c r="B687" s="59"/>
      <c r="C687" s="59"/>
      <c r="D687" s="59"/>
      <c r="E687" s="59"/>
      <c r="F687" s="59"/>
      <c r="G687" s="59"/>
      <c r="H687" s="59"/>
      <c r="I687" s="59"/>
    </row>
    <row r="688" spans="2:9" ht="12.75">
      <c r="B688" s="59"/>
      <c r="C688" s="59"/>
      <c r="D688" s="59"/>
      <c r="E688" s="59"/>
      <c r="F688" s="59"/>
      <c r="G688" s="59"/>
      <c r="H688" s="59"/>
      <c r="I688" s="59"/>
    </row>
    <row r="689" spans="2:9" ht="12.75">
      <c r="B689" s="59"/>
      <c r="C689" s="59"/>
      <c r="D689" s="59"/>
      <c r="E689" s="59"/>
      <c r="F689" s="59"/>
      <c r="G689" s="59"/>
      <c r="H689" s="59"/>
      <c r="I689" s="59"/>
    </row>
    <row r="690" spans="2:9" ht="12.75">
      <c r="B690" s="59"/>
      <c r="C690" s="59"/>
      <c r="D690" s="59"/>
      <c r="E690" s="59"/>
      <c r="F690" s="59"/>
      <c r="G690" s="59"/>
      <c r="H690" s="59"/>
      <c r="I690" s="59"/>
    </row>
    <row r="691" spans="2:9" ht="12.75">
      <c r="B691" s="59"/>
      <c r="C691" s="59"/>
      <c r="D691" s="59"/>
      <c r="E691" s="59"/>
      <c r="F691" s="59"/>
      <c r="G691" s="59"/>
      <c r="H691" s="59"/>
      <c r="I691" s="59"/>
    </row>
    <row r="692" spans="2:9" ht="12.75">
      <c r="B692" s="59"/>
      <c r="C692" s="59"/>
      <c r="D692" s="59"/>
      <c r="E692" s="59"/>
      <c r="F692" s="59"/>
      <c r="G692" s="59"/>
      <c r="H692" s="59"/>
      <c r="I692" s="59"/>
    </row>
    <row r="693" spans="2:9" ht="12.75">
      <c r="B693" s="59"/>
      <c r="C693" s="59"/>
      <c r="D693" s="59"/>
      <c r="E693" s="59"/>
      <c r="F693" s="59"/>
      <c r="G693" s="59"/>
      <c r="H693" s="59"/>
      <c r="I693" s="59"/>
    </row>
    <row r="694" spans="2:9" ht="12.75">
      <c r="B694" s="59"/>
      <c r="C694" s="59"/>
      <c r="D694" s="59"/>
      <c r="E694" s="59"/>
      <c r="F694" s="59"/>
      <c r="G694" s="59"/>
      <c r="H694" s="59"/>
      <c r="I694" s="59"/>
    </row>
    <row r="695" spans="2:9" ht="12.75">
      <c r="B695" s="59"/>
      <c r="C695" s="59"/>
      <c r="D695" s="59"/>
      <c r="E695" s="59"/>
      <c r="F695" s="59"/>
      <c r="G695" s="59"/>
      <c r="H695" s="59"/>
      <c r="I695" s="59"/>
    </row>
    <row r="696" spans="2:9" ht="12.75">
      <c r="B696" s="59"/>
      <c r="C696" s="59"/>
      <c r="D696" s="59"/>
      <c r="E696" s="59"/>
      <c r="F696" s="59"/>
      <c r="G696" s="59"/>
      <c r="H696" s="59"/>
      <c r="I696" s="59"/>
    </row>
    <row r="697" spans="2:9" ht="12.75">
      <c r="B697" s="59"/>
      <c r="C697" s="59"/>
      <c r="D697" s="59"/>
      <c r="E697" s="59"/>
      <c r="F697" s="59"/>
      <c r="G697" s="59"/>
      <c r="H697" s="59"/>
      <c r="I697" s="59"/>
    </row>
    <row r="698" spans="2:9" ht="12.75">
      <c r="B698" s="59"/>
      <c r="C698" s="59"/>
      <c r="D698" s="59"/>
      <c r="E698" s="59"/>
      <c r="F698" s="59"/>
      <c r="G698" s="59"/>
      <c r="H698" s="59"/>
      <c r="I698" s="59"/>
    </row>
    <row r="699" spans="2:9" ht="12.75">
      <c r="B699" s="59"/>
      <c r="C699" s="59"/>
      <c r="D699" s="59"/>
      <c r="E699" s="59"/>
      <c r="F699" s="59"/>
      <c r="G699" s="59"/>
      <c r="H699" s="59"/>
      <c r="I699" s="59"/>
    </row>
    <row r="700" spans="2:9" ht="12.75">
      <c r="B700" s="59"/>
      <c r="C700" s="59"/>
      <c r="D700" s="59"/>
      <c r="E700" s="59"/>
      <c r="F700" s="59"/>
      <c r="G700" s="59"/>
      <c r="H700" s="59"/>
      <c r="I700" s="59"/>
    </row>
    <row r="701" spans="2:9" ht="12.75">
      <c r="B701" s="59"/>
      <c r="C701" s="59"/>
      <c r="D701" s="59"/>
      <c r="E701" s="59"/>
      <c r="F701" s="59"/>
      <c r="G701" s="59"/>
      <c r="H701" s="59"/>
      <c r="I701" s="59"/>
    </row>
    <row r="702" spans="2:9" ht="12.75">
      <c r="B702" s="59"/>
      <c r="C702" s="59"/>
      <c r="D702" s="59"/>
      <c r="E702" s="59"/>
      <c r="F702" s="59"/>
      <c r="G702" s="59"/>
      <c r="H702" s="59"/>
      <c r="I702" s="59"/>
    </row>
    <row r="703" spans="2:9" ht="12.75">
      <c r="B703" s="59"/>
      <c r="C703" s="59"/>
      <c r="D703" s="59"/>
      <c r="E703" s="59"/>
      <c r="F703" s="59"/>
      <c r="G703" s="59"/>
      <c r="H703" s="59"/>
      <c r="I703" s="59"/>
    </row>
    <row r="704" spans="2:9" ht="12.75">
      <c r="B704" s="59"/>
      <c r="C704" s="59"/>
      <c r="D704" s="59"/>
      <c r="E704" s="59"/>
      <c r="F704" s="59"/>
      <c r="G704" s="59"/>
      <c r="H704" s="59"/>
      <c r="I704" s="59"/>
    </row>
    <row r="705" spans="2:9" ht="12.75">
      <c r="B705" s="59"/>
      <c r="C705" s="59"/>
      <c r="D705" s="59"/>
      <c r="E705" s="59"/>
      <c r="F705" s="59"/>
      <c r="G705" s="59"/>
      <c r="H705" s="59"/>
      <c r="I705" s="59"/>
    </row>
    <row r="706" spans="2:9" ht="12.75">
      <c r="B706" s="59"/>
      <c r="C706" s="59"/>
      <c r="D706" s="59"/>
      <c r="E706" s="59"/>
      <c r="F706" s="59"/>
      <c r="G706" s="59"/>
      <c r="H706" s="59"/>
      <c r="I706" s="59"/>
    </row>
    <row r="707" spans="2:9" ht="12.75">
      <c r="B707" s="59"/>
      <c r="C707" s="59"/>
      <c r="D707" s="59"/>
      <c r="E707" s="59"/>
      <c r="F707" s="59"/>
      <c r="G707" s="59"/>
      <c r="H707" s="59"/>
      <c r="I707" s="59"/>
    </row>
    <row r="708" spans="2:9" ht="12.75">
      <c r="B708" s="59"/>
      <c r="C708" s="59"/>
      <c r="D708" s="59"/>
      <c r="E708" s="59"/>
      <c r="F708" s="59"/>
      <c r="G708" s="59"/>
      <c r="H708" s="59"/>
      <c r="I708" s="59"/>
    </row>
    <row r="709" spans="2:9" ht="12.75">
      <c r="B709" s="59"/>
      <c r="C709" s="59"/>
      <c r="D709" s="59"/>
      <c r="E709" s="59"/>
      <c r="F709" s="59"/>
      <c r="G709" s="59"/>
      <c r="H709" s="59"/>
      <c r="I709" s="59"/>
    </row>
    <row r="710" spans="2:9" ht="12.75">
      <c r="B710" s="59"/>
      <c r="C710" s="59"/>
      <c r="D710" s="59"/>
      <c r="E710" s="59"/>
      <c r="F710" s="59"/>
      <c r="G710" s="59"/>
      <c r="H710" s="59"/>
      <c r="I710" s="59"/>
    </row>
    <row r="711" spans="2:9" ht="12.75">
      <c r="B711" s="59"/>
      <c r="C711" s="59"/>
      <c r="D711" s="59"/>
      <c r="E711" s="59"/>
      <c r="F711" s="59"/>
      <c r="G711" s="59"/>
      <c r="H711" s="59"/>
      <c r="I711" s="59"/>
    </row>
    <row r="712" spans="2:9" ht="12.75">
      <c r="B712" s="59"/>
      <c r="C712" s="59"/>
      <c r="D712" s="59"/>
      <c r="E712" s="59"/>
      <c r="F712" s="59"/>
      <c r="G712" s="59"/>
      <c r="H712" s="59"/>
      <c r="I712" s="59"/>
    </row>
    <row r="713" spans="2:9" ht="12.75">
      <c r="B713" s="59"/>
      <c r="C713" s="59"/>
      <c r="D713" s="59"/>
      <c r="E713" s="59"/>
      <c r="F713" s="59"/>
      <c r="G713" s="59"/>
      <c r="H713" s="59"/>
      <c r="I713" s="59"/>
    </row>
    <row r="714" spans="2:9" ht="12.75">
      <c r="B714" s="59"/>
      <c r="C714" s="59"/>
      <c r="D714" s="59"/>
      <c r="E714" s="59"/>
      <c r="F714" s="59"/>
      <c r="G714" s="59"/>
      <c r="H714" s="59"/>
      <c r="I714" s="59"/>
    </row>
    <row r="715" spans="2:9" ht="12.75">
      <c r="B715" s="59"/>
      <c r="C715" s="59"/>
      <c r="D715" s="59"/>
      <c r="E715" s="59"/>
      <c r="F715" s="59"/>
      <c r="G715" s="59"/>
      <c r="H715" s="59"/>
      <c r="I715" s="59"/>
    </row>
    <row r="716" spans="2:9" ht="12.75">
      <c r="B716" s="59"/>
      <c r="C716" s="59"/>
      <c r="D716" s="59"/>
      <c r="E716" s="59"/>
      <c r="F716" s="59"/>
      <c r="G716" s="59"/>
      <c r="H716" s="59"/>
      <c r="I716" s="59"/>
    </row>
    <row r="717" spans="2:9" ht="12.75">
      <c r="B717" s="59"/>
      <c r="C717" s="59"/>
      <c r="D717" s="59"/>
      <c r="E717" s="59"/>
      <c r="F717" s="59"/>
      <c r="G717" s="59"/>
      <c r="H717" s="59"/>
      <c r="I717" s="59"/>
    </row>
    <row r="718" spans="2:9" ht="12.75">
      <c r="B718" s="59"/>
      <c r="C718" s="59"/>
      <c r="D718" s="59"/>
      <c r="E718" s="59"/>
      <c r="F718" s="59"/>
      <c r="G718" s="59"/>
      <c r="H718" s="59"/>
      <c r="I718" s="59"/>
    </row>
    <row r="719" spans="2:9" ht="12.75">
      <c r="B719" s="59"/>
      <c r="C719" s="59"/>
      <c r="D719" s="59"/>
      <c r="E719" s="59"/>
      <c r="F719" s="59"/>
      <c r="G719" s="59"/>
      <c r="H719" s="59"/>
      <c r="I719" s="59"/>
    </row>
    <row r="720" spans="2:9" ht="12.75">
      <c r="B720" s="59"/>
      <c r="C720" s="59"/>
      <c r="D720" s="59"/>
      <c r="E720" s="59"/>
      <c r="F720" s="59"/>
      <c r="G720" s="59"/>
      <c r="H720" s="59"/>
      <c r="I720" s="59"/>
    </row>
    <row r="721" spans="2:9" ht="12.75">
      <c r="B721" s="59"/>
      <c r="C721" s="59"/>
      <c r="D721" s="59"/>
      <c r="E721" s="59"/>
      <c r="F721" s="59"/>
      <c r="G721" s="59"/>
      <c r="H721" s="59"/>
      <c r="I721" s="59"/>
    </row>
    <row r="722" spans="2:9" ht="12.75">
      <c r="B722" s="59"/>
      <c r="C722" s="59"/>
      <c r="D722" s="59"/>
      <c r="E722" s="59"/>
      <c r="F722" s="59"/>
      <c r="G722" s="59"/>
      <c r="H722" s="59"/>
      <c r="I722" s="59"/>
    </row>
    <row r="723" spans="2:9" ht="12.75">
      <c r="B723" s="59"/>
      <c r="C723" s="59"/>
      <c r="D723" s="59"/>
      <c r="E723" s="59"/>
      <c r="F723" s="59"/>
      <c r="G723" s="59"/>
      <c r="H723" s="59"/>
      <c r="I723" s="59"/>
    </row>
    <row r="724" spans="2:9" ht="12.75">
      <c r="B724" s="59"/>
      <c r="C724" s="59"/>
      <c r="D724" s="59"/>
      <c r="E724" s="59"/>
      <c r="F724" s="59"/>
      <c r="G724" s="59"/>
      <c r="H724" s="59"/>
      <c r="I724" s="59"/>
    </row>
    <row r="725" spans="2:9" ht="12.75">
      <c r="B725" s="59"/>
      <c r="C725" s="59"/>
      <c r="D725" s="59"/>
      <c r="E725" s="59"/>
      <c r="F725" s="59"/>
      <c r="G725" s="59"/>
      <c r="H725" s="59"/>
      <c r="I725" s="59"/>
    </row>
    <row r="726" spans="2:9" ht="12.75">
      <c r="B726" s="59"/>
      <c r="C726" s="59"/>
      <c r="D726" s="59"/>
      <c r="E726" s="59"/>
      <c r="F726" s="59"/>
      <c r="G726" s="59"/>
      <c r="H726" s="59"/>
      <c r="I726" s="59"/>
    </row>
    <row r="727" spans="2:9" ht="12.75">
      <c r="B727" s="59"/>
      <c r="C727" s="59"/>
      <c r="D727" s="59"/>
      <c r="E727" s="59"/>
      <c r="F727" s="59"/>
      <c r="G727" s="59"/>
      <c r="H727" s="59"/>
      <c r="I727" s="59"/>
    </row>
    <row r="728" spans="2:9" ht="12.75">
      <c r="B728" s="59"/>
      <c r="C728" s="59"/>
      <c r="D728" s="59"/>
      <c r="E728" s="59"/>
      <c r="F728" s="59"/>
      <c r="G728" s="59"/>
      <c r="H728" s="59"/>
      <c r="I728" s="59"/>
    </row>
    <row r="729" spans="2:9" ht="12.75">
      <c r="B729" s="59"/>
      <c r="C729" s="59"/>
      <c r="D729" s="59"/>
      <c r="E729" s="59"/>
      <c r="F729" s="59"/>
      <c r="G729" s="59"/>
      <c r="H729" s="59"/>
      <c r="I729" s="59"/>
    </row>
    <row r="730" spans="2:9" ht="12.75">
      <c r="B730" s="59"/>
      <c r="C730" s="59"/>
      <c r="D730" s="59"/>
      <c r="E730" s="59"/>
      <c r="F730" s="59"/>
      <c r="G730" s="59"/>
      <c r="H730" s="59"/>
      <c r="I730" s="59"/>
    </row>
    <row r="731" spans="2:9" ht="12.75">
      <c r="B731" s="59"/>
      <c r="C731" s="59"/>
      <c r="D731" s="59"/>
      <c r="E731" s="59"/>
      <c r="F731" s="59"/>
      <c r="G731" s="59"/>
      <c r="H731" s="59"/>
      <c r="I731" s="59"/>
    </row>
    <row r="732" spans="2:9" ht="12.75">
      <c r="B732" s="59"/>
      <c r="C732" s="59"/>
      <c r="D732" s="59"/>
      <c r="E732" s="59"/>
      <c r="F732" s="59"/>
      <c r="G732" s="59"/>
      <c r="H732" s="59"/>
      <c r="I732" s="59"/>
    </row>
    <row r="733" spans="2:9" ht="12.75">
      <c r="B733" s="59"/>
      <c r="C733" s="59"/>
      <c r="D733" s="59"/>
      <c r="E733" s="59"/>
      <c r="F733" s="59"/>
      <c r="G733" s="59"/>
      <c r="H733" s="59"/>
      <c r="I733" s="59"/>
    </row>
    <row r="734" spans="2:9" ht="12.75">
      <c r="B734" s="59"/>
      <c r="C734" s="59"/>
      <c r="D734" s="59"/>
      <c r="E734" s="59"/>
      <c r="F734" s="59"/>
      <c r="G734" s="59"/>
      <c r="H734" s="59"/>
      <c r="I734" s="59"/>
    </row>
    <row r="735" spans="2:9" ht="12.75">
      <c r="B735" s="59"/>
      <c r="C735" s="59"/>
      <c r="D735" s="59"/>
      <c r="E735" s="59"/>
      <c r="F735" s="59"/>
      <c r="G735" s="59"/>
      <c r="H735" s="59"/>
      <c r="I735" s="59"/>
    </row>
    <row r="736" spans="2:9" ht="12.75">
      <c r="B736" s="59"/>
      <c r="C736" s="59"/>
      <c r="D736" s="59"/>
      <c r="E736" s="59"/>
      <c r="F736" s="59"/>
      <c r="G736" s="59"/>
      <c r="H736" s="59"/>
      <c r="I736" s="59"/>
    </row>
    <row r="737" spans="2:9" ht="12.75">
      <c r="B737" s="59"/>
      <c r="C737" s="59"/>
      <c r="D737" s="59"/>
      <c r="E737" s="59"/>
      <c r="F737" s="59"/>
      <c r="G737" s="59"/>
      <c r="H737" s="59"/>
      <c r="I737" s="59"/>
    </row>
    <row r="738" spans="2:9" ht="12.75">
      <c r="B738" s="59"/>
      <c r="C738" s="59"/>
      <c r="D738" s="59"/>
      <c r="E738" s="59"/>
      <c r="F738" s="59"/>
      <c r="G738" s="59"/>
      <c r="H738" s="59"/>
      <c r="I738" s="59"/>
    </row>
    <row r="739" spans="2:9" ht="12.75">
      <c r="B739" s="59"/>
      <c r="C739" s="59"/>
      <c r="D739" s="59"/>
      <c r="E739" s="59"/>
      <c r="F739" s="59"/>
      <c r="G739" s="59"/>
      <c r="H739" s="59"/>
      <c r="I739" s="59"/>
    </row>
    <row r="740" spans="2:9" ht="12.75">
      <c r="B740" s="59"/>
      <c r="C740" s="59"/>
      <c r="D740" s="59"/>
      <c r="E740" s="59"/>
      <c r="F740" s="59"/>
      <c r="G740" s="59"/>
      <c r="H740" s="59"/>
      <c r="I740" s="59"/>
    </row>
    <row r="741" spans="2:9" ht="12.75">
      <c r="B741" s="59"/>
      <c r="C741" s="59"/>
      <c r="D741" s="59"/>
      <c r="E741" s="59"/>
      <c r="F741" s="59"/>
      <c r="G741" s="59"/>
      <c r="H741" s="59"/>
      <c r="I741" s="59"/>
    </row>
    <row r="742" spans="2:9" ht="12.75">
      <c r="B742" s="59"/>
      <c r="C742" s="59"/>
      <c r="D742" s="59"/>
      <c r="E742" s="59"/>
      <c r="F742" s="59"/>
      <c r="G742" s="59"/>
      <c r="H742" s="59"/>
      <c r="I742" s="59"/>
    </row>
    <row r="743" spans="2:9" ht="12.75">
      <c r="B743" s="59"/>
      <c r="C743" s="59"/>
      <c r="D743" s="59"/>
      <c r="E743" s="59"/>
      <c r="F743" s="59"/>
      <c r="G743" s="59"/>
      <c r="H743" s="59"/>
      <c r="I743" s="59"/>
    </row>
    <row r="744" spans="2:9" ht="12.75">
      <c r="B744" s="59"/>
      <c r="C744" s="59"/>
      <c r="D744" s="59"/>
      <c r="E744" s="59"/>
      <c r="F744" s="59"/>
      <c r="G744" s="59"/>
      <c r="H744" s="59"/>
      <c r="I744" s="59"/>
    </row>
    <row r="745" spans="2:9" ht="12.75">
      <c r="B745" s="59"/>
      <c r="C745" s="59"/>
      <c r="D745" s="59"/>
      <c r="E745" s="59"/>
      <c r="F745" s="59"/>
      <c r="G745" s="59"/>
      <c r="H745" s="59"/>
      <c r="I745" s="59"/>
    </row>
    <row r="746" spans="2:9" ht="12.75">
      <c r="B746" s="59"/>
      <c r="C746" s="59"/>
      <c r="D746" s="59"/>
      <c r="E746" s="59"/>
      <c r="F746" s="59"/>
      <c r="G746" s="59"/>
      <c r="H746" s="59"/>
      <c r="I746" s="59"/>
    </row>
    <row r="747" spans="2:9" ht="12.75">
      <c r="B747" s="59"/>
      <c r="C747" s="59"/>
      <c r="D747" s="59"/>
      <c r="E747" s="59"/>
      <c r="F747" s="59"/>
      <c r="G747" s="59"/>
      <c r="H747" s="59"/>
      <c r="I747" s="59"/>
    </row>
    <row r="748" spans="2:9" ht="12.75">
      <c r="B748" s="59"/>
      <c r="C748" s="59"/>
      <c r="D748" s="59"/>
      <c r="E748" s="59"/>
      <c r="F748" s="59"/>
      <c r="G748" s="59"/>
      <c r="H748" s="59"/>
      <c r="I748" s="59"/>
    </row>
    <row r="749" spans="2:9" ht="12.75">
      <c r="B749" s="59"/>
      <c r="C749" s="59"/>
      <c r="D749" s="59"/>
      <c r="E749" s="59"/>
      <c r="F749" s="59"/>
      <c r="G749" s="59"/>
      <c r="H749" s="59"/>
      <c r="I749" s="59"/>
    </row>
    <row r="750" spans="2:9" ht="12.75">
      <c r="B750" s="59"/>
      <c r="C750" s="59"/>
      <c r="D750" s="59"/>
      <c r="E750" s="59"/>
      <c r="F750" s="59"/>
      <c r="G750" s="59"/>
      <c r="H750" s="59"/>
      <c r="I750" s="59"/>
    </row>
    <row r="751" spans="2:9" ht="12.75">
      <c r="B751" s="59"/>
      <c r="C751" s="59"/>
      <c r="D751" s="59"/>
      <c r="E751" s="59"/>
      <c r="F751" s="59"/>
      <c r="G751" s="59"/>
      <c r="H751" s="59"/>
      <c r="I751" s="59"/>
    </row>
    <row r="752" spans="2:9" ht="12.75">
      <c r="B752" s="59"/>
      <c r="C752" s="59"/>
      <c r="D752" s="59"/>
      <c r="E752" s="59"/>
      <c r="F752" s="59"/>
      <c r="G752" s="59"/>
      <c r="H752" s="59"/>
      <c r="I752" s="59"/>
    </row>
    <row r="753" spans="2:9" ht="12.75">
      <c r="B753" s="59"/>
      <c r="C753" s="59"/>
      <c r="D753" s="59"/>
      <c r="E753" s="59"/>
      <c r="F753" s="59"/>
      <c r="G753" s="59"/>
      <c r="H753" s="59"/>
      <c r="I753" s="59"/>
    </row>
    <row r="754" spans="2:9" ht="12.75">
      <c r="B754" s="59"/>
      <c r="C754" s="59"/>
      <c r="D754" s="59"/>
      <c r="E754" s="59"/>
      <c r="F754" s="59"/>
      <c r="G754" s="59"/>
      <c r="H754" s="59"/>
      <c r="I754" s="59"/>
    </row>
    <row r="755" spans="2:9" ht="12.75">
      <c r="B755" s="59"/>
      <c r="C755" s="59"/>
      <c r="D755" s="59"/>
      <c r="E755" s="59"/>
      <c r="F755" s="59"/>
      <c r="G755" s="59"/>
      <c r="H755" s="59"/>
      <c r="I755" s="59"/>
    </row>
    <row r="756" spans="2:9" ht="12.75">
      <c r="B756" s="59"/>
      <c r="C756" s="59"/>
      <c r="D756" s="59"/>
      <c r="E756" s="59"/>
      <c r="F756" s="59"/>
      <c r="G756" s="59"/>
      <c r="H756" s="59"/>
      <c r="I756" s="59"/>
    </row>
    <row r="757" spans="2:9" ht="12.75">
      <c r="B757" s="59"/>
      <c r="C757" s="59"/>
      <c r="D757" s="59"/>
      <c r="E757" s="59"/>
      <c r="F757" s="59"/>
      <c r="G757" s="59"/>
      <c r="H757" s="59"/>
      <c r="I757" s="59"/>
    </row>
    <row r="758" spans="2:9" ht="12.75">
      <c r="B758" s="59"/>
      <c r="C758" s="59"/>
      <c r="D758" s="59"/>
      <c r="E758" s="59"/>
      <c r="F758" s="59"/>
      <c r="G758" s="59"/>
      <c r="H758" s="59"/>
      <c r="I758" s="59"/>
    </row>
    <row r="759" spans="2:9" ht="12.75">
      <c r="B759" s="59"/>
      <c r="C759" s="59"/>
      <c r="D759" s="59"/>
      <c r="E759" s="59"/>
      <c r="F759" s="59"/>
      <c r="G759" s="59"/>
      <c r="H759" s="59"/>
      <c r="I759" s="59"/>
    </row>
    <row r="760" spans="2:9" ht="12.75">
      <c r="B760" s="59"/>
      <c r="C760" s="59"/>
      <c r="D760" s="59"/>
      <c r="E760" s="59"/>
      <c r="F760" s="59"/>
      <c r="G760" s="59"/>
      <c r="H760" s="59"/>
      <c r="I760" s="59"/>
    </row>
    <row r="761" spans="2:9" ht="12.75">
      <c r="B761" s="59"/>
      <c r="C761" s="59"/>
      <c r="D761" s="59"/>
      <c r="E761" s="59"/>
      <c r="F761" s="59"/>
      <c r="G761" s="59"/>
      <c r="H761" s="59"/>
      <c r="I761" s="59"/>
    </row>
    <row r="762" spans="2:9" ht="12.75">
      <c r="B762" s="59"/>
      <c r="C762" s="59"/>
      <c r="D762" s="59"/>
      <c r="E762" s="59"/>
      <c r="F762" s="59"/>
      <c r="G762" s="59"/>
      <c r="H762" s="59"/>
      <c r="I762" s="59"/>
    </row>
    <row r="763" spans="2:9" ht="12.75">
      <c r="B763" s="59"/>
      <c r="C763" s="59"/>
      <c r="D763" s="59"/>
      <c r="E763" s="59"/>
      <c r="F763" s="59"/>
      <c r="G763" s="59"/>
      <c r="H763" s="59"/>
      <c r="I763" s="59"/>
    </row>
    <row r="764" spans="2:9" ht="12.75">
      <c r="B764" s="59"/>
      <c r="C764" s="59"/>
      <c r="D764" s="59"/>
      <c r="E764" s="59"/>
      <c r="F764" s="59"/>
      <c r="G764" s="59"/>
      <c r="H764" s="59"/>
      <c r="I764" s="59"/>
    </row>
    <row r="765" spans="2:9" ht="12.75">
      <c r="B765" s="59"/>
      <c r="C765" s="59"/>
      <c r="D765" s="59"/>
      <c r="E765" s="59"/>
      <c r="F765" s="59"/>
      <c r="G765" s="59"/>
      <c r="H765" s="59"/>
      <c r="I765" s="59"/>
    </row>
    <row r="766" spans="2:9" ht="12.75">
      <c r="B766" s="59"/>
      <c r="C766" s="59"/>
      <c r="D766" s="59"/>
      <c r="E766" s="59"/>
      <c r="F766" s="59"/>
      <c r="G766" s="59"/>
      <c r="H766" s="59"/>
      <c r="I766" s="59"/>
    </row>
    <row r="767" spans="2:9" ht="12.75">
      <c r="B767" s="59"/>
      <c r="C767" s="59"/>
      <c r="D767" s="59"/>
      <c r="E767" s="59"/>
      <c r="F767" s="59"/>
      <c r="G767" s="59"/>
      <c r="H767" s="59"/>
      <c r="I767" s="59"/>
    </row>
    <row r="768" spans="2:9" ht="12.75">
      <c r="B768" s="59"/>
      <c r="C768" s="59"/>
      <c r="D768" s="59"/>
      <c r="E768" s="59"/>
      <c r="F768" s="59"/>
      <c r="G768" s="59"/>
      <c r="H768" s="59"/>
      <c r="I768" s="59"/>
    </row>
    <row r="769" spans="2:9" ht="12.75">
      <c r="B769" s="59"/>
      <c r="C769" s="59"/>
      <c r="D769" s="59"/>
      <c r="E769" s="59"/>
      <c r="F769" s="59"/>
      <c r="G769" s="59"/>
      <c r="H769" s="59"/>
      <c r="I769" s="59"/>
    </row>
    <row r="770" spans="2:9" ht="12.75">
      <c r="B770" s="59"/>
      <c r="C770" s="59"/>
      <c r="D770" s="59"/>
      <c r="E770" s="59"/>
      <c r="F770" s="59"/>
      <c r="G770" s="59"/>
      <c r="H770" s="59"/>
      <c r="I770" s="59"/>
    </row>
    <row r="771" spans="2:9" ht="12.75">
      <c r="B771" s="59"/>
      <c r="C771" s="59"/>
      <c r="D771" s="59"/>
      <c r="E771" s="59"/>
      <c r="F771" s="59"/>
      <c r="G771" s="59"/>
      <c r="H771" s="59"/>
      <c r="I771" s="59"/>
    </row>
    <row r="772" spans="2:9" ht="12.75">
      <c r="B772" s="59"/>
      <c r="C772" s="59"/>
      <c r="D772" s="59"/>
      <c r="E772" s="59"/>
      <c r="F772" s="59"/>
      <c r="G772" s="59"/>
      <c r="H772" s="59"/>
      <c r="I772" s="59"/>
    </row>
    <row r="773" spans="2:9" ht="12.75">
      <c r="B773" s="59"/>
      <c r="C773" s="59"/>
      <c r="D773" s="59"/>
      <c r="E773" s="59"/>
      <c r="F773" s="59"/>
      <c r="G773" s="59"/>
      <c r="H773" s="59"/>
      <c r="I773" s="59"/>
    </row>
    <row r="774" spans="2:9" ht="12.75">
      <c r="B774" s="59"/>
      <c r="C774" s="59"/>
      <c r="D774" s="59"/>
      <c r="E774" s="59"/>
      <c r="F774" s="59"/>
      <c r="G774" s="59"/>
      <c r="H774" s="59"/>
      <c r="I774" s="59"/>
    </row>
    <row r="775" spans="2:9" ht="12.75">
      <c r="B775" s="59"/>
      <c r="C775" s="59"/>
      <c r="D775" s="59"/>
      <c r="E775" s="59"/>
      <c r="F775" s="59"/>
      <c r="G775" s="59"/>
      <c r="H775" s="59"/>
      <c r="I775" s="59"/>
    </row>
    <row r="776" spans="2:9" ht="12.75">
      <c r="B776" s="59"/>
      <c r="C776" s="59"/>
      <c r="D776" s="59"/>
      <c r="E776" s="59"/>
      <c r="F776" s="59"/>
      <c r="G776" s="59"/>
      <c r="H776" s="59"/>
      <c r="I776" s="59"/>
    </row>
    <row r="777" spans="2:9" ht="12.75">
      <c r="B777" s="59"/>
      <c r="C777" s="59"/>
      <c r="D777" s="59"/>
      <c r="E777" s="59"/>
      <c r="F777" s="59"/>
      <c r="G777" s="59"/>
      <c r="H777" s="59"/>
      <c r="I777" s="59"/>
    </row>
    <row r="778" spans="2:9" ht="12.75">
      <c r="B778" s="59"/>
      <c r="C778" s="59"/>
      <c r="D778" s="59"/>
      <c r="E778" s="59"/>
      <c r="F778" s="59"/>
      <c r="G778" s="59"/>
      <c r="H778" s="59"/>
      <c r="I778" s="59"/>
    </row>
    <row r="779" spans="2:9" ht="12.75">
      <c r="B779" s="59"/>
      <c r="C779" s="59"/>
      <c r="D779" s="59"/>
      <c r="E779" s="59"/>
      <c r="F779" s="59"/>
      <c r="G779" s="59"/>
      <c r="H779" s="59"/>
      <c r="I779" s="59"/>
    </row>
    <row r="780" spans="2:9" ht="12.75">
      <c r="B780" s="59"/>
      <c r="C780" s="59"/>
      <c r="D780" s="59"/>
      <c r="E780" s="59"/>
      <c r="F780" s="59"/>
      <c r="G780" s="59"/>
      <c r="H780" s="59"/>
      <c r="I780" s="59"/>
    </row>
    <row r="781" spans="2:9" ht="12.75">
      <c r="B781" s="59"/>
      <c r="C781" s="59"/>
      <c r="D781" s="59"/>
      <c r="E781" s="59"/>
      <c r="F781" s="59"/>
      <c r="G781" s="59"/>
      <c r="H781" s="59"/>
      <c r="I781" s="59"/>
    </row>
    <row r="782" spans="2:9" ht="12.75">
      <c r="B782" s="59"/>
      <c r="C782" s="59"/>
      <c r="D782" s="59"/>
      <c r="E782" s="59"/>
      <c r="F782" s="59"/>
      <c r="G782" s="59"/>
      <c r="H782" s="59"/>
      <c r="I782" s="59"/>
    </row>
    <row r="783" spans="2:9" ht="12.75">
      <c r="B783" s="59"/>
      <c r="C783" s="59"/>
      <c r="D783" s="59"/>
      <c r="E783" s="59"/>
      <c r="F783" s="59"/>
      <c r="G783" s="59"/>
      <c r="H783" s="59"/>
      <c r="I783" s="59"/>
    </row>
    <row r="784" spans="2:9" ht="12.75">
      <c r="B784" s="59"/>
      <c r="C784" s="59"/>
      <c r="D784" s="59"/>
      <c r="E784" s="59"/>
      <c r="F784" s="59"/>
      <c r="G784" s="59"/>
      <c r="H784" s="59"/>
      <c r="I784" s="59"/>
    </row>
    <row r="785" spans="2:9" ht="12.75">
      <c r="B785" s="59"/>
      <c r="C785" s="59"/>
      <c r="D785" s="59"/>
      <c r="E785" s="59"/>
      <c r="F785" s="59"/>
      <c r="G785" s="59"/>
      <c r="H785" s="59"/>
      <c r="I785" s="59"/>
    </row>
    <row r="786" spans="2:9" ht="12.75">
      <c r="B786" s="59"/>
      <c r="C786" s="59"/>
      <c r="D786" s="59"/>
      <c r="E786" s="59"/>
      <c r="F786" s="59"/>
      <c r="G786" s="59"/>
      <c r="H786" s="59"/>
      <c r="I786" s="59"/>
    </row>
    <row r="787" spans="2:9" ht="12.75">
      <c r="B787" s="59"/>
      <c r="C787" s="59"/>
      <c r="D787" s="59"/>
      <c r="E787" s="59"/>
      <c r="F787" s="59"/>
      <c r="G787" s="59"/>
      <c r="H787" s="59"/>
      <c r="I787" s="59"/>
    </row>
    <row r="788" spans="2:9" ht="12.75">
      <c r="B788" s="59"/>
      <c r="C788" s="59"/>
      <c r="D788" s="59"/>
      <c r="E788" s="59"/>
      <c r="F788" s="59"/>
      <c r="G788" s="59"/>
      <c r="H788" s="59"/>
      <c r="I788" s="59"/>
    </row>
    <row r="789" spans="2:9" ht="12.75">
      <c r="B789" s="59"/>
      <c r="C789" s="59"/>
      <c r="D789" s="59"/>
      <c r="E789" s="59"/>
      <c r="F789" s="59"/>
      <c r="G789" s="59"/>
      <c r="H789" s="59"/>
      <c r="I789" s="59"/>
    </row>
    <row r="790" spans="2:9" ht="12.75">
      <c r="B790" s="59"/>
      <c r="C790" s="59"/>
      <c r="D790" s="59"/>
      <c r="E790" s="59"/>
      <c r="F790" s="59"/>
      <c r="G790" s="59"/>
      <c r="H790" s="59"/>
      <c r="I790" s="59"/>
    </row>
    <row r="791" spans="2:9" ht="12.75">
      <c r="B791" s="59"/>
      <c r="C791" s="59"/>
      <c r="D791" s="59"/>
      <c r="E791" s="59"/>
      <c r="F791" s="59"/>
      <c r="G791" s="59"/>
      <c r="H791" s="59"/>
      <c r="I791" s="59"/>
    </row>
    <row r="792" spans="2:9" ht="12.75">
      <c r="B792" s="59"/>
      <c r="C792" s="59"/>
      <c r="D792" s="59"/>
      <c r="E792" s="59"/>
      <c r="F792" s="59"/>
      <c r="G792" s="59"/>
      <c r="H792" s="59"/>
      <c r="I792" s="59"/>
    </row>
    <row r="793" spans="2:9" ht="12.75">
      <c r="B793" s="59"/>
      <c r="C793" s="59"/>
      <c r="D793" s="59"/>
      <c r="E793" s="59"/>
      <c r="F793" s="59"/>
      <c r="G793" s="59"/>
      <c r="H793" s="59"/>
      <c r="I793" s="59"/>
    </row>
    <row r="794" spans="2:9" ht="12.75">
      <c r="B794" s="59"/>
      <c r="C794" s="59"/>
      <c r="D794" s="59"/>
      <c r="E794" s="59"/>
      <c r="F794" s="59"/>
      <c r="G794" s="59"/>
      <c r="H794" s="59"/>
      <c r="I794" s="59"/>
    </row>
    <row r="795" spans="2:9" ht="12.75">
      <c r="B795" s="59"/>
      <c r="C795" s="59"/>
      <c r="D795" s="59"/>
      <c r="E795" s="59"/>
      <c r="F795" s="59"/>
      <c r="G795" s="59"/>
      <c r="H795" s="59"/>
      <c r="I795" s="59"/>
    </row>
    <row r="796" spans="2:9" ht="12.75">
      <c r="B796" s="59"/>
      <c r="C796" s="59"/>
      <c r="D796" s="59"/>
      <c r="E796" s="59"/>
      <c r="F796" s="59"/>
      <c r="G796" s="59"/>
      <c r="H796" s="59"/>
      <c r="I796" s="59"/>
    </row>
    <row r="797" spans="2:9" ht="12.75">
      <c r="B797" s="59"/>
      <c r="C797" s="59"/>
      <c r="D797" s="59"/>
      <c r="E797" s="59"/>
      <c r="F797" s="59"/>
      <c r="G797" s="59"/>
      <c r="H797" s="59"/>
      <c r="I797" s="59"/>
    </row>
    <row r="798" spans="2:9" ht="12.75">
      <c r="B798" s="59"/>
      <c r="C798" s="59"/>
      <c r="D798" s="59"/>
      <c r="E798" s="59"/>
      <c r="F798" s="59"/>
      <c r="G798" s="59"/>
      <c r="H798" s="59"/>
      <c r="I798" s="59"/>
    </row>
    <row r="799" spans="2:9" ht="12.75">
      <c r="B799" s="59"/>
      <c r="C799" s="59"/>
      <c r="D799" s="59"/>
      <c r="E799" s="59"/>
      <c r="F799" s="59"/>
      <c r="G799" s="59"/>
      <c r="H799" s="59"/>
      <c r="I799" s="59"/>
    </row>
    <row r="800" spans="2:9" ht="12.75">
      <c r="B800" s="59"/>
      <c r="C800" s="59"/>
      <c r="D800" s="59"/>
      <c r="E800" s="59"/>
      <c r="F800" s="59"/>
      <c r="G800" s="59"/>
      <c r="H800" s="59"/>
      <c r="I800" s="59"/>
    </row>
    <row r="801" spans="2:9" ht="12.75">
      <c r="B801" s="59"/>
      <c r="C801" s="59"/>
      <c r="D801" s="59"/>
      <c r="E801" s="59"/>
      <c r="F801" s="59"/>
      <c r="G801" s="59"/>
      <c r="H801" s="59"/>
      <c r="I801" s="59"/>
    </row>
    <row r="802" spans="2:9" ht="12.75">
      <c r="B802" s="59"/>
      <c r="C802" s="59"/>
      <c r="D802" s="59"/>
      <c r="E802" s="59"/>
      <c r="F802" s="59"/>
      <c r="G802" s="59"/>
      <c r="H802" s="59"/>
      <c r="I802" s="59"/>
    </row>
    <row r="803" spans="2:9" ht="12.75">
      <c r="B803" s="59"/>
      <c r="C803" s="59"/>
      <c r="D803" s="59"/>
      <c r="E803" s="59"/>
      <c r="F803" s="59"/>
      <c r="G803" s="59"/>
      <c r="H803" s="59"/>
      <c r="I803" s="59"/>
    </row>
    <row r="804" spans="2:9" ht="12.75">
      <c r="B804" s="59"/>
      <c r="C804" s="59"/>
      <c r="D804" s="59"/>
      <c r="E804" s="59"/>
      <c r="F804" s="59"/>
      <c r="G804" s="59"/>
      <c r="H804" s="59"/>
      <c r="I804" s="59"/>
    </row>
    <row r="805" spans="2:9" ht="12.75">
      <c r="B805" s="59"/>
      <c r="C805" s="59"/>
      <c r="D805" s="59"/>
      <c r="E805" s="59"/>
      <c r="F805" s="59"/>
      <c r="G805" s="59"/>
      <c r="H805" s="59"/>
      <c r="I805" s="59"/>
    </row>
    <row r="806" spans="2:9" ht="12.75">
      <c r="B806" s="59"/>
      <c r="C806" s="59"/>
      <c r="D806" s="59"/>
      <c r="E806" s="59"/>
      <c r="F806" s="59"/>
      <c r="G806" s="59"/>
      <c r="H806" s="59"/>
      <c r="I806" s="59"/>
    </row>
    <row r="807" spans="2:9" ht="12.75">
      <c r="B807" s="59"/>
      <c r="C807" s="59"/>
      <c r="D807" s="59"/>
      <c r="E807" s="59"/>
      <c r="F807" s="59"/>
      <c r="G807" s="59"/>
      <c r="H807" s="59"/>
      <c r="I807" s="59"/>
    </row>
    <row r="808" spans="2:9" ht="12.75">
      <c r="B808" s="59"/>
      <c r="C808" s="59"/>
      <c r="D808" s="59"/>
      <c r="E808" s="59"/>
      <c r="F808" s="59"/>
      <c r="G808" s="59"/>
      <c r="H808" s="59"/>
      <c r="I808" s="59"/>
    </row>
    <row r="809" spans="2:9" ht="12.75">
      <c r="B809" s="59"/>
      <c r="C809" s="59"/>
      <c r="D809" s="59"/>
      <c r="E809" s="59"/>
      <c r="F809" s="59"/>
      <c r="G809" s="59"/>
      <c r="H809" s="59"/>
      <c r="I809" s="59"/>
    </row>
    <row r="810" spans="2:9" ht="12.75">
      <c r="B810" s="59"/>
      <c r="C810" s="59"/>
      <c r="D810" s="59"/>
      <c r="E810" s="59"/>
      <c r="F810" s="59"/>
      <c r="G810" s="59"/>
      <c r="H810" s="59"/>
      <c r="I810" s="59"/>
    </row>
    <row r="811" spans="2:9" ht="12.75">
      <c r="B811" s="59"/>
      <c r="C811" s="59"/>
      <c r="D811" s="59"/>
      <c r="E811" s="59"/>
      <c r="F811" s="59"/>
      <c r="G811" s="59"/>
      <c r="H811" s="59"/>
      <c r="I811" s="59"/>
    </row>
    <row r="812" spans="2:9" ht="12.75">
      <c r="B812" s="59"/>
      <c r="C812" s="59"/>
      <c r="D812" s="59"/>
      <c r="E812" s="59"/>
      <c r="F812" s="59"/>
      <c r="G812" s="59"/>
      <c r="H812" s="59"/>
      <c r="I812" s="59"/>
    </row>
    <row r="813" spans="2:9" ht="12.75">
      <c r="B813" s="59"/>
      <c r="C813" s="59"/>
      <c r="D813" s="59"/>
      <c r="E813" s="59"/>
      <c r="F813" s="59"/>
      <c r="G813" s="59"/>
      <c r="H813" s="59"/>
      <c r="I813" s="59"/>
    </row>
    <row r="814" spans="2:9" ht="12.75">
      <c r="B814" s="59"/>
      <c r="C814" s="59"/>
      <c r="D814" s="59"/>
      <c r="E814" s="59"/>
      <c r="F814" s="59"/>
      <c r="G814" s="59"/>
      <c r="H814" s="59"/>
      <c r="I814" s="59"/>
    </row>
    <row r="815" spans="2:9" ht="12.75">
      <c r="B815" s="59"/>
      <c r="C815" s="59"/>
      <c r="D815" s="59"/>
      <c r="E815" s="59"/>
      <c r="F815" s="59"/>
      <c r="G815" s="59"/>
      <c r="H815" s="59"/>
      <c r="I815" s="59"/>
    </row>
    <row r="816" spans="2:9" ht="12.75">
      <c r="B816" s="59"/>
      <c r="C816" s="59"/>
      <c r="D816" s="59"/>
      <c r="E816" s="59"/>
      <c r="F816" s="59"/>
      <c r="G816" s="59"/>
      <c r="H816" s="59"/>
      <c r="I816" s="59"/>
    </row>
    <row r="817" spans="2:9" ht="12.75">
      <c r="B817" s="59"/>
      <c r="C817" s="59"/>
      <c r="D817" s="59"/>
      <c r="E817" s="59"/>
      <c r="F817" s="59"/>
      <c r="G817" s="59"/>
      <c r="H817" s="59"/>
      <c r="I817" s="59"/>
    </row>
    <row r="818" spans="2:9" ht="12.75">
      <c r="B818" s="59"/>
      <c r="C818" s="59"/>
      <c r="D818" s="59"/>
      <c r="E818" s="59"/>
      <c r="F818" s="59"/>
      <c r="G818" s="59"/>
      <c r="H818" s="59"/>
      <c r="I818" s="59"/>
    </row>
    <row r="819" spans="2:9" ht="12.75">
      <c r="B819" s="59"/>
      <c r="C819" s="59"/>
      <c r="D819" s="59"/>
      <c r="E819" s="59"/>
      <c r="F819" s="59"/>
      <c r="G819" s="59"/>
      <c r="H819" s="59"/>
      <c r="I819" s="59"/>
    </row>
    <row r="820" spans="2:9" ht="12.75">
      <c r="B820" s="59"/>
      <c r="C820" s="59"/>
      <c r="D820" s="59"/>
      <c r="E820" s="59"/>
      <c r="F820" s="59"/>
      <c r="G820" s="59"/>
      <c r="H820" s="59"/>
      <c r="I820" s="59"/>
    </row>
    <row r="821" spans="2:9" ht="12.75">
      <c r="B821" s="59"/>
      <c r="C821" s="59"/>
      <c r="D821" s="59"/>
      <c r="E821" s="59"/>
      <c r="F821" s="59"/>
      <c r="G821" s="59"/>
      <c r="H821" s="59"/>
      <c r="I821" s="59"/>
    </row>
    <row r="822" spans="2:9" ht="12.75">
      <c r="B822" s="59"/>
      <c r="C822" s="59"/>
      <c r="D822" s="59"/>
      <c r="E822" s="59"/>
      <c r="F822" s="59"/>
      <c r="G822" s="59"/>
      <c r="H822" s="59"/>
      <c r="I822" s="59"/>
    </row>
    <row r="823" spans="2:9" ht="12.75">
      <c r="B823" s="59"/>
      <c r="C823" s="59"/>
      <c r="D823" s="59"/>
      <c r="E823" s="59"/>
      <c r="F823" s="59"/>
      <c r="G823" s="59"/>
      <c r="H823" s="59"/>
      <c r="I823" s="59"/>
    </row>
    <row r="824" spans="2:9" ht="12.75">
      <c r="B824" s="59"/>
      <c r="C824" s="59"/>
      <c r="D824" s="59"/>
      <c r="E824" s="59"/>
      <c r="F824" s="59"/>
      <c r="G824" s="59"/>
      <c r="H824" s="59"/>
      <c r="I824" s="59"/>
    </row>
    <row r="825" spans="2:9" ht="12.75">
      <c r="B825" s="59"/>
      <c r="C825" s="59"/>
      <c r="D825" s="59"/>
      <c r="E825" s="59"/>
      <c r="F825" s="59"/>
      <c r="G825" s="59"/>
      <c r="H825" s="59"/>
      <c r="I825" s="59"/>
    </row>
    <row r="826" spans="2:9" ht="12.75">
      <c r="B826" s="59"/>
      <c r="C826" s="59"/>
      <c r="D826" s="59"/>
      <c r="E826" s="59"/>
      <c r="F826" s="59"/>
      <c r="G826" s="59"/>
      <c r="H826" s="59"/>
      <c r="I826" s="59"/>
    </row>
    <row r="827" spans="2:9" ht="12.75">
      <c r="B827" s="59"/>
      <c r="C827" s="59"/>
      <c r="D827" s="59"/>
      <c r="E827" s="59"/>
      <c r="F827" s="59"/>
      <c r="G827" s="59"/>
      <c r="H827" s="59"/>
      <c r="I827" s="59"/>
    </row>
    <row r="828" spans="2:9" ht="12.75">
      <c r="B828" s="59"/>
      <c r="C828" s="59"/>
      <c r="D828" s="59"/>
      <c r="E828" s="59"/>
      <c r="F828" s="59"/>
      <c r="G828" s="59"/>
      <c r="H828" s="59"/>
      <c r="I828" s="59"/>
    </row>
    <row r="829" spans="2:9" ht="12.75">
      <c r="B829" s="59"/>
      <c r="C829" s="59"/>
      <c r="D829" s="59"/>
      <c r="E829" s="59"/>
      <c r="F829" s="59"/>
      <c r="G829" s="59"/>
      <c r="H829" s="59"/>
      <c r="I829" s="59"/>
    </row>
    <row r="830" spans="2:9" ht="12.75">
      <c r="B830" s="59"/>
      <c r="C830" s="59"/>
      <c r="D830" s="59"/>
      <c r="E830" s="59"/>
      <c r="F830" s="59"/>
      <c r="G830" s="59"/>
      <c r="H830" s="59"/>
      <c r="I830" s="59"/>
    </row>
    <row r="831" spans="2:9" ht="12.75">
      <c r="B831" s="59"/>
      <c r="C831" s="59"/>
      <c r="D831" s="59"/>
      <c r="E831" s="59"/>
      <c r="F831" s="59"/>
      <c r="G831" s="59"/>
      <c r="H831" s="59"/>
      <c r="I831" s="59"/>
    </row>
    <row r="832" spans="2:9" ht="12.75">
      <c r="B832" s="59"/>
      <c r="C832" s="59"/>
      <c r="D832" s="59"/>
      <c r="E832" s="59"/>
      <c r="F832" s="59"/>
      <c r="G832" s="59"/>
      <c r="H832" s="59"/>
      <c r="I832" s="59"/>
    </row>
    <row r="833" spans="2:9" ht="12.75">
      <c r="B833" s="59"/>
      <c r="C833" s="59"/>
      <c r="D833" s="59"/>
      <c r="E833" s="59"/>
      <c r="F833" s="59"/>
      <c r="G833" s="59"/>
      <c r="H833" s="59"/>
      <c r="I833" s="59"/>
    </row>
    <row r="834" spans="2:9" ht="12.75">
      <c r="B834" s="59"/>
      <c r="C834" s="59"/>
      <c r="D834" s="59"/>
      <c r="E834" s="59"/>
      <c r="F834" s="59"/>
      <c r="G834" s="59"/>
      <c r="H834" s="59"/>
      <c r="I834" s="59"/>
    </row>
    <row r="835" spans="2:9" ht="12.75">
      <c r="B835" s="59"/>
      <c r="C835" s="59"/>
      <c r="D835" s="59"/>
      <c r="E835" s="59"/>
      <c r="F835" s="59"/>
      <c r="G835" s="59"/>
      <c r="H835" s="59"/>
      <c r="I835" s="59"/>
    </row>
    <row r="836" spans="2:9" ht="12.75">
      <c r="B836" s="59"/>
      <c r="C836" s="59"/>
      <c r="D836" s="59"/>
      <c r="E836" s="59"/>
      <c r="F836" s="59"/>
      <c r="G836" s="59"/>
      <c r="H836" s="59"/>
      <c r="I836" s="59"/>
    </row>
    <row r="837" spans="2:9" ht="12.75">
      <c r="B837" s="59"/>
      <c r="C837" s="59"/>
      <c r="D837" s="59"/>
      <c r="E837" s="59"/>
      <c r="F837" s="59"/>
      <c r="G837" s="59"/>
      <c r="H837" s="59"/>
      <c r="I837" s="59"/>
    </row>
    <row r="838" spans="2:9" ht="12.75">
      <c r="B838" s="59"/>
      <c r="C838" s="59"/>
      <c r="D838" s="59"/>
      <c r="E838" s="59"/>
      <c r="F838" s="59"/>
      <c r="G838" s="59"/>
      <c r="H838" s="59"/>
      <c r="I838" s="59"/>
    </row>
    <row r="839" spans="2:9" ht="12.75">
      <c r="B839" s="59"/>
      <c r="C839" s="59"/>
      <c r="D839" s="59"/>
      <c r="E839" s="59"/>
      <c r="F839" s="59"/>
      <c r="G839" s="59"/>
      <c r="H839" s="59"/>
      <c r="I839" s="59"/>
    </row>
    <row r="840" spans="2:9" ht="12.75">
      <c r="B840" s="59"/>
      <c r="C840" s="59"/>
      <c r="D840" s="59"/>
      <c r="E840" s="59"/>
      <c r="F840" s="59"/>
      <c r="G840" s="59"/>
      <c r="H840" s="59"/>
      <c r="I840" s="59"/>
    </row>
    <row r="841" spans="2:9" ht="12.75">
      <c r="B841" s="59"/>
      <c r="C841" s="59"/>
      <c r="D841" s="59"/>
      <c r="E841" s="59"/>
      <c r="F841" s="59"/>
      <c r="G841" s="59"/>
      <c r="H841" s="59"/>
      <c r="I841" s="59"/>
    </row>
    <row r="842" spans="2:9" ht="12.75">
      <c r="B842" s="59"/>
      <c r="C842" s="59"/>
      <c r="D842" s="59"/>
      <c r="E842" s="59"/>
      <c r="F842" s="59"/>
      <c r="G842" s="59"/>
      <c r="H842" s="59"/>
      <c r="I842" s="59"/>
    </row>
    <row r="843" spans="2:9" ht="12.75">
      <c r="B843" s="59"/>
      <c r="C843" s="59"/>
      <c r="D843" s="59"/>
      <c r="E843" s="59"/>
      <c r="F843" s="59"/>
      <c r="G843" s="59"/>
      <c r="H843" s="59"/>
      <c r="I843" s="59"/>
    </row>
    <row r="844" spans="2:9" ht="12.75">
      <c r="B844" s="59"/>
      <c r="C844" s="59"/>
      <c r="D844" s="59"/>
      <c r="E844" s="59"/>
      <c r="F844" s="59"/>
      <c r="G844" s="59"/>
      <c r="H844" s="59"/>
      <c r="I844" s="59"/>
    </row>
    <row r="845" spans="2:9" ht="12.75">
      <c r="B845" s="59"/>
      <c r="C845" s="59"/>
      <c r="D845" s="59"/>
      <c r="E845" s="59"/>
      <c r="F845" s="59"/>
      <c r="G845" s="59"/>
      <c r="H845" s="59"/>
      <c r="I845" s="59"/>
    </row>
    <row r="846" spans="2:9" ht="12.75">
      <c r="B846" s="59"/>
      <c r="C846" s="59"/>
      <c r="D846" s="59"/>
      <c r="E846" s="59"/>
      <c r="F846" s="59"/>
      <c r="G846" s="59"/>
      <c r="H846" s="59"/>
      <c r="I846" s="59"/>
    </row>
    <row r="847" spans="2:9" ht="12.75">
      <c r="B847" s="59"/>
      <c r="C847" s="59"/>
      <c r="D847" s="59"/>
      <c r="E847" s="59"/>
      <c r="F847" s="59"/>
      <c r="G847" s="59"/>
      <c r="H847" s="59"/>
      <c r="I847" s="59"/>
    </row>
    <row r="848" spans="2:9" ht="12.75">
      <c r="B848" s="59"/>
      <c r="C848" s="59"/>
      <c r="D848" s="59"/>
      <c r="E848" s="59"/>
      <c r="F848" s="59"/>
      <c r="G848" s="59"/>
      <c r="H848" s="59"/>
      <c r="I848" s="59"/>
    </row>
    <row r="849" spans="2:9" ht="12.75">
      <c r="B849" s="59"/>
      <c r="C849" s="59"/>
      <c r="D849" s="59"/>
      <c r="E849" s="59"/>
      <c r="F849" s="59"/>
      <c r="G849" s="59"/>
      <c r="H849" s="59"/>
      <c r="I849" s="59"/>
    </row>
    <row r="850" spans="2:9" ht="12.75">
      <c r="B850" s="59"/>
      <c r="C850" s="59"/>
      <c r="D850" s="59"/>
      <c r="E850" s="59"/>
      <c r="F850" s="59"/>
      <c r="G850" s="59"/>
      <c r="H850" s="59"/>
      <c r="I850" s="59"/>
    </row>
    <row r="851" spans="2:9" ht="12.75">
      <c r="B851" s="59"/>
      <c r="C851" s="59"/>
      <c r="D851" s="59"/>
      <c r="E851" s="59"/>
      <c r="F851" s="59"/>
      <c r="G851" s="59"/>
      <c r="H851" s="59"/>
      <c r="I851" s="59"/>
    </row>
    <row r="852" spans="2:9" ht="12.75">
      <c r="B852" s="59"/>
      <c r="C852" s="59"/>
      <c r="D852" s="59"/>
      <c r="E852" s="59"/>
      <c r="F852" s="59"/>
      <c r="G852" s="59"/>
      <c r="H852" s="59"/>
      <c r="I852" s="59"/>
    </row>
    <row r="853" spans="2:9" ht="12.75">
      <c r="B853" s="59"/>
      <c r="C853" s="59"/>
      <c r="D853" s="59"/>
      <c r="E853" s="59"/>
      <c r="F853" s="59"/>
      <c r="G853" s="59"/>
      <c r="H853" s="59"/>
      <c r="I853" s="59"/>
    </row>
    <row r="854" spans="2:9" ht="12.75">
      <c r="B854" s="59"/>
      <c r="C854" s="59"/>
      <c r="D854" s="59"/>
      <c r="E854" s="59"/>
      <c r="F854" s="59"/>
      <c r="G854" s="59"/>
      <c r="H854" s="59"/>
      <c r="I854" s="59"/>
    </row>
    <row r="855" spans="2:9" ht="12.75">
      <c r="B855" s="59"/>
      <c r="C855" s="59"/>
      <c r="D855" s="59"/>
      <c r="E855" s="59"/>
      <c r="F855" s="59"/>
      <c r="G855" s="59"/>
      <c r="H855" s="59"/>
      <c r="I855" s="59"/>
    </row>
    <row r="856" spans="2:9" ht="12.75">
      <c r="B856" s="59"/>
      <c r="C856" s="59"/>
      <c r="D856" s="59"/>
      <c r="E856" s="59"/>
      <c r="F856" s="59"/>
      <c r="G856" s="59"/>
      <c r="H856" s="59"/>
      <c r="I856" s="59"/>
    </row>
    <row r="857" spans="2:9" ht="12.75">
      <c r="B857" s="59"/>
      <c r="C857" s="59"/>
      <c r="D857" s="59"/>
      <c r="E857" s="59"/>
      <c r="F857" s="59"/>
      <c r="G857" s="59"/>
      <c r="H857" s="59"/>
      <c r="I857" s="59"/>
    </row>
    <row r="858" spans="2:9" ht="12.75">
      <c r="B858" s="59"/>
      <c r="C858" s="59"/>
      <c r="D858" s="59"/>
      <c r="E858" s="59"/>
      <c r="F858" s="59"/>
      <c r="G858" s="59"/>
      <c r="H858" s="59"/>
      <c r="I858" s="59"/>
    </row>
    <row r="859" spans="2:9" ht="12.75">
      <c r="B859" s="59"/>
      <c r="C859" s="59"/>
      <c r="D859" s="59"/>
      <c r="E859" s="59"/>
      <c r="F859" s="59"/>
      <c r="G859" s="59"/>
      <c r="H859" s="59"/>
      <c r="I859" s="59"/>
    </row>
    <row r="860" spans="2:9" ht="12.75">
      <c r="B860" s="59"/>
      <c r="C860" s="59"/>
      <c r="D860" s="59"/>
      <c r="E860" s="59"/>
      <c r="F860" s="59"/>
      <c r="G860" s="59"/>
      <c r="H860" s="59"/>
      <c r="I860" s="59"/>
    </row>
    <row r="861" spans="2:9" ht="12.75">
      <c r="B861" s="59"/>
      <c r="C861" s="59"/>
      <c r="D861" s="59"/>
      <c r="E861" s="59"/>
      <c r="F861" s="59"/>
      <c r="G861" s="59"/>
      <c r="H861" s="59"/>
      <c r="I861" s="59"/>
    </row>
    <row r="862" spans="2:9" ht="12.75">
      <c r="B862" s="59"/>
      <c r="C862" s="59"/>
      <c r="D862" s="59"/>
      <c r="E862" s="59"/>
      <c r="F862" s="59"/>
      <c r="G862" s="59"/>
      <c r="H862" s="59"/>
      <c r="I862" s="59"/>
    </row>
    <row r="863" spans="2:9" ht="12.75">
      <c r="B863" s="59"/>
      <c r="C863" s="59"/>
      <c r="D863" s="59"/>
      <c r="E863" s="59"/>
      <c r="F863" s="59"/>
      <c r="G863" s="59"/>
      <c r="H863" s="59"/>
      <c r="I863" s="59"/>
    </row>
    <row r="864" spans="2:9" ht="12.75">
      <c r="B864" s="59"/>
      <c r="C864" s="59"/>
      <c r="D864" s="59"/>
      <c r="E864" s="59"/>
      <c r="F864" s="59"/>
      <c r="G864" s="59"/>
      <c r="H864" s="59"/>
      <c r="I864" s="59"/>
    </row>
    <row r="865" spans="2:9" ht="12.75">
      <c r="B865" s="59"/>
      <c r="C865" s="59"/>
      <c r="D865" s="59"/>
      <c r="E865" s="59"/>
      <c r="F865" s="59"/>
      <c r="G865" s="59"/>
      <c r="H865" s="59"/>
      <c r="I865" s="59"/>
    </row>
    <row r="866" spans="2:9" ht="12.75">
      <c r="B866" s="59"/>
      <c r="C866" s="59"/>
      <c r="D866" s="59"/>
      <c r="E866" s="59"/>
      <c r="F866" s="59"/>
      <c r="G866" s="59"/>
      <c r="H866" s="59"/>
      <c r="I866" s="59"/>
    </row>
    <row r="867" spans="2:9" ht="12.75">
      <c r="B867" s="59"/>
      <c r="C867" s="59"/>
      <c r="D867" s="59"/>
      <c r="E867" s="59"/>
      <c r="F867" s="59"/>
      <c r="G867" s="59"/>
      <c r="H867" s="59"/>
      <c r="I867" s="59"/>
    </row>
    <row r="868" spans="2:9" ht="12.75">
      <c r="B868" s="59"/>
      <c r="C868" s="59"/>
      <c r="D868" s="59"/>
      <c r="E868" s="59"/>
      <c r="F868" s="59"/>
      <c r="G868" s="59"/>
      <c r="H868" s="59"/>
      <c r="I868" s="59"/>
    </row>
    <row r="869" spans="2:9" ht="12.75">
      <c r="B869" s="59"/>
      <c r="C869" s="59"/>
      <c r="D869" s="59"/>
      <c r="E869" s="59"/>
      <c r="F869" s="59"/>
      <c r="G869" s="59"/>
      <c r="H869" s="59"/>
      <c r="I869" s="59"/>
    </row>
    <row r="870" spans="2:9" ht="12.75">
      <c r="B870" s="59"/>
      <c r="C870" s="59"/>
      <c r="D870" s="59"/>
      <c r="E870" s="59"/>
      <c r="F870" s="59"/>
      <c r="G870" s="59"/>
      <c r="H870" s="59"/>
      <c r="I870" s="59"/>
    </row>
    <row r="871" spans="2:9" ht="12.75">
      <c r="B871" s="59"/>
      <c r="C871" s="59"/>
      <c r="D871" s="59"/>
      <c r="E871" s="59"/>
      <c r="F871" s="59"/>
      <c r="G871" s="59"/>
      <c r="H871" s="59"/>
      <c r="I871" s="59"/>
    </row>
    <row r="872" spans="2:9" ht="12.75">
      <c r="B872" s="59"/>
      <c r="C872" s="59"/>
      <c r="D872" s="59"/>
      <c r="E872" s="59"/>
      <c r="F872" s="59"/>
      <c r="G872" s="59"/>
      <c r="H872" s="59"/>
      <c r="I872" s="59"/>
    </row>
    <row r="873" spans="2:9" ht="12.75">
      <c r="B873" s="59"/>
      <c r="C873" s="59"/>
      <c r="D873" s="59"/>
      <c r="E873" s="59"/>
      <c r="F873" s="59"/>
      <c r="G873" s="59"/>
      <c r="H873" s="59"/>
      <c r="I873" s="59"/>
    </row>
    <row r="874" spans="2:9" ht="12.75">
      <c r="B874" s="59"/>
      <c r="C874" s="59"/>
      <c r="D874" s="59"/>
      <c r="E874" s="59"/>
      <c r="F874" s="59"/>
      <c r="G874" s="59"/>
      <c r="H874" s="59"/>
      <c r="I874" s="59"/>
    </row>
    <row r="875" spans="2:9" ht="12.75">
      <c r="B875" s="59"/>
      <c r="C875" s="59"/>
      <c r="D875" s="59"/>
      <c r="E875" s="59"/>
      <c r="F875" s="59"/>
      <c r="G875" s="59"/>
      <c r="H875" s="59"/>
      <c r="I875" s="59"/>
    </row>
    <row r="876" spans="2:9" ht="12.75">
      <c r="B876" s="59"/>
      <c r="C876" s="59"/>
      <c r="D876" s="59"/>
      <c r="E876" s="59"/>
      <c r="F876" s="59"/>
      <c r="G876" s="59"/>
      <c r="H876" s="59"/>
      <c r="I876" s="59"/>
    </row>
    <row r="877" spans="2:9" ht="12.75">
      <c r="B877" s="59"/>
      <c r="C877" s="59"/>
      <c r="D877" s="59"/>
      <c r="E877" s="59"/>
      <c r="F877" s="59"/>
      <c r="G877" s="59"/>
      <c r="H877" s="59"/>
      <c r="I877" s="59"/>
    </row>
    <row r="878" spans="2:9" ht="12.75">
      <c r="B878" s="59"/>
      <c r="C878" s="59"/>
      <c r="D878" s="59"/>
      <c r="E878" s="59"/>
      <c r="F878" s="59"/>
      <c r="G878" s="59"/>
      <c r="H878" s="59"/>
      <c r="I878" s="59"/>
    </row>
    <row r="879" spans="2:9" ht="12.75">
      <c r="B879" s="59"/>
      <c r="C879" s="59"/>
      <c r="D879" s="59"/>
      <c r="E879" s="59"/>
      <c r="F879" s="59"/>
      <c r="G879" s="59"/>
      <c r="H879" s="59"/>
      <c r="I879" s="59"/>
    </row>
    <row r="880" spans="2:9" ht="12.75">
      <c r="B880" s="59"/>
      <c r="C880" s="59"/>
      <c r="D880" s="59"/>
      <c r="E880" s="59"/>
      <c r="F880" s="59"/>
      <c r="G880" s="59"/>
      <c r="H880" s="59"/>
      <c r="I880" s="59"/>
    </row>
    <row r="881" spans="2:9" ht="12.75">
      <c r="B881" s="59"/>
      <c r="C881" s="59"/>
      <c r="D881" s="59"/>
      <c r="E881" s="59"/>
      <c r="F881" s="59"/>
      <c r="G881" s="59"/>
      <c r="H881" s="59"/>
      <c r="I881" s="59"/>
    </row>
    <row r="882" spans="2:9" ht="12.75">
      <c r="B882" s="59"/>
      <c r="C882" s="59"/>
      <c r="D882" s="59"/>
      <c r="E882" s="59"/>
      <c r="F882" s="59"/>
      <c r="G882" s="59"/>
      <c r="H882" s="59"/>
      <c r="I882" s="59"/>
    </row>
    <row r="883" spans="2:9" ht="12.75">
      <c r="B883" s="59"/>
      <c r="C883" s="59"/>
      <c r="D883" s="59"/>
      <c r="E883" s="59"/>
      <c r="F883" s="59"/>
      <c r="G883" s="59"/>
      <c r="H883" s="59"/>
      <c r="I883" s="59"/>
    </row>
    <row r="884" spans="2:9" ht="12.75">
      <c r="B884" s="59"/>
      <c r="C884" s="59"/>
      <c r="D884" s="59"/>
      <c r="E884" s="59"/>
      <c r="F884" s="59"/>
      <c r="G884" s="59"/>
      <c r="H884" s="59"/>
      <c r="I884" s="59"/>
    </row>
    <row r="885" spans="2:9" ht="12.75">
      <c r="B885" s="59"/>
      <c r="C885" s="59"/>
      <c r="D885" s="59"/>
      <c r="E885" s="59"/>
      <c r="F885" s="59"/>
      <c r="G885" s="59"/>
      <c r="H885" s="59"/>
      <c r="I885" s="59"/>
    </row>
    <row r="886" spans="2:9" ht="12.75">
      <c r="B886" s="59"/>
      <c r="C886" s="59"/>
      <c r="D886" s="59"/>
      <c r="E886" s="59"/>
      <c r="F886" s="59"/>
      <c r="G886" s="59"/>
      <c r="H886" s="59"/>
      <c r="I886" s="59"/>
    </row>
    <row r="887" spans="2:9" ht="12.75">
      <c r="B887" s="59"/>
      <c r="C887" s="59"/>
      <c r="D887" s="59"/>
      <c r="E887" s="59"/>
      <c r="F887" s="59"/>
      <c r="G887" s="59"/>
      <c r="H887" s="59"/>
      <c r="I887" s="59"/>
    </row>
    <row r="888" spans="2:9" ht="12.75">
      <c r="B888" s="59"/>
      <c r="C888" s="59"/>
      <c r="D888" s="59"/>
      <c r="E888" s="59"/>
      <c r="F888" s="59"/>
      <c r="G888" s="59"/>
      <c r="H888" s="59"/>
      <c r="I888" s="59"/>
    </row>
    <row r="889" spans="2:9" ht="12.75">
      <c r="B889" s="59"/>
      <c r="C889" s="59"/>
      <c r="D889" s="59"/>
      <c r="E889" s="59"/>
      <c r="F889" s="59"/>
      <c r="G889" s="59"/>
      <c r="H889" s="59"/>
      <c r="I889" s="59"/>
    </row>
    <row r="890" spans="2:9" ht="12.75">
      <c r="B890" s="59"/>
      <c r="C890" s="59"/>
      <c r="D890" s="59"/>
      <c r="E890" s="59"/>
      <c r="F890" s="59"/>
      <c r="G890" s="59"/>
      <c r="H890" s="59"/>
      <c r="I890" s="59"/>
    </row>
    <row r="891" spans="2:9" ht="12.75">
      <c r="B891" s="59"/>
      <c r="C891" s="59"/>
      <c r="D891" s="59"/>
      <c r="E891" s="59"/>
      <c r="F891" s="59"/>
      <c r="G891" s="59"/>
      <c r="H891" s="59"/>
      <c r="I891" s="59"/>
    </row>
    <row r="892" spans="2:9" ht="12.75">
      <c r="B892" s="59"/>
      <c r="C892" s="59"/>
      <c r="D892" s="59"/>
      <c r="E892" s="59"/>
      <c r="F892" s="59"/>
      <c r="G892" s="59"/>
      <c r="H892" s="59"/>
      <c r="I892" s="59"/>
    </row>
    <row r="893" spans="2:9" ht="12.75">
      <c r="B893" s="59"/>
      <c r="C893" s="59"/>
      <c r="D893" s="59"/>
      <c r="E893" s="59"/>
      <c r="F893" s="59"/>
      <c r="G893" s="59"/>
      <c r="H893" s="59"/>
      <c r="I893" s="59"/>
    </row>
    <row r="894" spans="2:9" ht="12.75">
      <c r="B894" s="59"/>
      <c r="C894" s="59"/>
      <c r="D894" s="59"/>
      <c r="E894" s="59"/>
      <c r="F894" s="59"/>
      <c r="G894" s="59"/>
      <c r="H894" s="59"/>
      <c r="I894" s="59"/>
    </row>
    <row r="895" spans="2:9" ht="12.75">
      <c r="B895" s="59"/>
      <c r="C895" s="59"/>
      <c r="D895" s="59"/>
      <c r="E895" s="59"/>
      <c r="F895" s="59"/>
      <c r="G895" s="59"/>
      <c r="H895" s="59"/>
      <c r="I895" s="59"/>
    </row>
    <row r="896" spans="2:9" ht="12.75">
      <c r="B896" s="59"/>
      <c r="C896" s="59"/>
      <c r="D896" s="59"/>
      <c r="E896" s="59"/>
      <c r="F896" s="59"/>
      <c r="G896" s="59"/>
      <c r="H896" s="59"/>
      <c r="I896" s="59"/>
    </row>
    <row r="897" spans="2:9" ht="12.75">
      <c r="B897" s="59"/>
      <c r="C897" s="59"/>
      <c r="D897" s="59"/>
      <c r="E897" s="59"/>
      <c r="F897" s="59"/>
      <c r="G897" s="59"/>
      <c r="H897" s="59"/>
      <c r="I897" s="59"/>
    </row>
    <row r="898" spans="2:9" ht="12.75">
      <c r="B898" s="59"/>
      <c r="C898" s="59"/>
      <c r="D898" s="59"/>
      <c r="E898" s="59"/>
      <c r="F898" s="59"/>
      <c r="G898" s="59"/>
      <c r="H898" s="59"/>
      <c r="I898" s="59"/>
    </row>
    <row r="899" spans="2:9" ht="12.75">
      <c r="B899" s="59"/>
      <c r="C899" s="59"/>
      <c r="D899" s="59"/>
      <c r="E899" s="59"/>
      <c r="F899" s="59"/>
      <c r="G899" s="59"/>
      <c r="H899" s="59"/>
      <c r="I899" s="59"/>
    </row>
    <row r="900" spans="2:9" ht="12.75">
      <c r="B900" s="59"/>
      <c r="C900" s="59"/>
      <c r="D900" s="59"/>
      <c r="E900" s="59"/>
      <c r="F900" s="59"/>
      <c r="G900" s="59"/>
      <c r="H900" s="59"/>
      <c r="I900" s="59"/>
    </row>
    <row r="901" spans="2:9" ht="12.75">
      <c r="B901" s="59"/>
      <c r="C901" s="59"/>
      <c r="D901" s="59"/>
      <c r="E901" s="59"/>
      <c r="F901" s="59"/>
      <c r="G901" s="59"/>
      <c r="H901" s="59"/>
      <c r="I901" s="59"/>
    </row>
    <row r="902" spans="2:9" ht="12.75">
      <c r="B902" s="59"/>
      <c r="C902" s="59"/>
      <c r="D902" s="59"/>
      <c r="E902" s="59"/>
      <c r="F902" s="59"/>
      <c r="G902" s="59"/>
      <c r="H902" s="59"/>
      <c r="I902" s="59"/>
    </row>
    <row r="903" spans="2:9" ht="12.75">
      <c r="B903" s="59"/>
      <c r="C903" s="59"/>
      <c r="D903" s="59"/>
      <c r="E903" s="59"/>
      <c r="F903" s="59"/>
      <c r="G903" s="59"/>
      <c r="H903" s="59"/>
      <c r="I903" s="59"/>
    </row>
    <row r="904" spans="2:9" ht="12.75">
      <c r="B904" s="59"/>
      <c r="C904" s="59"/>
      <c r="D904" s="59"/>
      <c r="E904" s="59"/>
      <c r="F904" s="59"/>
      <c r="G904" s="59"/>
      <c r="H904" s="59"/>
      <c r="I904" s="59"/>
    </row>
    <row r="905" spans="2:9" ht="12.75">
      <c r="B905" s="59"/>
      <c r="C905" s="59"/>
      <c r="D905" s="59"/>
      <c r="E905" s="59"/>
      <c r="F905" s="59"/>
      <c r="G905" s="59"/>
      <c r="H905" s="59"/>
      <c r="I905" s="59"/>
    </row>
    <row r="906" spans="2:9" ht="12.75">
      <c r="B906" s="59"/>
      <c r="C906" s="59"/>
      <c r="D906" s="59"/>
      <c r="E906" s="59"/>
      <c r="F906" s="59"/>
      <c r="G906" s="59"/>
      <c r="H906" s="59"/>
      <c r="I906" s="59"/>
    </row>
    <row r="907" spans="2:9" ht="12.75">
      <c r="B907" s="59"/>
      <c r="C907" s="59"/>
      <c r="D907" s="59"/>
      <c r="E907" s="59"/>
      <c r="F907" s="59"/>
      <c r="G907" s="59"/>
      <c r="H907" s="59"/>
      <c r="I907" s="59"/>
    </row>
    <row r="908" spans="2:9" ht="12.75">
      <c r="B908" s="59"/>
      <c r="C908" s="59"/>
      <c r="D908" s="59"/>
      <c r="E908" s="59"/>
      <c r="F908" s="59"/>
      <c r="G908" s="59"/>
      <c r="H908" s="59"/>
      <c r="I908" s="59"/>
    </row>
    <row r="909" spans="2:9" ht="12.75">
      <c r="B909" s="59"/>
      <c r="C909" s="59"/>
      <c r="D909" s="59"/>
      <c r="E909" s="59"/>
      <c r="F909" s="59"/>
      <c r="G909" s="59"/>
      <c r="H909" s="59"/>
      <c r="I909" s="59"/>
    </row>
    <row r="910" spans="2:9" ht="12.75">
      <c r="B910" s="59"/>
      <c r="C910" s="59"/>
      <c r="D910" s="59"/>
      <c r="E910" s="59"/>
      <c r="F910" s="59"/>
      <c r="G910" s="59"/>
      <c r="H910" s="59"/>
      <c r="I910" s="59"/>
    </row>
    <row r="911" spans="2:9" ht="12.75">
      <c r="B911" s="59"/>
      <c r="C911" s="59"/>
      <c r="D911" s="59"/>
      <c r="E911" s="59"/>
      <c r="F911" s="59"/>
      <c r="G911" s="59"/>
      <c r="H911" s="59"/>
      <c r="I911" s="59"/>
    </row>
    <row r="912" spans="2:9" ht="12.75">
      <c r="B912" s="59"/>
      <c r="C912" s="59"/>
      <c r="D912" s="59"/>
      <c r="E912" s="59"/>
      <c r="F912" s="59"/>
      <c r="G912" s="59"/>
      <c r="H912" s="59"/>
      <c r="I912" s="59"/>
    </row>
    <row r="913" spans="2:9" ht="12.75">
      <c r="B913" s="59"/>
      <c r="C913" s="59"/>
      <c r="D913" s="59"/>
      <c r="E913" s="59"/>
      <c r="F913" s="59"/>
      <c r="G913" s="59"/>
      <c r="H913" s="59"/>
      <c r="I913" s="59"/>
    </row>
    <row r="914" spans="2:9" ht="12.75">
      <c r="B914" s="59"/>
      <c r="C914" s="59"/>
      <c r="D914" s="59"/>
      <c r="E914" s="59"/>
      <c r="F914" s="59"/>
      <c r="G914" s="59"/>
      <c r="H914" s="59"/>
      <c r="I914" s="59"/>
    </row>
    <row r="915" spans="2:9" ht="12.75">
      <c r="B915" s="59"/>
      <c r="C915" s="59"/>
      <c r="D915" s="59"/>
      <c r="E915" s="59"/>
      <c r="F915" s="59"/>
      <c r="G915" s="59"/>
      <c r="H915" s="59"/>
      <c r="I915" s="59"/>
    </row>
    <row r="916" spans="2:9" ht="12.75">
      <c r="B916" s="59"/>
      <c r="C916" s="59"/>
      <c r="D916" s="59"/>
      <c r="E916" s="59"/>
      <c r="F916" s="59"/>
      <c r="G916" s="59"/>
      <c r="H916" s="59"/>
      <c r="I916" s="59"/>
    </row>
    <row r="917" spans="2:9" ht="12.75">
      <c r="B917" s="59"/>
      <c r="C917" s="59"/>
      <c r="D917" s="59"/>
      <c r="E917" s="59"/>
      <c r="F917" s="59"/>
      <c r="G917" s="59"/>
      <c r="H917" s="59"/>
      <c r="I917" s="59"/>
    </row>
    <row r="918" spans="2:9" ht="12.75">
      <c r="B918" s="59"/>
      <c r="C918" s="59"/>
      <c r="D918" s="59"/>
      <c r="E918" s="59"/>
      <c r="F918" s="59"/>
      <c r="G918" s="59"/>
      <c r="H918" s="59"/>
      <c r="I918" s="59"/>
    </row>
    <row r="919" spans="2:9" ht="12.75">
      <c r="B919" s="59"/>
      <c r="C919" s="59"/>
      <c r="D919" s="59"/>
      <c r="E919" s="59"/>
      <c r="F919" s="59"/>
      <c r="G919" s="59"/>
      <c r="H919" s="59"/>
      <c r="I919" s="59"/>
    </row>
    <row r="920" spans="2:9" ht="12.75">
      <c r="B920" s="59"/>
      <c r="C920" s="59"/>
      <c r="D920" s="59"/>
      <c r="E920" s="59"/>
      <c r="F920" s="59"/>
      <c r="G920" s="59"/>
      <c r="H920" s="59"/>
      <c r="I920" s="59"/>
    </row>
    <row r="921" spans="2:9" ht="12.75">
      <c r="B921" s="59"/>
      <c r="C921" s="59"/>
      <c r="D921" s="59"/>
      <c r="E921" s="59"/>
      <c r="F921" s="59"/>
      <c r="G921" s="59"/>
      <c r="H921" s="59"/>
      <c r="I921" s="59"/>
    </row>
    <row r="922" spans="2:9" ht="12.75">
      <c r="B922" s="59"/>
      <c r="C922" s="59"/>
      <c r="D922" s="59"/>
      <c r="E922" s="59"/>
      <c r="F922" s="59"/>
      <c r="G922" s="59"/>
      <c r="H922" s="59"/>
      <c r="I922" s="59"/>
    </row>
    <row r="923" spans="2:9" ht="12.75">
      <c r="B923" s="59"/>
      <c r="C923" s="59"/>
      <c r="D923" s="59"/>
      <c r="E923" s="59"/>
      <c r="F923" s="59"/>
      <c r="G923" s="59"/>
      <c r="H923" s="59"/>
      <c r="I923" s="59"/>
    </row>
    <row r="924" spans="2:9" ht="12.75">
      <c r="B924" s="59"/>
      <c r="C924" s="59"/>
      <c r="D924" s="59"/>
      <c r="E924" s="59"/>
      <c r="F924" s="59"/>
      <c r="G924" s="59"/>
      <c r="H924" s="59"/>
      <c r="I924" s="59"/>
    </row>
    <row r="925" spans="2:9" ht="12.75">
      <c r="B925" s="59"/>
      <c r="C925" s="59"/>
      <c r="D925" s="59"/>
      <c r="E925" s="59"/>
      <c r="F925" s="59"/>
      <c r="G925" s="59"/>
      <c r="H925" s="59"/>
      <c r="I925" s="59"/>
    </row>
    <row r="926" spans="2:9" ht="12.75">
      <c r="B926" s="59"/>
      <c r="C926" s="59"/>
      <c r="D926" s="59"/>
      <c r="E926" s="59"/>
      <c r="F926" s="59"/>
      <c r="G926" s="59"/>
      <c r="H926" s="59"/>
      <c r="I926" s="59"/>
    </row>
    <row r="927" spans="2:9" ht="12.75">
      <c r="B927" s="59"/>
      <c r="C927" s="59"/>
      <c r="D927" s="59"/>
      <c r="E927" s="59"/>
      <c r="F927" s="59"/>
      <c r="G927" s="59"/>
      <c r="H927" s="59"/>
      <c r="I927" s="59"/>
    </row>
    <row r="928" spans="2:9" ht="12.75">
      <c r="B928" s="59"/>
      <c r="C928" s="59"/>
      <c r="D928" s="59"/>
      <c r="E928" s="59"/>
      <c r="F928" s="59"/>
      <c r="G928" s="59"/>
      <c r="H928" s="59"/>
      <c r="I928" s="59"/>
    </row>
    <row r="929" spans="2:9" ht="12.75">
      <c r="B929" s="59"/>
      <c r="C929" s="59"/>
      <c r="D929" s="59"/>
      <c r="E929" s="59"/>
      <c r="F929" s="59"/>
      <c r="G929" s="59"/>
      <c r="H929" s="59"/>
      <c r="I929" s="59"/>
    </row>
    <row r="930" spans="2:9" ht="12.75">
      <c r="B930" s="59"/>
      <c r="C930" s="59"/>
      <c r="D930" s="59"/>
      <c r="E930" s="59"/>
      <c r="F930" s="59"/>
      <c r="G930" s="59"/>
      <c r="H930" s="59"/>
      <c r="I930" s="59"/>
    </row>
    <row r="931" spans="2:9" ht="12.75">
      <c r="B931" s="59"/>
      <c r="C931" s="59"/>
      <c r="D931" s="59"/>
      <c r="E931" s="59"/>
      <c r="F931" s="59"/>
      <c r="G931" s="59"/>
      <c r="H931" s="59"/>
      <c r="I931" s="59"/>
    </row>
    <row r="932" spans="2:9" ht="12.75">
      <c r="B932" s="59"/>
      <c r="C932" s="59"/>
      <c r="D932" s="59"/>
      <c r="E932" s="59"/>
      <c r="F932" s="59"/>
      <c r="G932" s="59"/>
      <c r="H932" s="59"/>
      <c r="I932" s="59"/>
    </row>
    <row r="933" spans="2:9" ht="12.75">
      <c r="B933" s="59"/>
      <c r="C933" s="59"/>
      <c r="D933" s="59"/>
      <c r="E933" s="59"/>
      <c r="F933" s="59"/>
      <c r="G933" s="59"/>
      <c r="H933" s="59"/>
      <c r="I933" s="59"/>
    </row>
    <row r="934" spans="2:9" ht="12.75">
      <c r="B934" s="59"/>
      <c r="C934" s="59"/>
      <c r="D934" s="59"/>
      <c r="E934" s="59"/>
      <c r="F934" s="59"/>
      <c r="G934" s="59"/>
      <c r="H934" s="59"/>
      <c r="I934" s="59"/>
    </row>
    <row r="935" spans="2:9" ht="12.75">
      <c r="B935" s="59"/>
      <c r="C935" s="59"/>
      <c r="D935" s="59"/>
      <c r="E935" s="59"/>
      <c r="F935" s="59"/>
      <c r="G935" s="59"/>
      <c r="H935" s="59"/>
      <c r="I935" s="59"/>
    </row>
    <row r="936" spans="2:9" ht="12.75">
      <c r="B936" s="59"/>
      <c r="C936" s="59"/>
      <c r="D936" s="59"/>
      <c r="E936" s="59"/>
      <c r="F936" s="59"/>
      <c r="G936" s="59"/>
      <c r="H936" s="59"/>
      <c r="I936" s="59"/>
    </row>
    <row r="937" spans="2:9" ht="12.75">
      <c r="B937" s="59"/>
      <c r="C937" s="59"/>
      <c r="D937" s="59"/>
      <c r="E937" s="59"/>
      <c r="F937" s="59"/>
      <c r="G937" s="59"/>
      <c r="H937" s="59"/>
      <c r="I937" s="59"/>
    </row>
    <row r="938" spans="2:9" ht="12.75">
      <c r="B938" s="59"/>
      <c r="C938" s="59"/>
      <c r="D938" s="59"/>
      <c r="E938" s="59"/>
      <c r="F938" s="59"/>
      <c r="G938" s="59"/>
      <c r="H938" s="59"/>
      <c r="I938" s="59"/>
    </row>
    <row r="939" spans="2:9" ht="12.75">
      <c r="B939" s="59"/>
      <c r="C939" s="59"/>
      <c r="D939" s="59"/>
      <c r="E939" s="59"/>
      <c r="F939" s="59"/>
      <c r="G939" s="59"/>
      <c r="H939" s="59"/>
      <c r="I939" s="59"/>
    </row>
    <row r="940" spans="2:9" ht="12.75">
      <c r="B940" s="59"/>
      <c r="C940" s="59"/>
      <c r="D940" s="59"/>
      <c r="E940" s="59"/>
      <c r="F940" s="59"/>
      <c r="G940" s="59"/>
      <c r="H940" s="59"/>
      <c r="I940" s="59"/>
    </row>
    <row r="941" spans="2:9" ht="12.75">
      <c r="B941" s="59"/>
      <c r="C941" s="59"/>
      <c r="D941" s="59"/>
      <c r="E941" s="59"/>
      <c r="F941" s="59"/>
      <c r="G941" s="59"/>
      <c r="H941" s="59"/>
      <c r="I941" s="59"/>
    </row>
    <row r="942" spans="2:9" ht="12.75">
      <c r="B942" s="59"/>
      <c r="C942" s="59"/>
      <c r="D942" s="59"/>
      <c r="E942" s="59"/>
      <c r="F942" s="59"/>
      <c r="G942" s="59"/>
      <c r="H942" s="59"/>
      <c r="I942" s="59"/>
    </row>
    <row r="943" spans="2:9" ht="12.75">
      <c r="B943" s="59"/>
      <c r="C943" s="59"/>
      <c r="D943" s="59"/>
      <c r="E943" s="59"/>
      <c r="F943" s="59"/>
      <c r="G943" s="59"/>
      <c r="H943" s="59"/>
      <c r="I943" s="59"/>
    </row>
    <row r="944" spans="2:9" ht="12.75">
      <c r="B944" s="59"/>
      <c r="C944" s="59"/>
      <c r="D944" s="59"/>
      <c r="E944" s="59"/>
      <c r="F944" s="59"/>
      <c r="G944" s="59"/>
      <c r="H944" s="59"/>
      <c r="I944" s="59"/>
    </row>
    <row r="945" spans="2:9" ht="12.75">
      <c r="B945" s="59"/>
      <c r="C945" s="59"/>
      <c r="D945" s="59"/>
      <c r="E945" s="59"/>
      <c r="F945" s="59"/>
      <c r="G945" s="59"/>
      <c r="H945" s="59"/>
      <c r="I945" s="59"/>
    </row>
    <row r="946" spans="2:9" ht="12.75">
      <c r="B946" s="59"/>
      <c r="C946" s="59"/>
      <c r="D946" s="59"/>
      <c r="E946" s="59"/>
      <c r="F946" s="59"/>
      <c r="G946" s="59"/>
      <c r="H946" s="59"/>
      <c r="I946" s="59"/>
    </row>
    <row r="947" spans="2:9" ht="12.75">
      <c r="B947" s="59"/>
      <c r="C947" s="59"/>
      <c r="D947" s="59"/>
      <c r="E947" s="59"/>
      <c r="F947" s="59"/>
      <c r="G947" s="59"/>
      <c r="H947" s="59"/>
      <c r="I947" s="59"/>
    </row>
    <row r="948" spans="2:9" ht="12.75">
      <c r="B948" s="59"/>
      <c r="C948" s="59"/>
      <c r="D948" s="59"/>
      <c r="E948" s="59"/>
      <c r="F948" s="59"/>
      <c r="G948" s="59"/>
      <c r="H948" s="59"/>
      <c r="I948" s="59"/>
    </row>
    <row r="949" spans="2:9" ht="12.75">
      <c r="B949" s="59"/>
      <c r="C949" s="59"/>
      <c r="D949" s="59"/>
      <c r="E949" s="59"/>
      <c r="F949" s="59"/>
      <c r="G949" s="59"/>
      <c r="H949" s="59"/>
      <c r="I949" s="59"/>
    </row>
    <row r="950" spans="2:9" ht="12.75">
      <c r="B950" s="59"/>
      <c r="C950" s="59"/>
      <c r="D950" s="59"/>
      <c r="E950" s="59"/>
      <c r="F950" s="59"/>
      <c r="G950" s="59"/>
      <c r="H950" s="59"/>
      <c r="I950" s="59"/>
    </row>
    <row r="951" spans="2:9" ht="12.75">
      <c r="B951" s="59"/>
      <c r="C951" s="59"/>
      <c r="D951" s="59"/>
      <c r="E951" s="59"/>
      <c r="F951" s="59"/>
      <c r="G951" s="59"/>
      <c r="H951" s="59"/>
      <c r="I951" s="59"/>
    </row>
    <row r="952" spans="2:9" ht="12.75">
      <c r="B952" s="59"/>
      <c r="C952" s="59"/>
      <c r="D952" s="59"/>
      <c r="E952" s="59"/>
      <c r="F952" s="59"/>
      <c r="G952" s="59"/>
      <c r="H952" s="59"/>
      <c r="I952" s="59"/>
    </row>
    <row r="953" spans="2:9" ht="12.75">
      <c r="B953" s="59"/>
      <c r="C953" s="59"/>
      <c r="D953" s="59"/>
      <c r="E953" s="59"/>
      <c r="F953" s="59"/>
      <c r="G953" s="59"/>
      <c r="H953" s="59"/>
      <c r="I953" s="59"/>
    </row>
    <row r="954" spans="2:9" ht="12.75">
      <c r="B954" s="59"/>
      <c r="C954" s="59"/>
      <c r="D954" s="59"/>
      <c r="E954" s="59"/>
      <c r="F954" s="59"/>
      <c r="G954" s="59"/>
      <c r="H954" s="59"/>
      <c r="I954" s="59"/>
    </row>
    <row r="955" spans="2:9" ht="12.75">
      <c r="B955" s="59"/>
      <c r="C955" s="59"/>
      <c r="D955" s="59"/>
      <c r="E955" s="59"/>
      <c r="F955" s="59"/>
      <c r="G955" s="59"/>
      <c r="H955" s="59"/>
      <c r="I955" s="59"/>
    </row>
    <row r="956" spans="2:9" ht="12.75">
      <c r="B956" s="59"/>
      <c r="C956" s="59"/>
      <c r="D956" s="59"/>
      <c r="E956" s="59"/>
      <c r="F956" s="59"/>
      <c r="G956" s="59"/>
      <c r="H956" s="59"/>
      <c r="I956" s="59"/>
    </row>
    <row r="957" spans="2:9" ht="12.75">
      <c r="B957" s="59"/>
      <c r="C957" s="59"/>
      <c r="D957" s="59"/>
      <c r="E957" s="59"/>
      <c r="F957" s="59"/>
      <c r="G957" s="59"/>
      <c r="H957" s="59"/>
      <c r="I957" s="59"/>
    </row>
    <row r="958" spans="2:9" ht="12.75">
      <c r="B958" s="59"/>
      <c r="C958" s="59"/>
      <c r="D958" s="59"/>
      <c r="E958" s="59"/>
      <c r="F958" s="59"/>
      <c r="G958" s="59"/>
      <c r="H958" s="59"/>
      <c r="I958" s="59"/>
    </row>
    <row r="959" spans="2:9" ht="12.75">
      <c r="B959" s="59"/>
      <c r="C959" s="59"/>
      <c r="D959" s="59"/>
      <c r="E959" s="59"/>
      <c r="F959" s="59"/>
      <c r="G959" s="59"/>
      <c r="H959" s="59"/>
      <c r="I959" s="59"/>
    </row>
    <row r="960" spans="2:9" ht="12.75">
      <c r="B960" s="59"/>
      <c r="C960" s="59"/>
      <c r="D960" s="59"/>
      <c r="E960" s="59"/>
      <c r="F960" s="59"/>
      <c r="G960" s="59"/>
      <c r="H960" s="59"/>
      <c r="I960" s="59"/>
    </row>
    <row r="961" spans="2:9" ht="12.75">
      <c r="B961" s="59"/>
      <c r="C961" s="59"/>
      <c r="D961" s="59"/>
      <c r="E961" s="59"/>
      <c r="F961" s="59"/>
      <c r="G961" s="59"/>
      <c r="H961" s="59"/>
      <c r="I961" s="59"/>
    </row>
    <row r="962" spans="2:9" ht="12.75">
      <c r="B962" s="59"/>
      <c r="C962" s="59"/>
      <c r="D962" s="59"/>
      <c r="E962" s="59"/>
      <c r="F962" s="59"/>
      <c r="G962" s="59"/>
      <c r="H962" s="59"/>
      <c r="I962" s="59"/>
    </row>
    <row r="963" spans="2:9" ht="12.75">
      <c r="B963" s="59"/>
      <c r="C963" s="59"/>
      <c r="D963" s="59"/>
      <c r="E963" s="59"/>
      <c r="F963" s="59"/>
      <c r="G963" s="59"/>
      <c r="H963" s="59"/>
      <c r="I963" s="59"/>
    </row>
    <row r="964" spans="2:9" ht="12.75">
      <c r="B964" s="59"/>
      <c r="C964" s="59"/>
      <c r="D964" s="59"/>
      <c r="E964" s="59"/>
      <c r="F964" s="59"/>
      <c r="G964" s="59"/>
      <c r="H964" s="59"/>
      <c r="I964" s="59"/>
    </row>
    <row r="965" spans="2:9" ht="12.75">
      <c r="B965" s="59"/>
      <c r="C965" s="59"/>
      <c r="D965" s="59"/>
      <c r="E965" s="59"/>
      <c r="F965" s="59"/>
      <c r="G965" s="59"/>
      <c r="H965" s="59"/>
      <c r="I965" s="59"/>
    </row>
    <row r="966" spans="2:9" ht="12.75">
      <c r="B966" s="59"/>
      <c r="C966" s="59"/>
      <c r="D966" s="59"/>
      <c r="E966" s="59"/>
      <c r="F966" s="59"/>
      <c r="G966" s="59"/>
      <c r="H966" s="59"/>
      <c r="I966" s="59"/>
    </row>
    <row r="967" spans="2:9" ht="12.75">
      <c r="B967" s="59"/>
      <c r="C967" s="59"/>
      <c r="D967" s="59"/>
      <c r="E967" s="59"/>
      <c r="F967" s="59"/>
      <c r="G967" s="59"/>
      <c r="H967" s="59"/>
      <c r="I967" s="59"/>
    </row>
    <row r="968" spans="2:9" ht="12.75">
      <c r="B968" s="59"/>
      <c r="C968" s="59"/>
      <c r="D968" s="59"/>
      <c r="E968" s="59"/>
      <c r="F968" s="59"/>
      <c r="G968" s="59"/>
      <c r="H968" s="59"/>
      <c r="I968" s="59"/>
    </row>
    <row r="969" spans="2:9" ht="12.75">
      <c r="B969" s="59"/>
      <c r="C969" s="59"/>
      <c r="D969" s="59"/>
      <c r="E969" s="59"/>
      <c r="F969" s="59"/>
      <c r="G969" s="59"/>
      <c r="H969" s="59"/>
      <c r="I969" s="59"/>
    </row>
    <row r="970" spans="2:9" ht="12.75">
      <c r="B970" s="59"/>
      <c r="C970" s="59"/>
      <c r="D970" s="59"/>
      <c r="E970" s="59"/>
      <c r="F970" s="59"/>
      <c r="G970" s="59"/>
      <c r="H970" s="59"/>
      <c r="I970" s="59"/>
    </row>
    <row r="971" spans="2:9" ht="12.75">
      <c r="B971" s="59"/>
      <c r="C971" s="59"/>
      <c r="D971" s="59"/>
      <c r="E971" s="59"/>
      <c r="F971" s="59"/>
      <c r="G971" s="59"/>
      <c r="H971" s="59"/>
      <c r="I971" s="59"/>
    </row>
    <row r="972" spans="2:9" ht="12.75">
      <c r="B972" s="59"/>
      <c r="C972" s="59"/>
      <c r="D972" s="59"/>
      <c r="E972" s="59"/>
      <c r="F972" s="59"/>
      <c r="G972" s="59"/>
      <c r="H972" s="59"/>
      <c r="I972" s="59"/>
    </row>
    <row r="973" spans="2:9" ht="12.75">
      <c r="B973" s="59"/>
      <c r="C973" s="59"/>
      <c r="D973" s="59"/>
      <c r="E973" s="59"/>
      <c r="F973" s="59"/>
      <c r="G973" s="59"/>
      <c r="H973" s="59"/>
      <c r="I973" s="59"/>
    </row>
    <row r="974" spans="2:9" ht="12.75">
      <c r="B974" s="59"/>
      <c r="C974" s="59"/>
      <c r="D974" s="59"/>
      <c r="E974" s="59"/>
      <c r="F974" s="59"/>
      <c r="G974" s="59"/>
      <c r="H974" s="59"/>
      <c r="I974" s="59"/>
    </row>
    <row r="975" spans="2:9" ht="12.75">
      <c r="B975" s="59"/>
      <c r="C975" s="59"/>
      <c r="D975" s="59"/>
      <c r="E975" s="59"/>
      <c r="F975" s="59"/>
      <c r="G975" s="59"/>
      <c r="H975" s="59"/>
      <c r="I975" s="59"/>
    </row>
    <row r="976" spans="2:9" ht="12.75">
      <c r="B976" s="59"/>
      <c r="C976" s="59"/>
      <c r="D976" s="59"/>
      <c r="E976" s="59"/>
      <c r="F976" s="59"/>
      <c r="G976" s="59"/>
      <c r="H976" s="59"/>
      <c r="I976" s="59"/>
    </row>
    <row r="977" spans="2:9" ht="12.75">
      <c r="B977" s="59"/>
      <c r="C977" s="59"/>
      <c r="D977" s="59"/>
      <c r="E977" s="59"/>
      <c r="F977" s="59"/>
      <c r="G977" s="59"/>
      <c r="H977" s="59"/>
      <c r="I977" s="59"/>
    </row>
    <row r="978" spans="2:9" ht="12.75">
      <c r="B978" s="59"/>
      <c r="C978" s="59"/>
      <c r="D978" s="59"/>
      <c r="E978" s="59"/>
      <c r="F978" s="59"/>
      <c r="G978" s="59"/>
      <c r="H978" s="59"/>
      <c r="I978" s="59"/>
    </row>
    <row r="979" spans="2:9" ht="12.75">
      <c r="B979" s="59"/>
      <c r="C979" s="59"/>
      <c r="D979" s="59"/>
      <c r="E979" s="59"/>
      <c r="F979" s="59"/>
      <c r="G979" s="59"/>
      <c r="H979" s="59"/>
      <c r="I979" s="59"/>
    </row>
    <row r="980" spans="2:9" ht="12.75">
      <c r="B980" s="59"/>
      <c r="C980" s="59"/>
      <c r="D980" s="59"/>
      <c r="E980" s="59"/>
      <c r="F980" s="59"/>
      <c r="G980" s="59"/>
      <c r="H980" s="59"/>
      <c r="I980" s="59"/>
    </row>
    <row r="981" spans="2:9" ht="12.75">
      <c r="B981" s="59"/>
      <c r="C981" s="59"/>
      <c r="D981" s="59"/>
      <c r="E981" s="59"/>
      <c r="F981" s="59"/>
      <c r="G981" s="59"/>
      <c r="H981" s="59"/>
      <c r="I981" s="59"/>
    </row>
    <row r="982" spans="2:9" ht="12.75">
      <c r="B982" s="59"/>
      <c r="C982" s="59"/>
      <c r="D982" s="59"/>
      <c r="E982" s="59"/>
      <c r="F982" s="59"/>
      <c r="G982" s="59"/>
      <c r="H982" s="59"/>
      <c r="I982" s="59"/>
    </row>
    <row r="983" spans="2:9" ht="12.75">
      <c r="B983" s="59"/>
      <c r="C983" s="59"/>
      <c r="D983" s="59"/>
      <c r="E983" s="59"/>
      <c r="F983" s="59"/>
      <c r="G983" s="59"/>
      <c r="H983" s="59"/>
      <c r="I983" s="59"/>
    </row>
    <row r="984" spans="2:9" ht="12.75">
      <c r="B984" s="59"/>
      <c r="C984" s="59"/>
      <c r="D984" s="59"/>
      <c r="E984" s="59"/>
      <c r="F984" s="59"/>
      <c r="G984" s="59"/>
      <c r="H984" s="59"/>
      <c r="I984" s="59"/>
    </row>
    <row r="985" spans="2:9" ht="12.75">
      <c r="B985" s="59"/>
      <c r="C985" s="59"/>
      <c r="D985" s="59"/>
      <c r="E985" s="59"/>
      <c r="F985" s="59"/>
      <c r="G985" s="59"/>
      <c r="H985" s="59"/>
      <c r="I985" s="59"/>
    </row>
    <row r="986" spans="2:9" ht="12.75">
      <c r="B986" s="59"/>
      <c r="C986" s="59"/>
      <c r="D986" s="59"/>
      <c r="E986" s="59"/>
      <c r="F986" s="59"/>
      <c r="G986" s="59"/>
      <c r="H986" s="59"/>
      <c r="I986" s="59"/>
    </row>
    <row r="987" spans="2:9" ht="12.75">
      <c r="B987" s="59"/>
      <c r="C987" s="59"/>
      <c r="D987" s="59"/>
      <c r="E987" s="59"/>
      <c r="F987" s="59"/>
      <c r="G987" s="59"/>
      <c r="H987" s="59"/>
      <c r="I987" s="59"/>
    </row>
    <row r="988" spans="2:9" ht="12.75">
      <c r="B988" s="59"/>
      <c r="C988" s="59"/>
      <c r="D988" s="59"/>
      <c r="E988" s="59"/>
      <c r="F988" s="59"/>
      <c r="G988" s="59"/>
      <c r="H988" s="59"/>
      <c r="I988" s="59"/>
    </row>
    <row r="989" spans="2:9" ht="12.75">
      <c r="B989" s="59"/>
      <c r="C989" s="59"/>
      <c r="D989" s="59"/>
      <c r="E989" s="59"/>
      <c r="F989" s="59"/>
      <c r="G989" s="59"/>
      <c r="H989" s="59"/>
      <c r="I989" s="59"/>
    </row>
    <row r="990" spans="2:9" ht="12.75">
      <c r="B990" s="59"/>
      <c r="C990" s="59"/>
      <c r="D990" s="59"/>
      <c r="E990" s="59"/>
      <c r="F990" s="59"/>
      <c r="G990" s="59"/>
      <c r="H990" s="59"/>
      <c r="I990" s="59"/>
    </row>
    <row r="991" spans="2:9" ht="12.75">
      <c r="B991" s="59"/>
      <c r="C991" s="59"/>
      <c r="D991" s="59"/>
      <c r="E991" s="59"/>
      <c r="F991" s="59"/>
      <c r="G991" s="59"/>
      <c r="H991" s="59"/>
      <c r="I991" s="59"/>
    </row>
    <row r="992" spans="2:9" ht="12.75">
      <c r="B992" s="59"/>
      <c r="C992" s="59"/>
      <c r="D992" s="59"/>
      <c r="E992" s="59"/>
      <c r="F992" s="59"/>
      <c r="G992" s="59"/>
      <c r="H992" s="59"/>
      <c r="I992" s="59"/>
    </row>
    <row r="993" spans="2:9" ht="12.75">
      <c r="B993" s="59"/>
      <c r="C993" s="59"/>
      <c r="D993" s="59"/>
      <c r="E993" s="59"/>
      <c r="F993" s="59"/>
      <c r="G993" s="59"/>
      <c r="H993" s="59"/>
      <c r="I993" s="59"/>
    </row>
    <row r="994" spans="2:9" ht="12.75">
      <c r="B994" s="59"/>
      <c r="C994" s="59"/>
      <c r="D994" s="59"/>
      <c r="E994" s="59"/>
      <c r="F994" s="59"/>
      <c r="G994" s="59"/>
      <c r="H994" s="59"/>
      <c r="I994" s="59"/>
    </row>
    <row r="995" spans="2:9" ht="12.75">
      <c r="B995" s="59"/>
      <c r="C995" s="59"/>
      <c r="D995" s="59"/>
      <c r="E995" s="59"/>
      <c r="F995" s="59"/>
      <c r="G995" s="59"/>
      <c r="H995" s="59"/>
      <c r="I995" s="59"/>
    </row>
    <row r="996" spans="2:9" ht="12.75">
      <c r="B996" s="59"/>
      <c r="C996" s="59"/>
      <c r="D996" s="59"/>
      <c r="E996" s="59"/>
      <c r="F996" s="59"/>
      <c r="G996" s="59"/>
      <c r="H996" s="59"/>
      <c r="I996" s="59"/>
    </row>
  </sheetData>
  <mergeCells count="2">
    <mergeCell ref="B2:I2"/>
    <mergeCell ref="C4:F4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ARANCEL</vt:lpstr>
      <vt:lpstr>CONSULTA ENFERMERIA</vt:lpstr>
      <vt:lpstr>Hoja 4</vt:lpstr>
      <vt:lpstr>Hoja 5</vt:lpstr>
      <vt:lpstr>CONSULTA EMERGENCIA</vt:lpstr>
      <vt:lpstr>CONSULTA GENERAL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2214075 - JOSE AUGUSTO REYES SAMAYOA</cp:lastModifiedBy>
  <dcterms:modified xsi:type="dcterms:W3CDTF">2025-10-15T18:04:44Z</dcterms:modified>
</cp:coreProperties>
</file>