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ropbox/Omat_Tiedostot/Energy_Fact_Sheets/LCOE_Play/NPV_Play/Viite_Package/"/>
    </mc:Choice>
  </mc:AlternateContent>
  <xr:revisionPtr revIDLastSave="0" documentId="13_ncr:1_{1A7731F6-A617-5A4A-9493-54B4EDD2DEAD}" xr6:coauthVersionLast="36" xr6:coauthVersionMax="36" xr10:uidLastSave="{00000000-0000-0000-0000-000000000000}"/>
  <bookViews>
    <workbookView xWindow="560" yWindow="460" windowWidth="27600" windowHeight="13900" tabRatio="993" activeTab="4" xr2:uid="{00000000-000D-0000-FFFF-FFFF00000000}"/>
  </bookViews>
  <sheets>
    <sheet name="Parameters ATB" sheetId="1" r:id="rId1"/>
    <sheet name="Parameters Fraunhofer 2018" sheetId="2" r:id="rId2"/>
    <sheet name="Parameters LUT" sheetId="3" r:id="rId3"/>
    <sheet name="Parameters Narrow" sheetId="4" r:id="rId4"/>
    <sheet name="Danish data" sheetId="6" r:id="rId5"/>
    <sheet name="Danish Coal refurbish" sheetId="8" r:id="rId6"/>
    <sheet name="LUT coal extend" sheetId="9" r:id="rId7"/>
    <sheet name="EIA" sheetId="10" r:id="rId8"/>
    <sheet name="EIA existing" sheetId="11" r:id="rId9"/>
    <sheet name="References" sheetId="5" r:id="rId1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1" l="1"/>
  <c r="J22" i="11"/>
  <c r="I22" i="11"/>
  <c r="H22" i="11"/>
  <c r="K21" i="11"/>
  <c r="J21" i="11"/>
  <c r="I21" i="11"/>
  <c r="H21" i="11"/>
  <c r="K20" i="11"/>
  <c r="K17" i="11" s="1"/>
  <c r="J20" i="11"/>
  <c r="I20" i="11"/>
  <c r="I17" i="11" s="1"/>
  <c r="H20" i="11"/>
  <c r="K18" i="11"/>
  <c r="J18" i="11"/>
  <c r="I18" i="11"/>
  <c r="H18" i="11"/>
  <c r="G18" i="11"/>
  <c r="F18" i="11"/>
  <c r="D18" i="11"/>
  <c r="J17" i="11"/>
  <c r="H17" i="11"/>
  <c r="G17" i="11"/>
  <c r="F17" i="11"/>
  <c r="D17" i="11"/>
  <c r="I16" i="11"/>
  <c r="H16" i="11"/>
  <c r="F16" i="11"/>
  <c r="D16" i="11"/>
  <c r="G15" i="11"/>
  <c r="G14" i="11"/>
  <c r="F14" i="11"/>
  <c r="E14" i="11"/>
  <c r="D14" i="11"/>
  <c r="C14" i="11"/>
  <c r="F4" i="11"/>
  <c r="E4" i="11"/>
  <c r="D4" i="11"/>
  <c r="C4" i="11"/>
  <c r="F3" i="11"/>
  <c r="E3" i="11"/>
  <c r="D3" i="11"/>
  <c r="C3" i="11"/>
  <c r="F2" i="11"/>
  <c r="E2" i="11"/>
  <c r="D2" i="11"/>
  <c r="C2" i="11"/>
  <c r="K4" i="10" l="1"/>
  <c r="K3" i="10"/>
  <c r="K2" i="10"/>
  <c r="K22" i="10"/>
  <c r="K21" i="10"/>
  <c r="K20" i="10"/>
  <c r="K17" i="10" s="1"/>
  <c r="K18" i="10"/>
  <c r="K4" i="3" l="1"/>
  <c r="K3" i="3"/>
  <c r="K2" i="3"/>
  <c r="K22" i="3"/>
  <c r="K21" i="3"/>
  <c r="K20" i="3"/>
  <c r="K17" i="3" s="1"/>
  <c r="K18" i="3"/>
  <c r="I21" i="10" l="1"/>
  <c r="I20" i="10"/>
  <c r="J21" i="10"/>
  <c r="J20" i="10"/>
  <c r="H21" i="10"/>
  <c r="H20" i="10"/>
  <c r="K1" i="4"/>
  <c r="J4" i="4"/>
  <c r="J3" i="4"/>
  <c r="J2" i="4"/>
  <c r="J21" i="4"/>
  <c r="H21" i="4"/>
  <c r="I21" i="4" s="1"/>
  <c r="J20" i="4"/>
  <c r="H20" i="4"/>
  <c r="I20" i="4" s="1"/>
  <c r="J21" i="6"/>
  <c r="H21" i="6"/>
  <c r="I21" i="6" s="1"/>
  <c r="J20" i="6"/>
  <c r="H20" i="6"/>
  <c r="I20" i="6" s="1"/>
  <c r="J21" i="8"/>
  <c r="H21" i="8"/>
  <c r="I21" i="8" s="1"/>
  <c r="J20" i="8"/>
  <c r="H20" i="8"/>
  <c r="I20" i="8" s="1"/>
  <c r="J21" i="9"/>
  <c r="H21" i="9"/>
  <c r="I21" i="9" s="1"/>
  <c r="J20" i="9"/>
  <c r="H20" i="9"/>
  <c r="I20" i="9" s="1"/>
  <c r="H21" i="3"/>
  <c r="H20" i="3"/>
  <c r="J21" i="3"/>
  <c r="J20" i="3"/>
  <c r="I4" i="10" l="1"/>
  <c r="I3" i="10"/>
  <c r="I2" i="10"/>
  <c r="H2" i="10"/>
  <c r="H4" i="10"/>
  <c r="H3" i="10"/>
  <c r="F14" i="10"/>
  <c r="E14" i="10"/>
  <c r="D14" i="10"/>
  <c r="E2" i="10"/>
  <c r="E4" i="10"/>
  <c r="E3" i="10"/>
  <c r="D4" i="10"/>
  <c r="D3" i="10"/>
  <c r="D2" i="10"/>
  <c r="C14" i="10"/>
  <c r="C3" i="10"/>
  <c r="C4" i="10"/>
  <c r="C2" i="10"/>
  <c r="G14" i="10"/>
  <c r="G15" i="10"/>
  <c r="G4" i="10"/>
  <c r="G3" i="10"/>
  <c r="G2" i="10"/>
  <c r="J3" i="10"/>
  <c r="J22" i="10"/>
  <c r="I22" i="10"/>
  <c r="H22" i="10"/>
  <c r="I18" i="10"/>
  <c r="J17" i="10"/>
  <c r="I17" i="10"/>
  <c r="J18" i="10"/>
  <c r="H18" i="10"/>
  <c r="G18" i="10"/>
  <c r="F18" i="10"/>
  <c r="D18" i="10"/>
  <c r="H17" i="10"/>
  <c r="G17" i="10"/>
  <c r="F17" i="10"/>
  <c r="D17" i="10"/>
  <c r="I16" i="10"/>
  <c r="H16" i="10"/>
  <c r="F16" i="10"/>
  <c r="D16" i="10"/>
  <c r="J4" i="10"/>
  <c r="F4" i="10"/>
  <c r="F3" i="10"/>
  <c r="J2" i="10"/>
  <c r="F2" i="10"/>
  <c r="J22" i="9"/>
  <c r="J18" i="9"/>
  <c r="J17" i="9"/>
  <c r="J4" i="9"/>
  <c r="J2" i="9"/>
  <c r="I22" i="9"/>
  <c r="H22" i="9"/>
  <c r="H18" i="9"/>
  <c r="G21" i="9"/>
  <c r="G20" i="9"/>
  <c r="G18" i="9"/>
  <c r="F18" i="9"/>
  <c r="D18" i="9"/>
  <c r="I17" i="9"/>
  <c r="H17" i="9"/>
  <c r="G17" i="9"/>
  <c r="F17" i="9"/>
  <c r="D17" i="9"/>
  <c r="I16" i="9"/>
  <c r="H16" i="9"/>
  <c r="F16" i="9"/>
  <c r="D16" i="9"/>
  <c r="G15" i="9"/>
  <c r="D15" i="9"/>
  <c r="I4" i="9"/>
  <c r="H4" i="9"/>
  <c r="F4" i="9"/>
  <c r="E4" i="9"/>
  <c r="D4" i="9"/>
  <c r="C4" i="9"/>
  <c r="I3" i="9"/>
  <c r="H3" i="9"/>
  <c r="F3" i="9"/>
  <c r="I2" i="9"/>
  <c r="H2" i="9"/>
  <c r="F2" i="9"/>
  <c r="E2" i="9"/>
  <c r="D2" i="9"/>
  <c r="C2" i="9"/>
  <c r="I18" i="9" l="1"/>
  <c r="J22" i="8"/>
  <c r="J4" i="8"/>
  <c r="J2" i="8"/>
  <c r="I22" i="8"/>
  <c r="H22" i="8"/>
  <c r="I18" i="8"/>
  <c r="G21" i="8"/>
  <c r="I17" i="8"/>
  <c r="H17" i="8"/>
  <c r="G20" i="8"/>
  <c r="J18" i="8"/>
  <c r="H18" i="8"/>
  <c r="G18" i="8"/>
  <c r="F18" i="8"/>
  <c r="D18" i="8"/>
  <c r="J17" i="8"/>
  <c r="G17" i="8"/>
  <c r="F17" i="8"/>
  <c r="D17" i="8"/>
  <c r="I16" i="8"/>
  <c r="H16" i="8"/>
  <c r="F16" i="8"/>
  <c r="D16" i="8"/>
  <c r="G15" i="8"/>
  <c r="I4" i="8"/>
  <c r="H4" i="8"/>
  <c r="F4" i="8"/>
  <c r="E4" i="8"/>
  <c r="D4" i="8"/>
  <c r="I3" i="8"/>
  <c r="H3" i="8"/>
  <c r="D3" i="8"/>
  <c r="I2" i="8"/>
  <c r="H2" i="8"/>
  <c r="F2" i="8"/>
  <c r="E2" i="8"/>
  <c r="D2" i="8"/>
  <c r="C2" i="8"/>
  <c r="E4" i="6" l="1"/>
  <c r="E2" i="6"/>
  <c r="F2" i="6"/>
  <c r="F4" i="6"/>
  <c r="D2" i="6" l="1"/>
  <c r="D4" i="6"/>
  <c r="D3" i="6"/>
  <c r="C2" i="6"/>
  <c r="H4" i="6"/>
  <c r="H3" i="6"/>
  <c r="I4" i="6"/>
  <c r="I2" i="6"/>
  <c r="I3" i="6"/>
  <c r="J4" i="6"/>
  <c r="J2" i="6"/>
  <c r="J22" i="6"/>
  <c r="I22" i="6"/>
  <c r="H22" i="6"/>
  <c r="G21" i="6"/>
  <c r="J17" i="6"/>
  <c r="I17" i="6"/>
  <c r="G20" i="6"/>
  <c r="J18" i="6"/>
  <c r="I18" i="6"/>
  <c r="H18" i="6"/>
  <c r="G18" i="6"/>
  <c r="F18" i="6"/>
  <c r="D18" i="6"/>
  <c r="H17" i="6"/>
  <c r="G17" i="6"/>
  <c r="F17" i="6"/>
  <c r="D17" i="6"/>
  <c r="I16" i="6"/>
  <c r="H16" i="6"/>
  <c r="F16" i="6"/>
  <c r="D16" i="6"/>
  <c r="G15" i="6"/>
  <c r="H2" i="6"/>
  <c r="J22" i="4"/>
  <c r="I22" i="4"/>
  <c r="H22" i="4"/>
  <c r="I18" i="4"/>
  <c r="G21" i="4"/>
  <c r="I17" i="4"/>
  <c r="H17" i="4"/>
  <c r="G20" i="4"/>
  <c r="J18" i="4"/>
  <c r="H18" i="4"/>
  <c r="G18" i="4"/>
  <c r="F18" i="4"/>
  <c r="D18" i="4"/>
  <c r="J17" i="4"/>
  <c r="G17" i="4"/>
  <c r="F17" i="4"/>
  <c r="D17" i="4"/>
  <c r="I16" i="4"/>
  <c r="H16" i="4"/>
  <c r="F16" i="4"/>
  <c r="D16" i="4"/>
  <c r="G15" i="4"/>
  <c r="D15" i="4"/>
  <c r="I4" i="4"/>
  <c r="H4" i="4"/>
  <c r="F4" i="4"/>
  <c r="E4" i="4"/>
  <c r="I3" i="4"/>
  <c r="H3" i="4"/>
  <c r="F3" i="4"/>
  <c r="I2" i="4"/>
  <c r="H2" i="4"/>
  <c r="F2" i="4"/>
  <c r="E2" i="4"/>
  <c r="D2" i="4"/>
  <c r="J22" i="3"/>
  <c r="I22" i="3"/>
  <c r="H22" i="3"/>
  <c r="I21" i="3"/>
  <c r="G21" i="3"/>
  <c r="I20" i="3"/>
  <c r="G20" i="3"/>
  <c r="J18" i="3"/>
  <c r="I18" i="3"/>
  <c r="H18" i="3"/>
  <c r="G18" i="3"/>
  <c r="F18" i="3"/>
  <c r="D18" i="3"/>
  <c r="J17" i="3"/>
  <c r="I17" i="3"/>
  <c r="H17" i="3"/>
  <c r="G17" i="3"/>
  <c r="F17" i="3"/>
  <c r="D17" i="3"/>
  <c r="I16" i="3"/>
  <c r="H16" i="3"/>
  <c r="F16" i="3"/>
  <c r="D16" i="3"/>
  <c r="G15" i="3"/>
  <c r="D15" i="3"/>
  <c r="J4" i="3"/>
  <c r="I4" i="3"/>
  <c r="H4" i="3"/>
  <c r="F4" i="3"/>
  <c r="E4" i="3"/>
  <c r="D4" i="3"/>
  <c r="C4" i="3"/>
  <c r="I3" i="3"/>
  <c r="H3" i="3"/>
  <c r="F3" i="3"/>
  <c r="J2" i="3"/>
  <c r="I2" i="3"/>
  <c r="H2" i="3"/>
  <c r="F2" i="3"/>
  <c r="E2" i="3"/>
  <c r="D2" i="3"/>
  <c r="C2" i="3"/>
  <c r="J22" i="2"/>
  <c r="I22" i="2"/>
  <c r="H22" i="2"/>
  <c r="I21" i="2"/>
  <c r="H21" i="2"/>
  <c r="I20" i="2"/>
  <c r="H20" i="2"/>
  <c r="J18" i="2"/>
  <c r="J21" i="2" s="1"/>
  <c r="G18" i="2"/>
  <c r="F18" i="2"/>
  <c r="D18" i="2"/>
  <c r="J17" i="2"/>
  <c r="J20" i="2" s="1"/>
  <c r="G17" i="2"/>
  <c r="G21" i="2" s="1"/>
  <c r="F17" i="2"/>
  <c r="D17" i="2"/>
  <c r="I16" i="2"/>
  <c r="H16" i="2"/>
  <c r="F16" i="2"/>
  <c r="D16" i="2"/>
  <c r="G15" i="2"/>
  <c r="F15" i="2"/>
  <c r="D15" i="2"/>
  <c r="J14" i="2"/>
  <c r="I14" i="2"/>
  <c r="H14" i="2"/>
  <c r="G14" i="2"/>
  <c r="F14" i="2"/>
  <c r="E14" i="2"/>
  <c r="D14" i="2"/>
  <c r="C14" i="2"/>
  <c r="J4" i="2"/>
  <c r="I4" i="2"/>
  <c r="H4" i="2"/>
  <c r="F4" i="2"/>
  <c r="E4" i="2"/>
  <c r="D4" i="2"/>
  <c r="C4" i="2"/>
  <c r="I3" i="2"/>
  <c r="H3" i="2"/>
  <c r="F3" i="2"/>
  <c r="E3" i="2"/>
  <c r="C3" i="2"/>
  <c r="J2" i="2"/>
  <c r="I2" i="2"/>
  <c r="H2" i="2"/>
  <c r="F2" i="2"/>
  <c r="E2" i="2"/>
  <c r="D2" i="2"/>
  <c r="C2" i="2"/>
  <c r="J22" i="1"/>
  <c r="I22" i="1"/>
  <c r="H22" i="1"/>
  <c r="J21" i="1"/>
  <c r="I21" i="1"/>
  <c r="H21" i="1" s="1"/>
  <c r="J20" i="1"/>
  <c r="I20" i="1"/>
  <c r="H20" i="1" s="1"/>
  <c r="J18" i="1"/>
  <c r="I18" i="1"/>
  <c r="H18" i="1"/>
  <c r="G18" i="1"/>
  <c r="F18" i="1"/>
  <c r="D18" i="1"/>
  <c r="J17" i="1"/>
  <c r="I17" i="1"/>
  <c r="H17" i="1"/>
  <c r="G17" i="1"/>
  <c r="G21" i="1" s="1"/>
  <c r="F17" i="1"/>
  <c r="D17" i="1"/>
  <c r="I16" i="1"/>
  <c r="H16" i="1"/>
  <c r="F16" i="1"/>
  <c r="D16" i="1"/>
  <c r="J15" i="1"/>
  <c r="I15" i="1"/>
  <c r="H15" i="1"/>
  <c r="G15" i="1"/>
  <c r="F15" i="1"/>
  <c r="D15" i="1"/>
  <c r="J14" i="1"/>
  <c r="I14" i="1"/>
  <c r="H14" i="1"/>
  <c r="G14" i="1"/>
  <c r="F14" i="1"/>
  <c r="E14" i="1"/>
  <c r="D14" i="1"/>
  <c r="C14" i="1"/>
  <c r="J4" i="1"/>
  <c r="I4" i="1"/>
  <c r="H4" i="1"/>
  <c r="F4" i="1"/>
  <c r="E4" i="1"/>
  <c r="D4" i="1"/>
  <c r="C4" i="1"/>
  <c r="I3" i="1"/>
  <c r="H3" i="1"/>
  <c r="F3" i="1"/>
  <c r="E3" i="1"/>
  <c r="C3" i="1"/>
  <c r="J2" i="1"/>
  <c r="I2" i="1"/>
  <c r="H2" i="1"/>
  <c r="F2" i="1"/>
  <c r="E2" i="1"/>
  <c r="D2" i="1"/>
  <c r="C2" i="1"/>
  <c r="G20" i="2" l="1"/>
  <c r="G20" i="1"/>
</calcChain>
</file>

<file path=xl/sharedStrings.xml><?xml version="1.0" encoding="utf-8"?>
<sst xmlns="http://schemas.openxmlformats.org/spreadsheetml/2006/main" count="430" uniqueCount="64">
  <si>
    <t>Mostly USA parameters</t>
  </si>
  <si>
    <t>Units</t>
  </si>
  <si>
    <t>Wind onshore</t>
  </si>
  <si>
    <t>Wind offshore</t>
  </si>
  <si>
    <t>PV</t>
  </si>
  <si>
    <t>PV rooftop</t>
  </si>
  <si>
    <t>Nuclear</t>
  </si>
  <si>
    <t>Natural gas CCGT</t>
  </si>
  <si>
    <t>Natural gas OCGT</t>
  </si>
  <si>
    <t>Coal</t>
  </si>
  <si>
    <t>CAPEX min</t>
  </si>
  <si>
    <t>€/kW overnight cost so no interest in construction</t>
  </si>
  <si>
    <t>CAPEX typical</t>
  </si>
  <si>
    <t>€/kW</t>
  </si>
  <si>
    <t>CAPEX max</t>
  </si>
  <si>
    <t>lifetime</t>
  </si>
  <si>
    <t>years</t>
  </si>
  <si>
    <t>Construction time min</t>
  </si>
  <si>
    <t>Construction time typical</t>
  </si>
  <si>
    <t>Construction time max</t>
  </si>
  <si>
    <t>Discount rate min</t>
  </si>
  <si>
    <t>Discount rate max</t>
  </si>
  <si>
    <t>Capacity factor min</t>
  </si>
  <si>
    <t>Capacity factor typical</t>
  </si>
  <si>
    <t>Capacity factor max</t>
  </si>
  <si>
    <t>FIXED O&amp;M</t>
  </si>
  <si>
    <t>€/(kw*a)</t>
  </si>
  <si>
    <t>Variable O&amp;M</t>
  </si>
  <si>
    <t>€/MWh</t>
  </si>
  <si>
    <t>Heat rate</t>
  </si>
  <si>
    <t>MMBtu/MWh</t>
  </si>
  <si>
    <t>Fuel cost min</t>
  </si>
  <si>
    <t>€/MMBTU</t>
  </si>
  <si>
    <t>Fuel cost max</t>
  </si>
  <si>
    <t>Exchange dollar euro</t>
  </si>
  <si>
    <t>Fuel cost min MWh</t>
  </si>
  <si>
    <t>Fuel cost max MWh</t>
  </si>
  <si>
    <t>CO2 intensity</t>
  </si>
  <si>
    <t>tons CO2/MWh</t>
  </si>
  <si>
    <t>Mostly Fraunhofer parameters</t>
  </si>
  <si>
    <t>€/kwh</t>
  </si>
  <si>
    <t>Exchange euro to euro</t>
  </si>
  <si>
    <t>Roughly LUT parameters</t>
  </si>
  <si>
    <t>Fuel cost min primary energy</t>
  </si>
  <si>
    <t>Fuel cost max primary energy</t>
  </si>
  <si>
    <t>Playground with much less uncertainty</t>
  </si>
  <si>
    <t>References</t>
  </si>
  <si>
    <t>Annual  technology baseline</t>
  </si>
  <si>
    <t>https://atb.nrel.gov/</t>
  </si>
  <si>
    <t>LEVELIZED COST OF ELECTRICITY
RENEWABLE ENERGY TECHNOLOGIES: Fraunhofer</t>
  </si>
  <si>
    <t>https://www.ise.fraunhofer.de/content/dam/ise/en/documents/publications/studies/EN2018_Fraunhofer-ISE_LCOE_Renewable_Energy_Technologies.pdf</t>
  </si>
  <si>
    <t>Sähkön tuotantokustannusvertailu 2017: Vakkilainen ja Kivistö</t>
  </si>
  <si>
    <t>https://lutpub.lut.fi/handle/10024/143861</t>
  </si>
  <si>
    <t>Danish energy agency</t>
  </si>
  <si>
    <t>https://ens.dk/en/our-services/projections-and-models/technology-data/technology-data-generation-electricity-and</t>
  </si>
  <si>
    <t>EIA?</t>
  </si>
  <si>
    <t>Danish offshore wind farm capacity factors</t>
  </si>
  <si>
    <t>http://energynumbers.info/capacity-factors-at-danish-offshore-wind-farms</t>
  </si>
  <si>
    <t>Roughly DEA parameters…offshore wind CF from elsewhere for sanity</t>
  </si>
  <si>
    <t>Roughly DEA parameters…offshore wind CF from elsewhere for sanity. Refurnish coal plant</t>
  </si>
  <si>
    <t>Coal extension</t>
  </si>
  <si>
    <t>https://www.eia.gov/outlooks/aeo/assumptions/pdf/electricity.pdf</t>
  </si>
  <si>
    <t>Roughly EIA parameters</t>
  </si>
  <si>
    <t>Coal extend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</si>
</sst>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1" applyFont="1" applyBorder="1" applyAlignment="1" applyProtection="1"/>
    <xf numFmtId="0" fontId="0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utpub.lut.fi/handle/10024/143861" TargetMode="External"/><Relationship Id="rId2" Type="http://schemas.openxmlformats.org/officeDocument/2006/relationships/hyperlink" Target="https://www.ise.fraunhofer.de/content/dam/ise/en/documents/publications/studies/EN2018_Fraunhofer-ISE_LCOE_Renewable_Energy_Technologies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s://www.eia.gov/outlooks/aeo/assumptions/pdf/electricity.pdf" TargetMode="External"/><Relationship Id="rId5" Type="http://schemas.openxmlformats.org/officeDocument/2006/relationships/hyperlink" Target="http://energynumbers.info/capacity-factors-at-danish-offshore-wind-farms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D1" zoomScale="98" zoomScaleNormal="98" workbookViewId="0">
      <selection activeCell="J21" sqref="J21"/>
    </sheetView>
  </sheetViews>
  <sheetFormatPr baseColWidth="10" defaultColWidth="8.83203125" defaultRowHeight="16" x14ac:dyDescent="0.2"/>
  <cols>
    <col min="1" max="1" width="39.1640625" style="1"/>
    <col min="2" max="2" width="39.1640625"/>
    <col min="3" max="3" width="21"/>
    <col min="4" max="4" width="28.5"/>
    <col min="5" max="5" width="19.1640625"/>
    <col min="6" max="6" width="18.33203125"/>
    <col min="7" max="7" width="15.1640625"/>
    <col min="8" max="8" width="25.1640625"/>
    <col min="9" max="9" width="22.6640625"/>
    <col min="10" max="10" width="16.6640625"/>
    <col min="11" max="1025" width="11.5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1100</f>
        <v>1100</v>
      </c>
      <c r="D2">
        <f>(3009+1000)/$B$19</f>
        <v>3611.7117117117114</v>
      </c>
      <c r="E2">
        <f>1000/$B$19</f>
        <v>900.90090090090087</v>
      </c>
      <c r="F2">
        <f>1800/$B$19</f>
        <v>1621.6216216216214</v>
      </c>
      <c r="G2">
        <v>3500</v>
      </c>
      <c r="H2">
        <f>899/$B$19</f>
        <v>809.90990990990986</v>
      </c>
      <c r="I2">
        <f>600/$B$19</f>
        <v>540.54054054054052</v>
      </c>
      <c r="J2">
        <f>3711/$B$19</f>
        <v>3343.2432432432429</v>
      </c>
    </row>
    <row r="3" spans="1:10" x14ac:dyDescent="0.2">
      <c r="A3" s="1" t="s">
        <v>12</v>
      </c>
      <c r="B3" t="s">
        <v>13</v>
      </c>
      <c r="C3">
        <f>1400</f>
        <v>1400</v>
      </c>
      <c r="D3">
        <v>3900</v>
      </c>
      <c r="E3">
        <f>1096/$B$19</f>
        <v>987.38738738738732</v>
      </c>
      <c r="F3">
        <f>2770/$B$19</f>
        <v>2495.4954954954951</v>
      </c>
      <c r="G3">
        <v>5000</v>
      </c>
      <c r="H3">
        <f>899/$B$19</f>
        <v>809.90990990990986</v>
      </c>
      <c r="I3">
        <f>700/$B$19</f>
        <v>630.63063063063055</v>
      </c>
      <c r="J3">
        <v>3200</v>
      </c>
    </row>
    <row r="4" spans="1:10" x14ac:dyDescent="0.2">
      <c r="A4" s="1" t="s">
        <v>14</v>
      </c>
      <c r="B4" t="s">
        <v>13</v>
      </c>
      <c r="C4">
        <f>1700</f>
        <v>1700</v>
      </c>
      <c r="D4">
        <f>(4355+1000)/$B$19</f>
        <v>4824.3243243243242</v>
      </c>
      <c r="E4">
        <f>1200/$B$19</f>
        <v>1081.081081081081</v>
      </c>
      <c r="F4">
        <f>2900/$B$19</f>
        <v>2612.6126126126123</v>
      </c>
      <c r="G4">
        <v>7000</v>
      </c>
      <c r="H4">
        <f>899/$B$19</f>
        <v>809.90990990990986</v>
      </c>
      <c r="I4">
        <f>800/$B$19</f>
        <v>720.72072072072069</v>
      </c>
      <c r="J4">
        <f>4055/$B$19</f>
        <v>3653.1531531531527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39.639639639639633</v>
      </c>
      <c r="D14">
        <f>110/$B$19</f>
        <v>99.099099099099092</v>
      </c>
      <c r="E14">
        <f>20/$B$19</f>
        <v>18.018018018018015</v>
      </c>
      <c r="F14">
        <f>24/$B$19</f>
        <v>21.621621621621621</v>
      </c>
      <c r="G14">
        <f>101/$B$19</f>
        <v>90.99099099099098</v>
      </c>
      <c r="H14">
        <f>22/$B$19</f>
        <v>19.819819819819816</v>
      </c>
      <c r="I14">
        <f>22/$B$19</f>
        <v>19.819819819819816</v>
      </c>
      <c r="J14">
        <f>54/$B$19</f>
        <v>48.648648648648646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2.0810810810810811</v>
      </c>
      <c r="H15">
        <f>7/$B$19</f>
        <v>6.3063063063063058</v>
      </c>
      <c r="I15">
        <f>7/$B$19</f>
        <v>6.3063063063063058</v>
      </c>
      <c r="J15">
        <f>8/$B$19</f>
        <v>7.2072072072072064</v>
      </c>
    </row>
    <row r="16" spans="1:10" x14ac:dyDescent="0.2">
      <c r="A16" s="1" t="s">
        <v>29</v>
      </c>
      <c r="B16" t="s">
        <v>30</v>
      </c>
      <c r="C16">
        <v>0</v>
      </c>
      <c r="D16">
        <f>0/$B$19</f>
        <v>0</v>
      </c>
      <c r="E16">
        <v>0</v>
      </c>
      <c r="F16">
        <f>0/$B$19</f>
        <v>0</v>
      </c>
      <c r="G16">
        <v>10.46</v>
      </c>
      <c r="H16">
        <f>9.82</f>
        <v>9.82</v>
      </c>
      <c r="I16">
        <f>6.45</f>
        <v>6.45</v>
      </c>
      <c r="J16">
        <v>8.8000000000000007</v>
      </c>
    </row>
    <row r="17" spans="1:10" x14ac:dyDescent="0.2">
      <c r="A17" s="1" t="s">
        <v>31</v>
      </c>
      <c r="B17" t="s">
        <v>32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0.57657657657657657</v>
      </c>
      <c r="H17">
        <f>2.14/$B$19</f>
        <v>1.9279279279279278</v>
      </c>
      <c r="I17">
        <f>2.14/$B$19</f>
        <v>1.9279279279279278</v>
      </c>
      <c r="J17">
        <f>2.0440712890625/$B$19</f>
        <v>1.8415056658220719</v>
      </c>
    </row>
    <row r="18" spans="1:10" x14ac:dyDescent="0.2">
      <c r="A18" s="1" t="s">
        <v>33</v>
      </c>
      <c r="B18" t="s">
        <v>32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0.57657657657657657</v>
      </c>
      <c r="H18">
        <f>3.26/$B$19</f>
        <v>2.9369369369369367</v>
      </c>
      <c r="I18">
        <f>3.26/$B$19</f>
        <v>2.9369369369369367</v>
      </c>
      <c r="J18">
        <f>2.0440712890625/$B$19</f>
        <v>1.8415056658220719</v>
      </c>
    </row>
    <row r="19" spans="1:10" x14ac:dyDescent="0.2">
      <c r="A19" s="1" t="s">
        <v>34</v>
      </c>
      <c r="B19">
        <v>1.1100000000000001</v>
      </c>
      <c r="C19">
        <v>1.1100000000000001</v>
      </c>
      <c r="D19">
        <v>1.1100000000000001</v>
      </c>
      <c r="E19">
        <v>1.1100000000000001</v>
      </c>
      <c r="F19">
        <v>1.1100000000000001</v>
      </c>
      <c r="G19">
        <v>1.1100000000000001</v>
      </c>
      <c r="H19">
        <v>1.1100000000000001</v>
      </c>
      <c r="I19">
        <v>1.1100000000000001</v>
      </c>
      <c r="J19">
        <v>1.1100000000000001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6.0309909909909916</v>
      </c>
      <c r="H20">
        <f>I20/H16*I16</f>
        <v>12.426377497660591</v>
      </c>
      <c r="I20">
        <f>21/$B$19</f>
        <v>18.918918918918916</v>
      </c>
      <c r="J20">
        <f>18/$B$19</f>
        <v>16.216216216216214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6.0309909909909916</v>
      </c>
      <c r="H21">
        <f>I21/H16*I16</f>
        <v>18.935432377387571</v>
      </c>
      <c r="I21">
        <f>32/$B$19</f>
        <v>28.828828828828826</v>
      </c>
      <c r="J21">
        <f>18/$B$19</f>
        <v>16.216216216216214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Normal="100" workbookViewId="0">
      <selection activeCell="C16" sqref="C16"/>
    </sheetView>
  </sheetViews>
  <sheetFormatPr baseColWidth="10" defaultColWidth="8.83203125" defaultRowHeight="16" x14ac:dyDescent="0.2"/>
  <cols>
    <col min="1" max="1" width="44.1640625"/>
    <col min="2" max="2" width="37.1640625"/>
    <col min="3" max="3" width="34.1640625"/>
    <col min="4" max="1025" width="11.5"/>
  </cols>
  <sheetData>
    <row r="1" spans="1:3" x14ac:dyDescent="0.2">
      <c r="A1" t="s">
        <v>46</v>
      </c>
    </row>
    <row r="2" spans="1:3" x14ac:dyDescent="0.2">
      <c r="A2">
        <v>1</v>
      </c>
      <c r="B2" t="s">
        <v>47</v>
      </c>
      <c r="C2" s="4" t="s">
        <v>48</v>
      </c>
    </row>
    <row r="3" spans="1:3" ht="51" x14ac:dyDescent="0.2">
      <c r="A3">
        <v>2</v>
      </c>
      <c r="B3" s="5" t="s">
        <v>49</v>
      </c>
      <c r="C3" s="4" t="s">
        <v>50</v>
      </c>
    </row>
    <row r="4" spans="1:3" x14ac:dyDescent="0.2">
      <c r="A4">
        <v>3</v>
      </c>
      <c r="B4" t="s">
        <v>51</v>
      </c>
      <c r="C4" s="4" t="s">
        <v>52</v>
      </c>
    </row>
    <row r="5" spans="1:3" x14ac:dyDescent="0.2">
      <c r="A5">
        <v>4</v>
      </c>
      <c r="B5" t="s">
        <v>53</v>
      </c>
      <c r="C5" s="6" t="s">
        <v>54</v>
      </c>
    </row>
    <row r="6" spans="1:3" x14ac:dyDescent="0.2">
      <c r="A6">
        <v>5</v>
      </c>
      <c r="B6" t="s">
        <v>55</v>
      </c>
      <c r="C6" s="6" t="s">
        <v>61</v>
      </c>
    </row>
    <row r="7" spans="1:3" x14ac:dyDescent="0.2">
      <c r="A7">
        <v>6</v>
      </c>
      <c r="B7" t="s">
        <v>56</v>
      </c>
      <c r="C7" s="6" t="s">
        <v>57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E3F370C1-7D29-BA47-B703-E9568FB635DC}"/>
    <hyperlink ref="C7" r:id="rId5" xr:uid="{49580B0F-9F5A-3B46-A584-4A8C371062E4}"/>
    <hyperlink ref="C6" r:id="rId6" xr:uid="{E504331D-6FF3-2A45-8184-12E3EC921C5C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D1" zoomScaleNormal="100" workbookViewId="0">
      <selection activeCell="I21" sqref="I21"/>
    </sheetView>
  </sheetViews>
  <sheetFormatPr baseColWidth="10" defaultColWidth="8.83203125" defaultRowHeight="16" x14ac:dyDescent="0.2"/>
  <cols>
    <col min="1" max="1" width="30.5"/>
    <col min="2" max="2" width="29.6640625"/>
    <col min="3" max="3" width="57.1640625"/>
    <col min="4" max="4" width="16.1640625"/>
    <col min="5" max="5" width="11.5"/>
    <col min="6" max="7" width="32.1640625"/>
    <col min="8" max="8" width="18.5"/>
    <col min="9" max="9" width="14.6640625"/>
    <col min="10" max="1025" width="11.5"/>
  </cols>
  <sheetData>
    <row r="1" spans="1:10" s="1" customFormat="1" x14ac:dyDescent="0.2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600/$B$19</f>
        <v>600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</row>
    <row r="3" spans="1:10" x14ac:dyDescent="0.2">
      <c r="A3" s="1" t="s">
        <v>12</v>
      </c>
      <c r="B3" t="s">
        <v>13</v>
      </c>
      <c r="C3">
        <f>1600</f>
        <v>1600</v>
      </c>
      <c r="D3">
        <v>3600</v>
      </c>
      <c r="E3">
        <f>700/$B$19</f>
        <v>700</v>
      </c>
      <c r="F3">
        <f>1200/$B$19</f>
        <v>1200</v>
      </c>
      <c r="G3">
        <v>5000</v>
      </c>
      <c r="H3">
        <f>950/$B$19</f>
        <v>950</v>
      </c>
      <c r="I3">
        <f>500/$B$19</f>
        <v>500</v>
      </c>
      <c r="J3">
        <v>1800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800/$B$19</f>
        <v>800</v>
      </c>
      <c r="F4">
        <f>1400/$B$19</f>
        <v>1400</v>
      </c>
      <c r="G4">
        <v>7000</v>
      </c>
      <c r="H4">
        <f>1100/$B$19</f>
        <v>1100</v>
      </c>
      <c r="I4">
        <f>600/$B$19</f>
        <v>600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44</v>
      </c>
      <c r="D14">
        <f>110/$B$19</f>
        <v>110</v>
      </c>
      <c r="E14">
        <f>20/$B$19</f>
        <v>20</v>
      </c>
      <c r="F14">
        <f>24/$B$19</f>
        <v>24</v>
      </c>
      <c r="G14">
        <f>101/$B$19</f>
        <v>101</v>
      </c>
      <c r="H14">
        <f>22/$B$19</f>
        <v>22</v>
      </c>
      <c r="I14">
        <f>20/$B$19</f>
        <v>20</v>
      </c>
      <c r="J14">
        <f>35/$B$19</f>
        <v>35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2.31</v>
      </c>
      <c r="H15">
        <v>5</v>
      </c>
      <c r="I15">
        <v>4</v>
      </c>
      <c r="J15">
        <v>3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31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v>0.02</v>
      </c>
      <c r="I17">
        <v>0.02</v>
      </c>
      <c r="J17">
        <f>10/1000</f>
        <v>0.01</v>
      </c>
    </row>
    <row r="18" spans="1:10" x14ac:dyDescent="0.2">
      <c r="A18" s="1" t="s">
        <v>33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v>0.04</v>
      </c>
      <c r="I18">
        <v>0.04</v>
      </c>
      <c r="J18">
        <f>15/1000</f>
        <v>1.4999999999999999E-2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6.6944000000000008</v>
      </c>
      <c r="H20">
        <f>H17/0.5*1000</f>
        <v>40</v>
      </c>
      <c r="I20">
        <f>I17/0.35*1000</f>
        <v>57.142857142857146</v>
      </c>
      <c r="J20">
        <f>J17/0.35*1000</f>
        <v>28.571428571428573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6.6944000000000008</v>
      </c>
      <c r="H21">
        <f>H18/0.5*1000</f>
        <v>80</v>
      </c>
      <c r="I21">
        <f>I18/0.35*1000</f>
        <v>114.28571428571429</v>
      </c>
      <c r="J21">
        <f>J18/0.35*1000</f>
        <v>42.857142857142854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2" zoomScaleNormal="100" workbookViewId="0">
      <selection activeCell="H21" sqref="H21"/>
    </sheetView>
  </sheetViews>
  <sheetFormatPr baseColWidth="10" defaultColWidth="8.83203125" defaultRowHeight="16" x14ac:dyDescent="0.2"/>
  <cols>
    <col min="1" max="1" width="45.83203125"/>
    <col min="2" max="2" width="11.5"/>
    <col min="3" max="3" width="18"/>
    <col min="4" max="4" width="16.1640625"/>
    <col min="5" max="9" width="11.5"/>
    <col min="10" max="11" width="17.83203125" customWidth="1"/>
    <col min="12" max="1025" width="11.5"/>
  </cols>
  <sheetData>
    <row r="1" spans="1:11" s="1" customFormat="1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  <c r="K2">
        <f>1300/$B$19*0.2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2000</v>
      </c>
      <c r="K3">
        <f>350</f>
        <v>350</v>
      </c>
    </row>
    <row r="4" spans="1:11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6000</v>
      </c>
      <c r="H4">
        <f>1100/$B$19</f>
        <v>1100</v>
      </c>
      <c r="I4">
        <f>600/$B$19</f>
        <v>600</v>
      </c>
      <c r="J4">
        <f>2500/$B$19</f>
        <v>2500</v>
      </c>
      <c r="K4">
        <f>2500/$B$19*0.15</f>
        <v>375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15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1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  <c r="K7">
        <v>1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  <c r="K8">
        <v>2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  <c r="K12">
        <v>0.8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 t="shared" ref="I17:K18" si="0">I20*0.35/1000</f>
        <v>0.02</v>
      </c>
      <c r="J17">
        <f t="shared" si="0"/>
        <v>1.0606060606060605E-2</v>
      </c>
      <c r="K17">
        <f t="shared" si="0"/>
        <v>1.0606060606060605E-2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 t="shared" si="0"/>
        <v>0.03</v>
      </c>
      <c r="J18">
        <f t="shared" si="0"/>
        <v>1.5909090909090907E-2</v>
      </c>
      <c r="K18">
        <f t="shared" si="0"/>
        <v>1.5909090909090907E-2</v>
      </c>
    </row>
    <row r="19" spans="1:11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  <c r="K20">
        <f>10/0.33</f>
        <v>30.303030303030301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  <c r="K21">
        <f>10/0.33*1.5</f>
        <v>45.454545454545453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Normal="100" workbookViewId="0">
      <selection activeCell="J2" sqref="J2"/>
    </sheetView>
  </sheetViews>
  <sheetFormatPr baseColWidth="10" defaultColWidth="8.83203125" defaultRowHeight="16" x14ac:dyDescent="0.2"/>
  <cols>
    <col min="1" max="1025" width="11.5"/>
  </cols>
  <sheetData>
    <row r="1" spans="1:11" s="1" customFormat="1" ht="68" x14ac:dyDescent="0.2">
      <c r="A1" s="3" t="s">
        <v>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>
        <f>0.2</f>
        <v>0.2</v>
      </c>
    </row>
    <row r="2" spans="1:11" x14ac:dyDescent="0.2">
      <c r="A2" s="1" t="s">
        <v>10</v>
      </c>
      <c r="B2" t="s">
        <v>11</v>
      </c>
      <c r="C2">
        <v>1250</v>
      </c>
      <c r="D2">
        <f>(3100)/$B$19</f>
        <v>3100</v>
      </c>
      <c r="E2">
        <f>900</f>
        <v>900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1300/$B$19*$K$1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1200/$B$19</f>
        <v>1200</v>
      </c>
      <c r="G3">
        <v>3606</v>
      </c>
      <c r="H3">
        <f>950/$B$19</f>
        <v>950</v>
      </c>
      <c r="I3">
        <f>500/$B$19</f>
        <v>500</v>
      </c>
      <c r="J3">
        <f>1800*$K$1</f>
        <v>360</v>
      </c>
    </row>
    <row r="4" spans="1:11" x14ac:dyDescent="0.2">
      <c r="A4" s="1" t="s">
        <v>14</v>
      </c>
      <c r="B4" t="s">
        <v>13</v>
      </c>
      <c r="C4">
        <v>1500</v>
      </c>
      <c r="D4">
        <v>4000</v>
      </c>
      <c r="E4">
        <f>1200</f>
        <v>1200</v>
      </c>
      <c r="F4">
        <f>1600/$B$19</f>
        <v>1600</v>
      </c>
      <c r="G4">
        <v>5000</v>
      </c>
      <c r="H4">
        <f>1100/$B$19</f>
        <v>1100</v>
      </c>
      <c r="I4">
        <f>600/$B$19</f>
        <v>600</v>
      </c>
      <c r="J4">
        <f>2200/$B$19*$K$1</f>
        <v>440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1" x14ac:dyDescent="0.2">
      <c r="A10" s="1" t="s">
        <v>21</v>
      </c>
      <c r="C10">
        <v>0.03</v>
      </c>
      <c r="D10">
        <v>0.03</v>
      </c>
      <c r="E10">
        <v>0.03</v>
      </c>
      <c r="F10">
        <v>0.03</v>
      </c>
      <c r="G10">
        <v>0.03</v>
      </c>
      <c r="H10">
        <v>0.03</v>
      </c>
      <c r="I10">
        <v>0.03</v>
      </c>
      <c r="J10">
        <v>0.03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1" x14ac:dyDescent="0.2">
      <c r="A12" s="1" t="s">
        <v>23</v>
      </c>
      <c r="C12">
        <v>0.33100000000000002</v>
      </c>
      <c r="D12">
        <v>0.4</v>
      </c>
      <c r="E12">
        <v>0.11</v>
      </c>
      <c r="F12">
        <v>0.11</v>
      </c>
      <c r="G12">
        <v>0.92600000000000005</v>
      </c>
      <c r="H12">
        <v>0.75</v>
      </c>
      <c r="I12">
        <v>0.51</v>
      </c>
      <c r="J12">
        <v>0.8</v>
      </c>
    </row>
    <row r="13" spans="1:11" x14ac:dyDescent="0.2">
      <c r="A13" s="1" t="s">
        <v>24</v>
      </c>
      <c r="C13">
        <v>0.38</v>
      </c>
      <c r="D13">
        <v>0.45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10.21</f>
        <v>10.210000000000001</v>
      </c>
      <c r="H15">
        <v>7.03</v>
      </c>
      <c r="I15">
        <v>7.03</v>
      </c>
      <c r="J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BDBC-81F4-3748-B90C-5E2EE6D4EE61}">
  <dimension ref="A1:J22"/>
  <sheetViews>
    <sheetView tabSelected="1" workbookViewId="0">
      <selection activeCell="D7" sqref="D7"/>
    </sheetView>
  </sheetViews>
  <sheetFormatPr baseColWidth="10" defaultRowHeight="16" x14ac:dyDescent="0.2"/>
  <cols>
    <col min="1" max="1" width="27.6640625" customWidth="1"/>
    <col min="3" max="3" width="24.33203125" customWidth="1"/>
    <col min="4" max="4" width="19.1640625" customWidth="1"/>
    <col min="5" max="5" width="21.1640625" customWidth="1"/>
    <col min="6" max="6" width="18.5" customWidth="1"/>
    <col min="7" max="7" width="16" customWidth="1"/>
    <col min="9" max="9" width="16.6640625" customWidth="1"/>
  </cols>
  <sheetData>
    <row r="1" spans="1:10" s="1" customFormat="1" ht="51" x14ac:dyDescent="0.2">
      <c r="A1" s="3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1600/$B$19</f>
        <v>1600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1900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25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4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5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29E-2DDB-C44A-BAA3-76127AF89049}">
  <dimension ref="A1:J22"/>
  <sheetViews>
    <sheetView topLeftCell="B1" workbookViewId="0">
      <selection activeCell="H20" sqref="H20:J21"/>
    </sheetView>
  </sheetViews>
  <sheetFormatPr baseColWidth="10" defaultRowHeight="16" x14ac:dyDescent="0.2"/>
  <cols>
    <col min="1" max="1" width="30" customWidth="1"/>
    <col min="2" max="2" width="18.1640625" customWidth="1"/>
    <col min="3" max="3" width="19.33203125" customWidth="1"/>
    <col min="4" max="4" width="17.6640625" customWidth="1"/>
    <col min="5" max="5" width="16" customWidth="1"/>
    <col min="6" max="6" width="23.83203125" customWidth="1"/>
    <col min="7" max="8" width="24.5" customWidth="1"/>
    <col min="9" max="9" width="25.83203125" customWidth="1"/>
    <col min="10" max="10" width="39.6640625" customWidth="1"/>
  </cols>
  <sheetData>
    <row r="1" spans="1:10" s="1" customFormat="1" ht="68" x14ac:dyDescent="0.2">
      <c r="A1" s="3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250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15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1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1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18D3-E12B-754E-B935-B009D4778314}">
  <dimension ref="A1:J22"/>
  <sheetViews>
    <sheetView workbookViewId="0">
      <selection activeCell="J17" sqref="J17"/>
    </sheetView>
  </sheetViews>
  <sheetFormatPr baseColWidth="10" defaultRowHeight="16" x14ac:dyDescent="0.2"/>
  <cols>
    <col min="8" max="8" width="23.33203125" customWidth="1"/>
    <col min="9" max="9" width="54.1640625" customWidth="1"/>
    <col min="10" max="10" width="39.6640625" customWidth="1"/>
  </cols>
  <sheetData>
    <row r="1" spans="1:10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250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5500</v>
      </c>
      <c r="H4">
        <f>1100/$B$19</f>
        <v>1100</v>
      </c>
      <c r="I4">
        <f>600/$B$19</f>
        <v>600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15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1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1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0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0.95</v>
      </c>
    </row>
    <row r="14" spans="1:10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31</v>
      </c>
    </row>
    <row r="15" spans="1:10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2.9</v>
      </c>
    </row>
    <row r="16" spans="1:10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12C4-4870-2C4F-A1F5-FE7FD449C2A8}">
  <dimension ref="A1:K22"/>
  <sheetViews>
    <sheetView workbookViewId="0">
      <selection sqref="A1:XFD22"/>
    </sheetView>
  </sheetViews>
  <sheetFormatPr baseColWidth="10" defaultRowHeight="16" x14ac:dyDescent="0.2"/>
  <cols>
    <col min="1" max="1" width="61.1640625" customWidth="1"/>
    <col min="3" max="3" width="18" customWidth="1"/>
    <col min="4" max="4" width="14.83203125" customWidth="1"/>
    <col min="5" max="5" width="17.6640625" customWidth="1"/>
    <col min="6" max="6" width="19.83203125" customWidth="1"/>
    <col min="7" max="7" width="18.83203125" customWidth="1"/>
    <col min="8" max="8" width="28.5" customWidth="1"/>
    <col min="9" max="9" width="20" customWidth="1"/>
    <col min="10" max="10" width="36.83203125" customWidth="1"/>
    <col min="11" max="11" width="3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f>6034*0.75/$B$19</f>
        <v>4114.090909090909</v>
      </c>
      <c r="H2">
        <f>794*0.75/$B$19</f>
        <v>541.36363636363637</v>
      </c>
      <c r="I2">
        <f>794*0.75/$B$19*0.75</f>
        <v>406.02272727272725</v>
      </c>
      <c r="J2">
        <f>1300/$B$19</f>
        <v>1181.8181818181818</v>
      </c>
      <c r="K2">
        <f>1300/$B$19*0.2</f>
        <v>236.36363636363637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f>6034/$B$19</f>
        <v>5485.454545454545</v>
      </c>
      <c r="H3">
        <f>794/$B$19</f>
        <v>721.81818181818176</v>
      </c>
      <c r="I3">
        <f>794/$B$19*0.75</f>
        <v>541.36363636363626</v>
      </c>
      <c r="J3">
        <f>2000/$B$19</f>
        <v>1818.181818181818</v>
      </c>
      <c r="K3">
        <f>2000/$B$19*0.2</f>
        <v>363.63636363636363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f>6034*1.25/$B$19</f>
        <v>6856.8181818181811</v>
      </c>
      <c r="H4">
        <f>794*1.25/$B$19</f>
        <v>902.27272727272725</v>
      </c>
      <c r="I4">
        <f>794*1.25/$B$19*0.75</f>
        <v>676.7045454545455</v>
      </c>
      <c r="J4">
        <f>2500/$B$19</f>
        <v>2272.7272727272725</v>
      </c>
      <c r="K4">
        <f>2500/$B$19*0.2</f>
        <v>454.5454545454545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30D-A020-F641-98F5-5436D2F3A93D}">
  <dimension ref="A1:K22"/>
  <sheetViews>
    <sheetView workbookViewId="0">
      <selection activeCell="B24" sqref="B24"/>
    </sheetView>
  </sheetViews>
  <sheetFormatPr baseColWidth="10" defaultRowHeight="16" x14ac:dyDescent="0.2"/>
  <cols>
    <col min="3" max="3" width="23" customWidth="1"/>
    <col min="4" max="4" width="17.33203125" customWidth="1"/>
    <col min="5" max="5" width="1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20</v>
      </c>
      <c r="H5">
        <v>20</v>
      </c>
      <c r="I5">
        <v>20</v>
      </c>
      <c r="J5">
        <v>20</v>
      </c>
      <c r="K5">
        <v>20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ATB</vt:lpstr>
      <vt:lpstr>Parameters Fraunhofer 2018</vt:lpstr>
      <vt:lpstr>Parameters LUT</vt:lpstr>
      <vt:lpstr>Parameters Narrow</vt:lpstr>
      <vt:lpstr>Danish data</vt:lpstr>
      <vt:lpstr>Danish Coal refurbish</vt:lpstr>
      <vt:lpstr>LUT coal extend</vt:lpstr>
      <vt:lpstr>EIA</vt:lpstr>
      <vt:lpstr>EIA existing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Jani-Petri Martikainen</dc:creator>
  <dc:description/>
  <cp:lastModifiedBy>Jani-Petri Martikainen</cp:lastModifiedBy>
  <cp:revision>7</cp:revision>
  <dcterms:created xsi:type="dcterms:W3CDTF">2019-08-20T07:14:08Z</dcterms:created>
  <dcterms:modified xsi:type="dcterms:W3CDTF">2019-10-20T14:51:23Z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