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mc:AlternateContent xmlns:mc="http://schemas.openxmlformats.org/markup-compatibility/2006">
    <mc:Choice Requires="x15">
      <x15ac:absPath xmlns:x15ac="http://schemas.microsoft.com/office/spreadsheetml/2010/11/ac" url="https://uniroma2-my.sharepoint.com/personal/martina_demaio_alumni_uniroma2_eu/Documents/Magistrale/ISW2/Lezione 11 Calavaro TCO Case Study + Homework/2021 Inviati agli studenti/"/>
    </mc:Choice>
  </mc:AlternateContent>
  <xr:revisionPtr revIDLastSave="1244" documentId="8_{E4043365-A1FC-4013-9CC4-1122F9F9259B}" xr6:coauthVersionLast="46" xr6:coauthVersionMax="46" xr10:uidLastSave="{CCDA5763-AAF5-4D62-B646-4172DFC15134}"/>
  <bookViews>
    <workbookView xWindow="-108" yWindow="-108" windowWidth="23256" windowHeight="12576" firstSheet="4" activeTab="12" xr2:uid="{00000000-000D-0000-FFFF-FFFF00000000}"/>
  </bookViews>
  <sheets>
    <sheet name="sizing" sheetId="10" r:id="rId1"/>
    <sheet name="x86 TCO" sheetId="11" r:id="rId2"/>
    <sheet name="LinuxONE TCO" sheetId="14" r:id="rId3"/>
    <sheet name="TCO comparison" sheetId="1" r:id="rId4"/>
    <sheet name="TCO vs TPS" sheetId="26" r:id="rId5"/>
    <sheet name="Price Comparation" sheetId="17" r:id="rId6"/>
    <sheet name="Rack server" sheetId="15" r:id="rId7"/>
    <sheet name="VM" sheetId="18" r:id="rId8"/>
    <sheet name="AS" sheetId="19" r:id="rId9"/>
    <sheet name="DB" sheetId="20" r:id="rId10"/>
    <sheet name="Data Replication" sheetId="23" r:id="rId11"/>
    <sheet name="Security" sheetId="24" r:id="rId12"/>
    <sheet name="Monitoring" sheetId="22" r:id="rId13"/>
  </sheets>
  <calcPr calcId="191029" iterateDelta="1E-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16" i="17" l="1"/>
  <c r="D27" i="14"/>
  <c r="D30" i="17"/>
  <c r="P64" i="11"/>
  <c r="P63" i="11"/>
  <c r="P62" i="11"/>
  <c r="O64" i="11"/>
  <c r="O63" i="11"/>
  <c r="O62" i="11"/>
  <c r="P54" i="11"/>
  <c r="P53" i="11"/>
  <c r="P52" i="11"/>
  <c r="O54" i="11"/>
  <c r="O53" i="11"/>
  <c r="O52" i="11"/>
  <c r="P73" i="11"/>
  <c r="P74" i="11"/>
  <c r="O74" i="11"/>
  <c r="O73" i="11"/>
  <c r="P72" i="11"/>
  <c r="O72" i="11"/>
  <c r="P44" i="11"/>
  <c r="O44" i="11"/>
  <c r="P43" i="11"/>
  <c r="O43" i="11"/>
  <c r="P42" i="11"/>
  <c r="O42" i="11"/>
  <c r="I32" i="11"/>
  <c r="I30" i="11"/>
  <c r="J16" i="17"/>
  <c r="E15" i="17"/>
  <c r="K15" i="17" s="1"/>
  <c r="E14" i="17"/>
  <c r="K14" i="17" s="1"/>
  <c r="D14" i="17"/>
  <c r="J14" i="17" s="1"/>
  <c r="J15" i="17"/>
  <c r="J13" i="17"/>
  <c r="L6" i="17" l="1"/>
  <c r="L14" i="17"/>
  <c r="L15" i="17"/>
  <c r="H9" i="17"/>
  <c r="I11" i="17"/>
  <c r="I10" i="17"/>
  <c r="I8" i="17"/>
  <c r="K8" i="17" s="1"/>
  <c r="I9" i="17"/>
  <c r="I7" i="17"/>
  <c r="I6" i="17"/>
  <c r="I5" i="17"/>
  <c r="I13" i="17"/>
  <c r="I4" i="17"/>
  <c r="E9" i="17"/>
  <c r="E8" i="17"/>
  <c r="E6" i="17"/>
  <c r="E7" i="17"/>
  <c r="E10" i="17"/>
  <c r="E5" i="17"/>
  <c r="I15" i="15"/>
  <c r="G13" i="15"/>
  <c r="G12" i="15"/>
  <c r="G11" i="15"/>
  <c r="G9" i="15"/>
  <c r="G15" i="15" s="1"/>
  <c r="D10" i="11"/>
  <c r="D5" i="10" l="1"/>
  <c r="C39" i="11"/>
  <c r="C59" i="11"/>
  <c r="E40" i="11"/>
  <c r="C40" i="11"/>
  <c r="D4" i="10"/>
  <c r="M4" i="10" s="1"/>
  <c r="D23" i="11"/>
  <c r="I4" i="10" l="1"/>
  <c r="K4" i="10"/>
  <c r="C19" i="11"/>
  <c r="P9" i="1"/>
  <c r="E37" i="11"/>
  <c r="E47" i="11" s="1"/>
  <c r="E57" i="11" s="1"/>
  <c r="E67" i="11" s="1"/>
  <c r="D29" i="11" l="1"/>
  <c r="D41" i="11"/>
  <c r="D30" i="11"/>
  <c r="D40" i="11" s="1"/>
  <c r="D7" i="11"/>
  <c r="D8" i="11"/>
  <c r="D9" i="11"/>
  <c r="D6" i="11"/>
  <c r="G9" i="11"/>
  <c r="C5" i="10" l="1"/>
  <c r="I5" i="10" s="1"/>
  <c r="G6" i="11"/>
  <c r="G7" i="11"/>
  <c r="G8" i="11"/>
  <c r="V120" i="11" l="1"/>
  <c r="U120" i="11"/>
  <c r="T120" i="11"/>
  <c r="S120" i="11"/>
  <c r="R120" i="11"/>
  <c r="V119" i="11"/>
  <c r="U119" i="11"/>
  <c r="T119" i="11"/>
  <c r="S119" i="11"/>
  <c r="R119" i="11"/>
  <c r="V118" i="11"/>
  <c r="U118" i="11"/>
  <c r="T118" i="11"/>
  <c r="S118" i="11"/>
  <c r="R118" i="11"/>
  <c r="V117" i="11"/>
  <c r="U117" i="11"/>
  <c r="T117" i="11"/>
  <c r="S117" i="11"/>
  <c r="R117" i="11"/>
  <c r="V116" i="11"/>
  <c r="U116" i="11"/>
  <c r="T116" i="11"/>
  <c r="S116" i="11"/>
  <c r="R116" i="11"/>
  <c r="C1" i="1" l="1"/>
  <c r="E22" i="11" l="1"/>
  <c r="E20" i="11"/>
  <c r="K104" i="14"/>
  <c r="K105" i="14" s="1"/>
  <c r="H5" i="10"/>
  <c r="J4" i="10" l="1"/>
  <c r="J5" i="10" s="1"/>
  <c r="D12" i="14" s="1"/>
  <c r="D13" i="14"/>
  <c r="D11" i="14"/>
  <c r="D22" i="11"/>
  <c r="D20" i="11"/>
  <c r="G16" i="11"/>
  <c r="G15" i="11"/>
  <c r="B20" i="1"/>
  <c r="A16" i="1"/>
  <c r="B21" i="1"/>
  <c r="A17" i="1"/>
  <c r="D30" i="14"/>
  <c r="D29" i="14"/>
  <c r="D33" i="14"/>
  <c r="C33" i="14"/>
  <c r="D21" i="11" l="1"/>
  <c r="I44" i="11" l="1"/>
  <c r="I54" i="11" s="1"/>
  <c r="I64" i="11" s="1"/>
  <c r="I74" i="11" s="1"/>
  <c r="H44" i="11"/>
  <c r="H54" i="11" s="1"/>
  <c r="H64" i="11" s="1"/>
  <c r="H74" i="11" s="1"/>
  <c r="G44" i="11"/>
  <c r="G54" i="11" s="1"/>
  <c r="G64" i="11" s="1"/>
  <c r="G74" i="11" s="1"/>
  <c r="I43" i="11"/>
  <c r="I53" i="11" s="1"/>
  <c r="I63" i="11" s="1"/>
  <c r="I73" i="11" s="1"/>
  <c r="H43" i="11"/>
  <c r="H53" i="11" s="1"/>
  <c r="H63" i="11" s="1"/>
  <c r="H73" i="11" s="1"/>
  <c r="G43" i="11"/>
  <c r="G53" i="11" s="1"/>
  <c r="G63" i="11" s="1"/>
  <c r="G73" i="11" s="1"/>
  <c r="I42" i="11"/>
  <c r="I52" i="11" s="1"/>
  <c r="I62" i="11" s="1"/>
  <c r="I72" i="11" s="1"/>
  <c r="H42" i="11"/>
  <c r="H52" i="11" s="1"/>
  <c r="H62" i="11" s="1"/>
  <c r="H72" i="11" s="1"/>
  <c r="G42" i="11"/>
  <c r="G52" i="11" s="1"/>
  <c r="G62" i="11" s="1"/>
  <c r="G72" i="11" s="1"/>
  <c r="I41" i="11"/>
  <c r="I51" i="11" s="1"/>
  <c r="I61" i="11" s="1"/>
  <c r="I71" i="11" s="1"/>
  <c r="H41" i="11"/>
  <c r="H51" i="11" s="1"/>
  <c r="H61" i="11" s="1"/>
  <c r="H71" i="11" s="1"/>
  <c r="G41" i="11"/>
  <c r="G51" i="11" s="1"/>
  <c r="G61" i="11" s="1"/>
  <c r="G71" i="11" s="1"/>
  <c r="I40" i="11"/>
  <c r="I50" i="11" s="1"/>
  <c r="I60" i="11" s="1"/>
  <c r="I70" i="11" s="1"/>
  <c r="H40" i="11"/>
  <c r="H50" i="11" s="1"/>
  <c r="H60" i="11" s="1"/>
  <c r="H70" i="11" s="1"/>
  <c r="G40" i="11"/>
  <c r="G50" i="11" s="1"/>
  <c r="G60" i="11" s="1"/>
  <c r="G70" i="11" s="1"/>
  <c r="I39" i="11"/>
  <c r="I49" i="11" s="1"/>
  <c r="I59" i="11" s="1"/>
  <c r="I69" i="11" s="1"/>
  <c r="H39" i="11"/>
  <c r="H49" i="11" s="1"/>
  <c r="H59" i="11" s="1"/>
  <c r="H69" i="11" s="1"/>
  <c r="G39" i="11"/>
  <c r="G49" i="11" s="1"/>
  <c r="G59" i="11" s="1"/>
  <c r="G69" i="11" s="1"/>
  <c r="I38" i="11"/>
  <c r="I48" i="11" s="1"/>
  <c r="I58" i="11" s="1"/>
  <c r="I68" i="11" s="1"/>
  <c r="H38" i="11"/>
  <c r="H48" i="11" s="1"/>
  <c r="H58" i="11" s="1"/>
  <c r="H68" i="11" s="1"/>
  <c r="G38" i="11"/>
  <c r="G48" i="11" s="1"/>
  <c r="G58" i="11" s="1"/>
  <c r="G68" i="11" s="1"/>
  <c r="G35" i="14"/>
  <c r="G45" i="14" s="1"/>
  <c r="G55" i="14" s="1"/>
  <c r="G65" i="14" s="1"/>
  <c r="H35" i="14"/>
  <c r="H45" i="14" s="1"/>
  <c r="H55" i="14" s="1"/>
  <c r="H65" i="14" s="1"/>
  <c r="I35" i="14"/>
  <c r="I45" i="14" s="1"/>
  <c r="I55" i="14" s="1"/>
  <c r="I65" i="14" s="1"/>
  <c r="G36" i="14"/>
  <c r="G46" i="14" s="1"/>
  <c r="G56" i="14" s="1"/>
  <c r="G66" i="14" s="1"/>
  <c r="H36" i="14"/>
  <c r="H46" i="14" s="1"/>
  <c r="H56" i="14" s="1"/>
  <c r="H66" i="14" s="1"/>
  <c r="I36" i="14"/>
  <c r="I46" i="14" s="1"/>
  <c r="I56" i="14" s="1"/>
  <c r="I66" i="14" s="1"/>
  <c r="G37" i="14"/>
  <c r="G47" i="14" s="1"/>
  <c r="G57" i="14" s="1"/>
  <c r="G67" i="14" s="1"/>
  <c r="H37" i="14"/>
  <c r="H47" i="14" s="1"/>
  <c r="H57" i="14" s="1"/>
  <c r="H67" i="14" s="1"/>
  <c r="I37" i="14"/>
  <c r="I47" i="14" s="1"/>
  <c r="I57" i="14" s="1"/>
  <c r="I67" i="14" s="1"/>
  <c r="G38" i="14"/>
  <c r="G48" i="14" s="1"/>
  <c r="G58" i="14" s="1"/>
  <c r="G68" i="14" s="1"/>
  <c r="H38" i="14"/>
  <c r="H48" i="14" s="1"/>
  <c r="H58" i="14" s="1"/>
  <c r="H68" i="14" s="1"/>
  <c r="I38" i="14"/>
  <c r="I48" i="14" s="1"/>
  <c r="I58" i="14" s="1"/>
  <c r="I68" i="14" s="1"/>
  <c r="G39" i="14"/>
  <c r="G49" i="14" s="1"/>
  <c r="G59" i="14" s="1"/>
  <c r="G69" i="14" s="1"/>
  <c r="H39" i="14"/>
  <c r="H49" i="14" s="1"/>
  <c r="H59" i="14" s="1"/>
  <c r="H69" i="14" s="1"/>
  <c r="I39" i="14"/>
  <c r="I49" i="14" s="1"/>
  <c r="I59" i="14" s="1"/>
  <c r="I69" i="14" s="1"/>
  <c r="G40" i="14"/>
  <c r="G50" i="14" s="1"/>
  <c r="G60" i="14" s="1"/>
  <c r="G70" i="14" s="1"/>
  <c r="H40" i="14"/>
  <c r="H50" i="14" s="1"/>
  <c r="H60" i="14" s="1"/>
  <c r="H70" i="14" s="1"/>
  <c r="I40" i="14"/>
  <c r="I50" i="14" s="1"/>
  <c r="I60" i="14" s="1"/>
  <c r="I70" i="14" s="1"/>
  <c r="I34" i="14"/>
  <c r="I44" i="14" s="1"/>
  <c r="I54" i="14" s="1"/>
  <c r="I64" i="14" s="1"/>
  <c r="H34" i="14"/>
  <c r="H44" i="14" s="1"/>
  <c r="H54" i="14" s="1"/>
  <c r="H64" i="14" s="1"/>
  <c r="G34" i="14"/>
  <c r="G44" i="14" s="1"/>
  <c r="G54" i="14" s="1"/>
  <c r="G64" i="14" s="1"/>
  <c r="W11" i="14"/>
  <c r="X11" i="14"/>
  <c r="Y11" i="14"/>
  <c r="W12" i="14"/>
  <c r="X12" i="14"/>
  <c r="Y12" i="14"/>
  <c r="W13" i="14"/>
  <c r="X13" i="14"/>
  <c r="Y13" i="14"/>
  <c r="W14" i="14"/>
  <c r="X14" i="14"/>
  <c r="Y14" i="14"/>
  <c r="X10" i="14"/>
  <c r="Y10" i="14"/>
  <c r="W10" i="14"/>
  <c r="V125" i="14"/>
  <c r="U125" i="14"/>
  <c r="T125" i="14"/>
  <c r="S125" i="14"/>
  <c r="R125" i="14"/>
  <c r="V124" i="14"/>
  <c r="U124" i="14"/>
  <c r="T124" i="14"/>
  <c r="S124" i="14"/>
  <c r="R124" i="14"/>
  <c r="V123" i="14"/>
  <c r="U123" i="14"/>
  <c r="T123" i="14"/>
  <c r="S123" i="14"/>
  <c r="R123" i="14"/>
  <c r="V122" i="14"/>
  <c r="U122" i="14"/>
  <c r="T122" i="14"/>
  <c r="S122" i="14"/>
  <c r="R122" i="14"/>
  <c r="V121" i="14"/>
  <c r="U121" i="14"/>
  <c r="T121" i="14"/>
  <c r="S121" i="14"/>
  <c r="R121" i="14"/>
  <c r="V109" i="14"/>
  <c r="U109" i="14"/>
  <c r="T109" i="14"/>
  <c r="S109" i="14"/>
  <c r="R109" i="14"/>
  <c r="V100" i="14"/>
  <c r="U100" i="14"/>
  <c r="T100" i="14"/>
  <c r="S100" i="14"/>
  <c r="R100" i="14"/>
  <c r="V91" i="14"/>
  <c r="U91" i="14"/>
  <c r="T91" i="14"/>
  <c r="S91" i="14"/>
  <c r="W90" i="14"/>
  <c r="W89" i="14"/>
  <c r="D89" i="14"/>
  <c r="W88" i="14"/>
  <c r="W87" i="14"/>
  <c r="W86" i="14"/>
  <c r="V82" i="14"/>
  <c r="U82" i="14"/>
  <c r="T82" i="14"/>
  <c r="S82" i="14"/>
  <c r="R82" i="14"/>
  <c r="V71" i="14"/>
  <c r="U71" i="14"/>
  <c r="T71" i="14"/>
  <c r="S71" i="14"/>
  <c r="F70" i="14"/>
  <c r="E70" i="14"/>
  <c r="C70" i="14"/>
  <c r="A70" i="14"/>
  <c r="F69" i="14"/>
  <c r="E69" i="14"/>
  <c r="C69" i="14"/>
  <c r="A69" i="14"/>
  <c r="F68" i="14"/>
  <c r="E68" i="14"/>
  <c r="D68" i="14"/>
  <c r="C68" i="14"/>
  <c r="A68" i="14"/>
  <c r="F67" i="14"/>
  <c r="E67" i="14"/>
  <c r="C67" i="14"/>
  <c r="A67" i="14"/>
  <c r="F66" i="14"/>
  <c r="E66" i="14"/>
  <c r="C66" i="14"/>
  <c r="A66" i="14"/>
  <c r="F65" i="14"/>
  <c r="E65" i="14"/>
  <c r="C65" i="14"/>
  <c r="A65" i="14"/>
  <c r="F64" i="14"/>
  <c r="E64" i="14"/>
  <c r="D64" i="14"/>
  <c r="C64" i="14"/>
  <c r="A64" i="14"/>
  <c r="V61" i="14"/>
  <c r="U61" i="14"/>
  <c r="T61" i="14"/>
  <c r="S61" i="14"/>
  <c r="F60" i="14"/>
  <c r="E60" i="14"/>
  <c r="C60" i="14"/>
  <c r="A60" i="14"/>
  <c r="F59" i="14"/>
  <c r="E59" i="14"/>
  <c r="C59" i="14"/>
  <c r="A59" i="14"/>
  <c r="F58" i="14"/>
  <c r="E58" i="14"/>
  <c r="D58" i="14"/>
  <c r="C58" i="14"/>
  <c r="A58" i="14"/>
  <c r="F57" i="14"/>
  <c r="E57" i="14"/>
  <c r="C57" i="14"/>
  <c r="A57" i="14"/>
  <c r="F56" i="14"/>
  <c r="E56" i="14"/>
  <c r="C56" i="14"/>
  <c r="A56" i="14"/>
  <c r="F55" i="14"/>
  <c r="E55" i="14"/>
  <c r="C55" i="14"/>
  <c r="A55" i="14"/>
  <c r="F54" i="14"/>
  <c r="E54" i="14"/>
  <c r="D54" i="14"/>
  <c r="C54" i="14"/>
  <c r="A54" i="14"/>
  <c r="V51" i="14"/>
  <c r="U51" i="14"/>
  <c r="T51" i="14"/>
  <c r="S51" i="14"/>
  <c r="F50" i="14"/>
  <c r="E50" i="14"/>
  <c r="C50" i="14"/>
  <c r="A50" i="14"/>
  <c r="F49" i="14"/>
  <c r="E49" i="14"/>
  <c r="C49" i="14"/>
  <c r="A49" i="14"/>
  <c r="F48" i="14"/>
  <c r="E48" i="14"/>
  <c r="D48" i="14"/>
  <c r="C48" i="14"/>
  <c r="A48" i="14"/>
  <c r="F47" i="14"/>
  <c r="E47" i="14"/>
  <c r="C47" i="14"/>
  <c r="A47" i="14"/>
  <c r="F46" i="14"/>
  <c r="E46" i="14"/>
  <c r="C46" i="14"/>
  <c r="A46" i="14"/>
  <c r="F45" i="14"/>
  <c r="E45" i="14"/>
  <c r="C45" i="14"/>
  <c r="A45" i="14"/>
  <c r="F44" i="14"/>
  <c r="E44" i="14"/>
  <c r="D44" i="14"/>
  <c r="C44" i="14"/>
  <c r="A44" i="14"/>
  <c r="V41" i="14"/>
  <c r="U41" i="14"/>
  <c r="T41" i="14"/>
  <c r="S41" i="14"/>
  <c r="F40" i="14"/>
  <c r="E40" i="14"/>
  <c r="C40" i="14"/>
  <c r="A40" i="14"/>
  <c r="F39" i="14"/>
  <c r="E39" i="14"/>
  <c r="C39" i="14"/>
  <c r="A39" i="14"/>
  <c r="F38" i="14"/>
  <c r="E38" i="14"/>
  <c r="D38" i="14"/>
  <c r="C38" i="14"/>
  <c r="A38" i="14"/>
  <c r="F37" i="14"/>
  <c r="E37" i="14"/>
  <c r="C37" i="14"/>
  <c r="A37" i="14"/>
  <c r="F36" i="14"/>
  <c r="E36" i="14"/>
  <c r="C36" i="14"/>
  <c r="A36" i="14"/>
  <c r="F35" i="14"/>
  <c r="E35" i="14"/>
  <c r="C35" i="14"/>
  <c r="A35" i="14"/>
  <c r="F34" i="14"/>
  <c r="E34" i="14"/>
  <c r="D34" i="14"/>
  <c r="C34" i="14"/>
  <c r="A34" i="14"/>
  <c r="V31" i="14"/>
  <c r="U31" i="14"/>
  <c r="T31" i="14"/>
  <c r="S31" i="14"/>
  <c r="W30" i="14"/>
  <c r="D50" i="14"/>
  <c r="W29" i="14"/>
  <c r="D39" i="14"/>
  <c r="W27" i="14"/>
  <c r="D67" i="14"/>
  <c r="W26" i="14"/>
  <c r="D26" i="14"/>
  <c r="W25" i="14"/>
  <c r="V15" i="14"/>
  <c r="U15" i="14"/>
  <c r="T15" i="14"/>
  <c r="S15" i="14"/>
  <c r="V113" i="11"/>
  <c r="U113" i="11"/>
  <c r="T113" i="11"/>
  <c r="S113" i="11"/>
  <c r="R113" i="11"/>
  <c r="V104" i="11"/>
  <c r="U104" i="11"/>
  <c r="T104" i="11"/>
  <c r="S104" i="11"/>
  <c r="R104" i="11"/>
  <c r="W94" i="11"/>
  <c r="W93" i="11"/>
  <c r="W92" i="11"/>
  <c r="W91" i="11"/>
  <c r="W90" i="11"/>
  <c r="D93" i="11"/>
  <c r="V95" i="11"/>
  <c r="U95" i="11"/>
  <c r="T95" i="11"/>
  <c r="S95" i="11"/>
  <c r="S86" i="11"/>
  <c r="T86" i="11"/>
  <c r="U86" i="11"/>
  <c r="V86" i="11"/>
  <c r="R86" i="11"/>
  <c r="F74" i="11"/>
  <c r="E74" i="11"/>
  <c r="C74" i="11"/>
  <c r="A74" i="11"/>
  <c r="F73" i="11"/>
  <c r="E73" i="11"/>
  <c r="C73" i="11"/>
  <c r="A73" i="11"/>
  <c r="F72" i="11"/>
  <c r="E72" i="11"/>
  <c r="D72" i="11"/>
  <c r="C72" i="11"/>
  <c r="A72" i="11"/>
  <c r="F71" i="11"/>
  <c r="E71" i="11"/>
  <c r="C71" i="11"/>
  <c r="A71" i="11"/>
  <c r="F70" i="11"/>
  <c r="E70" i="11"/>
  <c r="C70" i="11"/>
  <c r="A70" i="11"/>
  <c r="F69" i="11"/>
  <c r="E69" i="11"/>
  <c r="C69" i="11"/>
  <c r="A69" i="11"/>
  <c r="F68" i="11"/>
  <c r="E68" i="11"/>
  <c r="D68" i="11"/>
  <c r="C68" i="11"/>
  <c r="A68" i="11"/>
  <c r="F64" i="11"/>
  <c r="E64" i="11"/>
  <c r="A64" i="11"/>
  <c r="F63" i="11"/>
  <c r="E63" i="11"/>
  <c r="A63" i="11"/>
  <c r="F62" i="11"/>
  <c r="E62" i="11"/>
  <c r="D62" i="11"/>
  <c r="C62" i="11"/>
  <c r="A62" i="11"/>
  <c r="F61" i="11"/>
  <c r="E61" i="11"/>
  <c r="C61" i="11"/>
  <c r="A61" i="11"/>
  <c r="F60" i="11"/>
  <c r="E60" i="11"/>
  <c r="C60" i="11"/>
  <c r="A60" i="11"/>
  <c r="F59" i="11"/>
  <c r="E59" i="11"/>
  <c r="A59" i="11"/>
  <c r="F58" i="11"/>
  <c r="E58" i="11"/>
  <c r="D58" i="11"/>
  <c r="C58" i="11"/>
  <c r="A58" i="11"/>
  <c r="F54" i="11"/>
  <c r="E54" i="11"/>
  <c r="A54" i="11"/>
  <c r="F53" i="11"/>
  <c r="E53" i="11"/>
  <c r="A53" i="11"/>
  <c r="F52" i="11"/>
  <c r="E52" i="11"/>
  <c r="D52" i="11"/>
  <c r="C52" i="11"/>
  <c r="A52" i="11"/>
  <c r="F51" i="11"/>
  <c r="E51" i="11"/>
  <c r="C51" i="11"/>
  <c r="A51" i="11"/>
  <c r="F50" i="11"/>
  <c r="E50" i="11"/>
  <c r="C50" i="11"/>
  <c r="A50" i="11"/>
  <c r="F49" i="11"/>
  <c r="E49" i="11"/>
  <c r="C49" i="11"/>
  <c r="A49" i="11"/>
  <c r="F48" i="11"/>
  <c r="E48" i="11"/>
  <c r="D48" i="11"/>
  <c r="C48" i="11"/>
  <c r="A48" i="11"/>
  <c r="F44" i="11"/>
  <c r="E44" i="11"/>
  <c r="A44" i="11"/>
  <c r="F43" i="11"/>
  <c r="E43" i="11"/>
  <c r="A43" i="11"/>
  <c r="F42" i="11"/>
  <c r="E42" i="11"/>
  <c r="D42" i="11"/>
  <c r="C42" i="11"/>
  <c r="A42" i="11"/>
  <c r="F41" i="11"/>
  <c r="E41" i="11"/>
  <c r="C41" i="11"/>
  <c r="A41" i="11"/>
  <c r="F40" i="11"/>
  <c r="A40" i="11"/>
  <c r="F39" i="11"/>
  <c r="E39" i="11"/>
  <c r="A39" i="11"/>
  <c r="F38" i="11"/>
  <c r="E38" i="11"/>
  <c r="D38" i="11"/>
  <c r="C38" i="11"/>
  <c r="A38" i="11"/>
  <c r="V75" i="11"/>
  <c r="U75" i="11"/>
  <c r="T75" i="11"/>
  <c r="S75" i="11"/>
  <c r="V65" i="11"/>
  <c r="U65" i="11"/>
  <c r="T65" i="11"/>
  <c r="S65" i="11"/>
  <c r="V55" i="11"/>
  <c r="U55" i="11"/>
  <c r="T55" i="11"/>
  <c r="S55" i="11"/>
  <c r="V45" i="11"/>
  <c r="U45" i="11"/>
  <c r="T45" i="11"/>
  <c r="S45" i="11"/>
  <c r="S35" i="11"/>
  <c r="T35" i="11"/>
  <c r="U35" i="11"/>
  <c r="V35" i="11"/>
  <c r="B5" i="11"/>
  <c r="J5" i="11" s="1" a="1"/>
  <c r="J5" i="11" s="1"/>
  <c r="D100" i="11" s="1"/>
  <c r="U121" i="11" l="1"/>
  <c r="V121" i="11"/>
  <c r="R121" i="11"/>
  <c r="S121" i="11"/>
  <c r="T121" i="11"/>
  <c r="W47" i="14"/>
  <c r="W36" i="14"/>
  <c r="W55" i="14"/>
  <c r="W65" i="14"/>
  <c r="W60" i="14"/>
  <c r="R126" i="14"/>
  <c r="S126" i="14"/>
  <c r="T126" i="14"/>
  <c r="U126" i="14"/>
  <c r="W40" i="14"/>
  <c r="W39" i="14"/>
  <c r="W56" i="14"/>
  <c r="S73" i="14"/>
  <c r="W49" i="14"/>
  <c r="T73" i="14"/>
  <c r="U73" i="14"/>
  <c r="V73" i="14"/>
  <c r="L64" i="14"/>
  <c r="L65" i="14" s="1"/>
  <c r="L66" i="14" s="1"/>
  <c r="W91" i="14"/>
  <c r="D56" i="14"/>
  <c r="D36" i="14"/>
  <c r="D46" i="14"/>
  <c r="D66" i="14"/>
  <c r="D65" i="14"/>
  <c r="D55" i="14"/>
  <c r="D45" i="14"/>
  <c r="D40" i="14"/>
  <c r="D70" i="14"/>
  <c r="D60" i="14"/>
  <c r="W57" i="14"/>
  <c r="W37" i="14"/>
  <c r="W50" i="14"/>
  <c r="V126" i="14"/>
  <c r="D57" i="14"/>
  <c r="D47" i="14"/>
  <c r="D37" i="14"/>
  <c r="W45" i="14"/>
  <c r="W66" i="14"/>
  <c r="D49" i="14"/>
  <c r="D69" i="14"/>
  <c r="D35" i="14"/>
  <c r="D59" i="14"/>
  <c r="W35" i="14"/>
  <c r="W59" i="14"/>
  <c r="W67" i="14"/>
  <c r="W69" i="14"/>
  <c r="W46" i="14"/>
  <c r="W70" i="14"/>
  <c r="W50" i="11"/>
  <c r="W39" i="11"/>
  <c r="W69" i="11"/>
  <c r="W63" i="11"/>
  <c r="U77" i="11"/>
  <c r="W49" i="11"/>
  <c r="W53" i="11"/>
  <c r="W74" i="11"/>
  <c r="W54" i="11"/>
  <c r="W59" i="11"/>
  <c r="W60" i="11"/>
  <c r="W64" i="11"/>
  <c r="V77" i="11"/>
  <c r="S77" i="11"/>
  <c r="T77" i="11"/>
  <c r="W70" i="11"/>
  <c r="W43" i="11"/>
  <c r="W40" i="11"/>
  <c r="W73" i="11"/>
  <c r="W44" i="11"/>
  <c r="T129" i="14" l="1"/>
  <c r="S129" i="14"/>
  <c r="U129" i="14"/>
  <c r="V129" i="14"/>
  <c r="K64" i="14"/>
  <c r="L67" i="14"/>
  <c r="O66" i="14"/>
  <c r="Q66" i="14" s="1"/>
  <c r="W95" i="11"/>
  <c r="W15" i="14" l="1"/>
  <c r="Y15" i="14"/>
  <c r="K65" i="14"/>
  <c r="O64" i="14"/>
  <c r="Q64" i="14" s="1"/>
  <c r="X15" i="14"/>
  <c r="R66" i="14"/>
  <c r="AA66" i="14"/>
  <c r="X66" i="14"/>
  <c r="Z66" i="14"/>
  <c r="Y66" i="14"/>
  <c r="L68" i="14"/>
  <c r="O67" i="14"/>
  <c r="Q67" i="14" s="1"/>
  <c r="O65" i="14" l="1"/>
  <c r="Q65" i="14" s="1"/>
  <c r="K66" i="14"/>
  <c r="K67" i="14" s="1"/>
  <c r="K68" i="14" s="1"/>
  <c r="K69" i="14" s="1"/>
  <c r="K70" i="14" s="1"/>
  <c r="AA64" i="14"/>
  <c r="Z64" i="14"/>
  <c r="W64" i="14"/>
  <c r="R64" i="14"/>
  <c r="Y64" i="14"/>
  <c r="X64" i="14"/>
  <c r="R67" i="14"/>
  <c r="Y67" i="14"/>
  <c r="AA67" i="14"/>
  <c r="X67" i="14"/>
  <c r="Z67" i="14"/>
  <c r="O108" i="14"/>
  <c r="O99" i="14"/>
  <c r="P90" i="14"/>
  <c r="O81" i="14"/>
  <c r="P81" i="14" s="1"/>
  <c r="J64" i="14"/>
  <c r="J65" i="14" s="1"/>
  <c r="J66" i="14" s="1"/>
  <c r="J67" i="14" s="1"/>
  <c r="J68" i="14" s="1"/>
  <c r="J69" i="14" s="1"/>
  <c r="O68" i="14"/>
  <c r="Q68" i="14" s="1"/>
  <c r="L69" i="14"/>
  <c r="L70" i="14" s="1"/>
  <c r="AB66" i="14"/>
  <c r="P99" i="14" l="1"/>
  <c r="Q99" i="14" s="1"/>
  <c r="AB64" i="14"/>
  <c r="AA65" i="14"/>
  <c r="Y65" i="14"/>
  <c r="R65" i="14"/>
  <c r="Z65" i="14"/>
  <c r="X65" i="14"/>
  <c r="AA81" i="14"/>
  <c r="Z81" i="14"/>
  <c r="Y81" i="14"/>
  <c r="X81" i="14"/>
  <c r="W81" i="14"/>
  <c r="R90" i="14"/>
  <c r="AA90" i="14"/>
  <c r="Z90" i="14"/>
  <c r="Y90" i="14"/>
  <c r="X90" i="14"/>
  <c r="AB67" i="14"/>
  <c r="R68" i="14"/>
  <c r="X68" i="14"/>
  <c r="AA68" i="14"/>
  <c r="Z68" i="14"/>
  <c r="W68" i="14"/>
  <c r="W71" i="14" s="1"/>
  <c r="Y68" i="14"/>
  <c r="J70" i="14"/>
  <c r="O70" i="14" s="1"/>
  <c r="Q70" i="14" s="1"/>
  <c r="O69" i="14"/>
  <c r="Q69" i="14" s="1"/>
  <c r="X99" i="14" l="1"/>
  <c r="Z99" i="14"/>
  <c r="Y99" i="14"/>
  <c r="AA99" i="14"/>
  <c r="W99" i="14"/>
  <c r="AB65" i="14"/>
  <c r="AB81" i="14"/>
  <c r="AB90" i="14"/>
  <c r="P8" i="1" s="1"/>
  <c r="AB68" i="14"/>
  <c r="R69" i="14"/>
  <c r="AA69" i="14"/>
  <c r="Y69" i="14"/>
  <c r="X69" i="14"/>
  <c r="Z69" i="14"/>
  <c r="R70" i="14"/>
  <c r="AA70" i="14"/>
  <c r="Z70" i="14"/>
  <c r="X70" i="14"/>
  <c r="Y70" i="14"/>
  <c r="AB99" i="14" l="1"/>
  <c r="Z71" i="14"/>
  <c r="X71" i="14"/>
  <c r="AA71" i="14"/>
  <c r="AB69" i="14"/>
  <c r="AB70" i="14"/>
  <c r="R71" i="14"/>
  <c r="Y71" i="14"/>
  <c r="AB71" i="14" l="1"/>
  <c r="P6" i="1" l="1"/>
  <c r="G14" i="11"/>
  <c r="G13" i="11"/>
  <c r="G12" i="11"/>
  <c r="G11" i="11" l="1"/>
  <c r="W34" i="11" l="1"/>
  <c r="W33" i="11"/>
  <c r="W30" i="11"/>
  <c r="W29" i="11"/>
  <c r="V24" i="11"/>
  <c r="V124" i="11" s="1"/>
  <c r="U24" i="11"/>
  <c r="U124" i="11" s="1"/>
  <c r="T24" i="11"/>
  <c r="T124" i="11" s="1"/>
  <c r="S24" i="11"/>
  <c r="S124" i="11" s="1"/>
  <c r="G10" i="11"/>
  <c r="K5" i="10" l="1"/>
  <c r="M5" i="10"/>
  <c r="Q20" i="11"/>
  <c r="L38" i="11" s="1"/>
  <c r="L39" i="11" s="1"/>
  <c r="L40" i="11" s="1"/>
  <c r="E21" i="11"/>
  <c r="D60" i="11"/>
  <c r="D50" i="11"/>
  <c r="D70" i="11"/>
  <c r="D71" i="11"/>
  <c r="D61" i="11"/>
  <c r="D51" i="11"/>
  <c r="D73" i="11"/>
  <c r="D49" i="11"/>
  <c r="D69" i="11"/>
  <c r="D59" i="11"/>
  <c r="D39" i="11"/>
  <c r="D54" i="11"/>
  <c r="D74" i="11"/>
  <c r="D44" i="11"/>
  <c r="D64" i="11"/>
  <c r="F5" i="11" a="1"/>
  <c r="F5" i="11" s="1"/>
  <c r="L5" i="11" a="1"/>
  <c r="L5" i="11" s="1"/>
  <c r="D110" i="11" s="1"/>
  <c r="D111" i="11" s="1"/>
  <c r="C5" i="11" a="1"/>
  <c r="C5" i="11" s="1"/>
  <c r="A5" i="11" a="1"/>
  <c r="A5" i="11" s="1"/>
  <c r="A4" i="1" s="1"/>
  <c r="E5" i="11" a="1"/>
  <c r="E5" i="11" s="1"/>
  <c r="H5" i="11" a="1"/>
  <c r="H5" i="11" s="1"/>
  <c r="D5" i="11" a="1"/>
  <c r="D5" i="11" s="1"/>
  <c r="I5" i="11" a="1"/>
  <c r="I5" i="11" s="1"/>
  <c r="G5" i="11" a="1"/>
  <c r="G5" i="11" s="1"/>
  <c r="D2" i="10" s="1"/>
  <c r="E4" i="10" s="1"/>
  <c r="F2" i="10" s="1"/>
  <c r="F4" i="10" l="1"/>
  <c r="O4" i="10" s="1"/>
  <c r="Q21" i="11"/>
  <c r="L48" i="11" s="1"/>
  <c r="L49" i="11" s="1"/>
  <c r="L50" i="11" s="1"/>
  <c r="L51" i="11" s="1"/>
  <c r="C10" i="14"/>
  <c r="F5" i="10"/>
  <c r="P5" i="10" s="1"/>
  <c r="L41" i="11"/>
  <c r="O40" i="11"/>
  <c r="Q40" i="11" s="1"/>
  <c r="K20" i="11"/>
  <c r="P20" i="11" s="1"/>
  <c r="K38" i="11" s="1"/>
  <c r="F21" i="11"/>
  <c r="F22" i="11"/>
  <c r="F23" i="11"/>
  <c r="F19" i="11"/>
  <c r="F20" i="11"/>
  <c r="R4" i="10" l="1"/>
  <c r="E13" i="14"/>
  <c r="G13" i="14"/>
  <c r="H13" i="14" s="1"/>
  <c r="H14" i="14" s="1"/>
  <c r="H15" i="14" s="1"/>
  <c r="E10" i="14"/>
  <c r="F10" i="14" s="1"/>
  <c r="O50" i="11"/>
  <c r="Q50" i="11" s="1"/>
  <c r="AA50" i="11" s="1"/>
  <c r="E11" i="14"/>
  <c r="E12" i="14"/>
  <c r="K21" i="11"/>
  <c r="P21" i="11" s="1"/>
  <c r="K48" i="11" s="1"/>
  <c r="K49" i="11" s="1"/>
  <c r="L42" i="11"/>
  <c r="L52" i="11"/>
  <c r="O38" i="11"/>
  <c r="Q38" i="11" s="1"/>
  <c r="W38" i="11" s="1"/>
  <c r="K39" i="11"/>
  <c r="G21" i="11"/>
  <c r="O21" i="11" s="1"/>
  <c r="G20" i="11"/>
  <c r="O20" i="11" s="1"/>
  <c r="R40" i="11"/>
  <c r="Z40" i="11"/>
  <c r="Y40" i="11"/>
  <c r="AA40" i="11"/>
  <c r="X40" i="11"/>
  <c r="E23" i="11" l="1"/>
  <c r="Q23" i="11" s="1"/>
  <c r="L68" i="11" s="1"/>
  <c r="L69" i="11" s="1"/>
  <c r="L70" i="11" s="1"/>
  <c r="L71" i="11" s="1"/>
  <c r="L72" i="11" s="1"/>
  <c r="X21" i="11"/>
  <c r="W21" i="11"/>
  <c r="Y21" i="11"/>
  <c r="W20" i="11"/>
  <c r="Y20" i="11"/>
  <c r="X20" i="11"/>
  <c r="T4" i="10"/>
  <c r="V4" i="10"/>
  <c r="E19" i="11"/>
  <c r="Q22" i="11"/>
  <c r="L58" i="11" s="1"/>
  <c r="L59" i="11" s="1"/>
  <c r="L60" i="11" s="1"/>
  <c r="L61" i="11" s="1"/>
  <c r="L62" i="11" s="1"/>
  <c r="L63" i="11" s="1"/>
  <c r="L64" i="11" s="1"/>
  <c r="G22" i="11"/>
  <c r="O22" i="11" s="1"/>
  <c r="K22" i="11"/>
  <c r="P22" i="11" s="1"/>
  <c r="K58" i="11" s="1"/>
  <c r="O58" i="11" s="1"/>
  <c r="Q58" i="11" s="1"/>
  <c r="R58" i="11" s="1"/>
  <c r="J48" i="11"/>
  <c r="J49" i="11" s="1"/>
  <c r="J50" i="11" s="1"/>
  <c r="J51" i="11" s="1"/>
  <c r="J38" i="11"/>
  <c r="J39" i="11" s="1"/>
  <c r="J40" i="11" s="1"/>
  <c r="J41" i="11" s="1"/>
  <c r="Q13" i="14"/>
  <c r="L54" i="14" s="1"/>
  <c r="L55" i="14" s="1"/>
  <c r="L56" i="14" s="1"/>
  <c r="O56" i="14" s="1"/>
  <c r="Q56" i="14" s="1"/>
  <c r="G12" i="14"/>
  <c r="F12" i="14" s="1"/>
  <c r="Q12" i="14" s="1"/>
  <c r="F11" i="14"/>
  <c r="G11" i="14" s="1"/>
  <c r="Q11" i="14" s="1"/>
  <c r="X50" i="11"/>
  <c r="E15" i="14"/>
  <c r="K13" i="14" s="1"/>
  <c r="O13" i="14" s="1"/>
  <c r="O98" i="14" s="1"/>
  <c r="P98" i="14" s="1"/>
  <c r="Q98" i="14" s="1"/>
  <c r="Y50" i="11"/>
  <c r="Z50" i="11"/>
  <c r="O48" i="11"/>
  <c r="Q48" i="11" s="1"/>
  <c r="X48" i="11" s="1"/>
  <c r="I10" i="14"/>
  <c r="I14" i="14" s="1"/>
  <c r="I15" i="14" s="1"/>
  <c r="R50" i="11"/>
  <c r="L53" i="11"/>
  <c r="L54" i="11" s="1"/>
  <c r="Q52" i="11"/>
  <c r="L43" i="11"/>
  <c r="L44" i="11" s="1"/>
  <c r="Q42" i="11"/>
  <c r="AA38" i="11"/>
  <c r="R38" i="11"/>
  <c r="X38" i="11"/>
  <c r="Y38" i="11"/>
  <c r="Z38" i="11"/>
  <c r="O49" i="11"/>
  <c r="Q49" i="11" s="1"/>
  <c r="R49" i="11" s="1"/>
  <c r="K50" i="11"/>
  <c r="K51" i="11" s="1"/>
  <c r="K52" i="11" s="1"/>
  <c r="K53" i="11" s="1"/>
  <c r="K54" i="11" s="1"/>
  <c r="O39" i="11"/>
  <c r="Q39" i="11" s="1"/>
  <c r="R39" i="11" s="1"/>
  <c r="K40" i="11"/>
  <c r="K41" i="11" s="1"/>
  <c r="K42" i="11" s="1"/>
  <c r="K43" i="11" s="1"/>
  <c r="K44" i="11" s="1"/>
  <c r="O82" i="11"/>
  <c r="P82" i="11" s="1"/>
  <c r="O109" i="11"/>
  <c r="P109" i="11" s="1"/>
  <c r="O100" i="11"/>
  <c r="P100" i="11" s="1"/>
  <c r="Q100" i="11" s="1"/>
  <c r="P91" i="11"/>
  <c r="AA20" i="11"/>
  <c r="Z20" i="11"/>
  <c r="R20" i="11"/>
  <c r="H20" i="11"/>
  <c r="I20" i="11" s="1"/>
  <c r="J20" i="11" s="1"/>
  <c r="H21" i="11"/>
  <c r="I21" i="11" s="1"/>
  <c r="J21" i="11" s="1"/>
  <c r="O101" i="11"/>
  <c r="P101" i="11" s="1"/>
  <c r="Q101" i="11" s="1"/>
  <c r="O83" i="11"/>
  <c r="P83" i="11" s="1"/>
  <c r="O110" i="11"/>
  <c r="P110" i="11" s="1"/>
  <c r="P92" i="11"/>
  <c r="R21" i="11"/>
  <c r="Z21" i="11"/>
  <c r="AA21" i="11"/>
  <c r="T5" i="10"/>
  <c r="R5" i="10"/>
  <c r="V5" i="10" s="1"/>
  <c r="AB40" i="11"/>
  <c r="Q19" i="11" l="1"/>
  <c r="G19" i="11"/>
  <c r="W4" i="10"/>
  <c r="J58" i="11"/>
  <c r="J59" i="11" s="1"/>
  <c r="J60" i="11" s="1"/>
  <c r="J61" i="11" s="1"/>
  <c r="J62" i="11" s="1"/>
  <c r="J63" i="11" s="1"/>
  <c r="J64" i="11" s="1"/>
  <c r="Q64" i="11" s="1"/>
  <c r="Y22" i="11"/>
  <c r="X22" i="11"/>
  <c r="W22" i="11"/>
  <c r="K19" i="11"/>
  <c r="P19" i="11" s="1"/>
  <c r="U4" i="10"/>
  <c r="O60" i="11"/>
  <c r="Q60" i="11" s="1"/>
  <c r="Z60" i="11" s="1"/>
  <c r="Q62" i="11"/>
  <c r="Z62" i="11" s="1"/>
  <c r="O70" i="11"/>
  <c r="Q70" i="11" s="1"/>
  <c r="Z70" i="11" s="1"/>
  <c r="O111" i="11"/>
  <c r="P111" i="11" s="1"/>
  <c r="X111" i="11" s="1"/>
  <c r="O84" i="11"/>
  <c r="P84" i="11" s="1"/>
  <c r="AA84" i="11" s="1"/>
  <c r="H22" i="11"/>
  <c r="I22" i="11" s="1"/>
  <c r="J22" i="11" s="1"/>
  <c r="O102" i="11"/>
  <c r="P102" i="11" s="1"/>
  <c r="Q102" i="11" s="1"/>
  <c r="X102" i="11" s="1"/>
  <c r="K23" i="11"/>
  <c r="P23" i="11" s="1"/>
  <c r="K68" i="11" s="1"/>
  <c r="O68" i="11" s="1"/>
  <c r="Q68" i="11" s="1"/>
  <c r="AA68" i="11" s="1"/>
  <c r="E24" i="11"/>
  <c r="R22" i="11"/>
  <c r="Z22" i="11"/>
  <c r="AA22" i="11"/>
  <c r="P93" i="11"/>
  <c r="AA93" i="11" s="1"/>
  <c r="W58" i="11"/>
  <c r="K59" i="11"/>
  <c r="K60" i="11" s="1"/>
  <c r="K61" i="11" s="1"/>
  <c r="K62" i="11" s="1"/>
  <c r="K63" i="11" s="1"/>
  <c r="K64" i="11" s="1"/>
  <c r="Y58" i="11"/>
  <c r="X58" i="11"/>
  <c r="AA58" i="11"/>
  <c r="Z58" i="11"/>
  <c r="J52" i="11"/>
  <c r="J53" i="11" s="1"/>
  <c r="Q53" i="11" s="1"/>
  <c r="AA53" i="11" s="1"/>
  <c r="O51" i="11"/>
  <c r="Q51" i="11" s="1"/>
  <c r="W51" i="11" s="1"/>
  <c r="O61" i="11"/>
  <c r="Q61" i="11" s="1"/>
  <c r="W61" i="11" s="1"/>
  <c r="J42" i="11"/>
  <c r="J43" i="11" s="1"/>
  <c r="J44" i="11" s="1"/>
  <c r="Q44" i="11" s="1"/>
  <c r="O41" i="11"/>
  <c r="Q41" i="11" s="1"/>
  <c r="W41" i="11" s="1"/>
  <c r="P13" i="14"/>
  <c r="K54" i="14" s="1"/>
  <c r="K55" i="14" s="1"/>
  <c r="K56" i="14" s="1"/>
  <c r="K57" i="14" s="1"/>
  <c r="K58" i="14" s="1"/>
  <c r="K59" i="14" s="1"/>
  <c r="K60" i="14" s="1"/>
  <c r="L34" i="14"/>
  <c r="L35" i="14" s="1"/>
  <c r="L36" i="14" s="1"/>
  <c r="O36" i="14" s="1"/>
  <c r="Q36" i="14" s="1"/>
  <c r="P11" i="14"/>
  <c r="K34" i="14" s="1"/>
  <c r="K35" i="14" s="1"/>
  <c r="G15" i="14"/>
  <c r="G16" i="14" s="1"/>
  <c r="S4" i="10"/>
  <c r="K11" i="14"/>
  <c r="O11" i="14" s="1"/>
  <c r="H16" i="14"/>
  <c r="P89" i="14"/>
  <c r="Y89" i="14" s="1"/>
  <c r="K10" i="14"/>
  <c r="O107" i="14"/>
  <c r="K12" i="14"/>
  <c r="O12" i="14" s="1"/>
  <c r="O80" i="14"/>
  <c r="I16" i="14"/>
  <c r="J54" i="14"/>
  <c r="J55" i="14" s="1"/>
  <c r="J56" i="14" s="1"/>
  <c r="J57" i="14" s="1"/>
  <c r="J58" i="14" s="1"/>
  <c r="J59" i="14" s="1"/>
  <c r="O59" i="14" s="1"/>
  <c r="Q59" i="14" s="1"/>
  <c r="AB50" i="11"/>
  <c r="F15" i="14"/>
  <c r="Q10" i="14"/>
  <c r="Q15" i="14" s="1"/>
  <c r="W48" i="11"/>
  <c r="R48" i="11"/>
  <c r="Y48" i="11"/>
  <c r="AA48" i="11"/>
  <c r="Z48" i="11"/>
  <c r="L57" i="14"/>
  <c r="L58" i="14" s="1"/>
  <c r="O54" i="14"/>
  <c r="Q54" i="14" s="1"/>
  <c r="W54" i="14" s="1"/>
  <c r="R56" i="14"/>
  <c r="Y56" i="14"/>
  <c r="X56" i="14"/>
  <c r="AA56" i="14"/>
  <c r="Z56" i="14"/>
  <c r="Q72" i="11"/>
  <c r="W72" i="11" s="1"/>
  <c r="L73" i="11"/>
  <c r="L74" i="11" s="1"/>
  <c r="O55" i="14"/>
  <c r="Q55" i="14" s="1"/>
  <c r="P12" i="14"/>
  <c r="K44" i="14" s="1"/>
  <c r="L44" i="14"/>
  <c r="L45" i="14" s="1"/>
  <c r="L46" i="14" s="1"/>
  <c r="X98" i="14"/>
  <c r="AA98" i="14"/>
  <c r="W98" i="14"/>
  <c r="Y98" i="14"/>
  <c r="Z98" i="14"/>
  <c r="X49" i="11"/>
  <c r="Y49" i="11"/>
  <c r="Z49" i="11"/>
  <c r="AA49" i="11"/>
  <c r="AB38" i="11"/>
  <c r="Z39" i="11"/>
  <c r="X39" i="11"/>
  <c r="AA39" i="11"/>
  <c r="Y39" i="11"/>
  <c r="R92" i="11"/>
  <c r="X92" i="11"/>
  <c r="Z92" i="11"/>
  <c r="AA92" i="11"/>
  <c r="Y92" i="11"/>
  <c r="X109" i="11"/>
  <c r="Z109" i="11"/>
  <c r="AA109" i="11"/>
  <c r="Y109" i="11"/>
  <c r="W109" i="11"/>
  <c r="Z82" i="11"/>
  <c r="Y82" i="11"/>
  <c r="AA82" i="11"/>
  <c r="X82" i="11"/>
  <c r="W82" i="11"/>
  <c r="AA110" i="11"/>
  <c r="X110" i="11"/>
  <c r="Y110" i="11"/>
  <c r="W110" i="11"/>
  <c r="Z110" i="11"/>
  <c r="AB20" i="11"/>
  <c r="AA83" i="11"/>
  <c r="Z83" i="11"/>
  <c r="X83" i="11"/>
  <c r="Y83" i="11"/>
  <c r="W83" i="11"/>
  <c r="Y101" i="11"/>
  <c r="AA101" i="11"/>
  <c r="W101" i="11"/>
  <c r="X101" i="11"/>
  <c r="Z101" i="11"/>
  <c r="Z91" i="11"/>
  <c r="X91" i="11"/>
  <c r="AA91" i="11"/>
  <c r="R91" i="11"/>
  <c r="Y91" i="11"/>
  <c r="AB21" i="11"/>
  <c r="Z100" i="11"/>
  <c r="W100" i="11"/>
  <c r="AA100" i="11"/>
  <c r="X100" i="11"/>
  <c r="Y100" i="11"/>
  <c r="Z52" i="11"/>
  <c r="W52" i="11"/>
  <c r="Y52" i="11"/>
  <c r="AA52" i="11"/>
  <c r="X52" i="11"/>
  <c r="R52" i="11"/>
  <c r="Y42" i="11"/>
  <c r="AA42" i="11"/>
  <c r="Z42" i="11"/>
  <c r="R42" i="11"/>
  <c r="X42" i="11"/>
  <c r="W42" i="11"/>
  <c r="J9" i="17" l="1"/>
  <c r="G12" i="17"/>
  <c r="W45" i="11"/>
  <c r="G6" i="17"/>
  <c r="G5" i="17"/>
  <c r="G4" i="17"/>
  <c r="K4" i="17" s="1"/>
  <c r="L4" i="17" s="1"/>
  <c r="L28" i="11"/>
  <c r="L29" i="11" s="1"/>
  <c r="L30" i="11" s="1"/>
  <c r="L31" i="11" s="1"/>
  <c r="G11" i="17"/>
  <c r="G10" i="17"/>
  <c r="G8" i="17"/>
  <c r="J8" i="17" s="1"/>
  <c r="L8" i="17" s="1"/>
  <c r="J7" i="17"/>
  <c r="L7" i="17" s="1"/>
  <c r="G9" i="17"/>
  <c r="O19" i="11"/>
  <c r="G23" i="11"/>
  <c r="Q24" i="11"/>
  <c r="K28" i="11"/>
  <c r="K29" i="11" s="1"/>
  <c r="Y19" i="11"/>
  <c r="W19" i="11"/>
  <c r="X19" i="11"/>
  <c r="H19" i="11"/>
  <c r="I19" i="11" s="1"/>
  <c r="J19" i="11" s="1"/>
  <c r="R62" i="11"/>
  <c r="Y62" i="11"/>
  <c r="W62" i="11"/>
  <c r="W65" i="11" s="1"/>
  <c r="X62" i="11"/>
  <c r="AA62" i="11"/>
  <c r="AA111" i="11"/>
  <c r="Z111" i="11"/>
  <c r="Y111" i="11"/>
  <c r="W111" i="11"/>
  <c r="Y60" i="11"/>
  <c r="X60" i="11"/>
  <c r="AA60" i="11"/>
  <c r="R60" i="11"/>
  <c r="Y70" i="11"/>
  <c r="AA102" i="11"/>
  <c r="W84" i="11"/>
  <c r="X70" i="11"/>
  <c r="K24" i="11"/>
  <c r="R70" i="11"/>
  <c r="AA70" i="11"/>
  <c r="X84" i="11"/>
  <c r="Y84" i="11"/>
  <c r="Z93" i="11"/>
  <c r="Z84" i="11"/>
  <c r="Y93" i="11"/>
  <c r="W68" i="11"/>
  <c r="X68" i="11"/>
  <c r="W102" i="11"/>
  <c r="Z102" i="11"/>
  <c r="Y102" i="11"/>
  <c r="R93" i="11"/>
  <c r="P24" i="11"/>
  <c r="X93" i="11"/>
  <c r="K69" i="11"/>
  <c r="K70" i="11" s="1"/>
  <c r="K71" i="11" s="1"/>
  <c r="K72" i="11" s="1"/>
  <c r="K73" i="11" s="1"/>
  <c r="K74" i="11" s="1"/>
  <c r="Y68" i="11"/>
  <c r="Z68" i="11"/>
  <c r="R68" i="11"/>
  <c r="AB22" i="11"/>
  <c r="F5" i="1" s="1"/>
  <c r="O59" i="11"/>
  <c r="Q59" i="11" s="1"/>
  <c r="AA59" i="11" s="1"/>
  <c r="AB58" i="11"/>
  <c r="O10" i="14"/>
  <c r="O77" i="14" s="1"/>
  <c r="P77" i="14" s="1"/>
  <c r="Z77" i="14" s="1"/>
  <c r="Q63" i="11"/>
  <c r="X63" i="11" s="1"/>
  <c r="Q43" i="11"/>
  <c r="R43" i="11" s="1"/>
  <c r="R53" i="11"/>
  <c r="Y53" i="11"/>
  <c r="X53" i="11"/>
  <c r="Z53" i="11"/>
  <c r="J54" i="11"/>
  <c r="Q54" i="11" s="1"/>
  <c r="Z54" i="11" s="1"/>
  <c r="Z41" i="11"/>
  <c r="R41" i="11"/>
  <c r="AA41" i="11"/>
  <c r="Y41" i="11"/>
  <c r="X41" i="11"/>
  <c r="Z61" i="11"/>
  <c r="AA61" i="11"/>
  <c r="R61" i="11"/>
  <c r="X61" i="11"/>
  <c r="Y61" i="11"/>
  <c r="R51" i="11"/>
  <c r="AA51" i="11"/>
  <c r="Z51" i="11"/>
  <c r="Y51" i="11"/>
  <c r="X51" i="11"/>
  <c r="Y117" i="11"/>
  <c r="F16" i="14"/>
  <c r="R10" i="14" s="1"/>
  <c r="K107" i="14"/>
  <c r="D106" i="14" s="1"/>
  <c r="X118" i="11"/>
  <c r="W118" i="11"/>
  <c r="X117" i="11"/>
  <c r="AA117" i="11"/>
  <c r="X119" i="11"/>
  <c r="W117" i="11"/>
  <c r="Z118" i="11"/>
  <c r="Z117" i="11"/>
  <c r="AA118" i="11"/>
  <c r="Y118" i="11"/>
  <c r="L37" i="14"/>
  <c r="L38" i="14" s="1"/>
  <c r="O34" i="14"/>
  <c r="Q34" i="14" s="1"/>
  <c r="W34" i="14" s="1"/>
  <c r="P80" i="14"/>
  <c r="Z80" i="14" s="1"/>
  <c r="R89" i="14"/>
  <c r="K15" i="14"/>
  <c r="P10" i="14"/>
  <c r="P15" i="14" s="1"/>
  <c r="R14" i="14"/>
  <c r="Z14" i="14" s="1"/>
  <c r="Z89" i="14"/>
  <c r="AA89" i="14"/>
  <c r="E5" i="1"/>
  <c r="L24" i="14"/>
  <c r="L25" i="14" s="1"/>
  <c r="L26" i="14" s="1"/>
  <c r="O26" i="14" s="1"/>
  <c r="Q26" i="14" s="1"/>
  <c r="X89" i="14"/>
  <c r="D5" i="1"/>
  <c r="J60" i="14"/>
  <c r="O60" i="14" s="1"/>
  <c r="Q60" i="14" s="1"/>
  <c r="Y60" i="14" s="1"/>
  <c r="W55" i="11"/>
  <c r="AB48" i="11"/>
  <c r="O57" i="14"/>
  <c r="Q57" i="14" s="1"/>
  <c r="R57" i="14" s="1"/>
  <c r="Y54" i="14"/>
  <c r="Z54" i="14"/>
  <c r="AA54" i="14"/>
  <c r="X54" i="14"/>
  <c r="R54" i="14"/>
  <c r="AB56" i="14"/>
  <c r="Y72" i="11"/>
  <c r="X72" i="11"/>
  <c r="Z72" i="11"/>
  <c r="R72" i="11"/>
  <c r="AA72" i="11"/>
  <c r="O79" i="14"/>
  <c r="P79" i="14" s="1"/>
  <c r="O106" i="14"/>
  <c r="J44" i="14"/>
  <c r="J45" i="14" s="1"/>
  <c r="J46" i="14" s="1"/>
  <c r="J47" i="14" s="1"/>
  <c r="J48" i="14" s="1"/>
  <c r="J49" i="14" s="1"/>
  <c r="P88" i="14"/>
  <c r="O97" i="14"/>
  <c r="P97" i="14" s="1"/>
  <c r="Q97" i="14" s="1"/>
  <c r="O96" i="14"/>
  <c r="P96" i="14" s="1"/>
  <c r="Q96" i="14" s="1"/>
  <c r="O78" i="14"/>
  <c r="P78" i="14" s="1"/>
  <c r="J34" i="14"/>
  <c r="J35" i="14" s="1"/>
  <c r="J36" i="14" s="1"/>
  <c r="J37" i="14" s="1"/>
  <c r="J38" i="14" s="1"/>
  <c r="J39" i="14" s="1"/>
  <c r="O105" i="14"/>
  <c r="P87" i="14"/>
  <c r="Z55" i="14"/>
  <c r="Y55" i="14"/>
  <c r="AA55" i="14"/>
  <c r="X55" i="14"/>
  <c r="R55" i="14"/>
  <c r="Y59" i="14"/>
  <c r="R59" i="14"/>
  <c r="AA59" i="14"/>
  <c r="X59" i="14"/>
  <c r="Z59" i="14"/>
  <c r="R36" i="14"/>
  <c r="AA36" i="14"/>
  <c r="Y36" i="14"/>
  <c r="X36" i="14"/>
  <c r="Z36" i="14"/>
  <c r="AB98" i="14"/>
  <c r="O9" i="1" s="1"/>
  <c r="L59" i="14"/>
  <c r="L60" i="14" s="1"/>
  <c r="O58" i="14"/>
  <c r="Q58" i="14" s="1"/>
  <c r="O46" i="14"/>
  <c r="Q46" i="14" s="1"/>
  <c r="L47" i="14"/>
  <c r="K36" i="14"/>
  <c r="K37" i="14" s="1"/>
  <c r="K38" i="14" s="1"/>
  <c r="K39" i="14" s="1"/>
  <c r="K40" i="14" s="1"/>
  <c r="O35" i="14"/>
  <c r="Q35" i="14" s="1"/>
  <c r="O44" i="14"/>
  <c r="Q44" i="14" s="1"/>
  <c r="K45" i="14"/>
  <c r="AB49" i="11"/>
  <c r="AB39" i="11"/>
  <c r="AB91" i="11"/>
  <c r="D8" i="1" s="1"/>
  <c r="AB110" i="11"/>
  <c r="E10" i="1" s="1"/>
  <c r="AB109" i="11"/>
  <c r="D10" i="1" s="1"/>
  <c r="AB100" i="11"/>
  <c r="D9" i="1" s="1"/>
  <c r="AB82" i="11"/>
  <c r="AB92" i="11"/>
  <c r="E8" i="1" s="1"/>
  <c r="AB101" i="11"/>
  <c r="E9" i="1" s="1"/>
  <c r="R64" i="11"/>
  <c r="Y64" i="11"/>
  <c r="X64" i="11"/>
  <c r="AA64" i="11"/>
  <c r="Z64" i="11"/>
  <c r="R44" i="11"/>
  <c r="Z44" i="11"/>
  <c r="Y44" i="11"/>
  <c r="AA44" i="11"/>
  <c r="X44" i="11"/>
  <c r="AB83" i="11"/>
  <c r="AB42" i="11"/>
  <c r="AB52" i="11"/>
  <c r="K12" i="17" l="1"/>
  <c r="J12" i="17"/>
  <c r="K9" i="17"/>
  <c r="L9" i="17" s="1"/>
  <c r="O30" i="11"/>
  <c r="Q30" i="11" s="1"/>
  <c r="Z30" i="11" s="1"/>
  <c r="L32" i="11"/>
  <c r="L33" i="11" s="1"/>
  <c r="L34" i="11" s="1"/>
  <c r="K10" i="17"/>
  <c r="J10" i="17"/>
  <c r="J11" i="17"/>
  <c r="K11" i="17"/>
  <c r="O99" i="11"/>
  <c r="P99" i="11" s="1"/>
  <c r="Q99" i="11" s="1"/>
  <c r="G13" i="17"/>
  <c r="J5" i="17"/>
  <c r="K5" i="17"/>
  <c r="O108" i="11"/>
  <c r="P108" i="11" s="1"/>
  <c r="Z108" i="11" s="1"/>
  <c r="O81" i="11"/>
  <c r="P81" i="11" s="1"/>
  <c r="AA81" i="11" s="1"/>
  <c r="AA19" i="11"/>
  <c r="J28" i="11"/>
  <c r="J29" i="11" s="1"/>
  <c r="J30" i="11" s="1"/>
  <c r="J31" i="11" s="1"/>
  <c r="J32" i="11" s="1"/>
  <c r="J33" i="11" s="1"/>
  <c r="Z19" i="11"/>
  <c r="P90" i="11"/>
  <c r="X90" i="11" s="1"/>
  <c r="R19" i="11"/>
  <c r="O28" i="11"/>
  <c r="Q28" i="11" s="1"/>
  <c r="Y28" i="11" s="1"/>
  <c r="O23" i="11"/>
  <c r="P94" i="11" s="1"/>
  <c r="R94" i="11" s="1"/>
  <c r="G24" i="11"/>
  <c r="K30" i="11"/>
  <c r="K31" i="11" s="1"/>
  <c r="K32" i="11" s="1"/>
  <c r="K33" i="11" s="1"/>
  <c r="K34" i="11" s="1"/>
  <c r="O29" i="11"/>
  <c r="Q29" i="11" s="1"/>
  <c r="Y29" i="11" s="1"/>
  <c r="X23" i="11"/>
  <c r="X24" i="11" s="1"/>
  <c r="W23" i="11"/>
  <c r="W24" i="11" s="1"/>
  <c r="Y23" i="11"/>
  <c r="Y24" i="11" s="1"/>
  <c r="W119" i="11"/>
  <c r="H23" i="11"/>
  <c r="I23" i="11" s="1"/>
  <c r="J23" i="11" s="1"/>
  <c r="AB111" i="11"/>
  <c r="F10" i="1" s="1"/>
  <c r="AA119" i="11"/>
  <c r="AB60" i="11"/>
  <c r="AB62" i="11"/>
  <c r="Z119" i="11"/>
  <c r="Y119" i="11"/>
  <c r="AB70" i="11"/>
  <c r="AB84" i="11"/>
  <c r="AB93" i="11"/>
  <c r="F8" i="1" s="1"/>
  <c r="AB102" i="11"/>
  <c r="F9" i="1" s="1"/>
  <c r="O69" i="11"/>
  <c r="Q69" i="11" s="1"/>
  <c r="X69" i="11" s="1"/>
  <c r="AB68" i="11"/>
  <c r="R59" i="11"/>
  <c r="Y59" i="11"/>
  <c r="Z59" i="11"/>
  <c r="X59" i="11"/>
  <c r="X65" i="11" s="1"/>
  <c r="Y77" i="14"/>
  <c r="P86" i="14"/>
  <c r="Z86" i="14" s="1"/>
  <c r="AA77" i="14"/>
  <c r="O104" i="14"/>
  <c r="O109" i="14" s="1"/>
  <c r="J24" i="14"/>
  <c r="J25" i="14" s="1"/>
  <c r="J26" i="14" s="1"/>
  <c r="J27" i="14" s="1"/>
  <c r="J28" i="14" s="1"/>
  <c r="J29" i="14" s="1"/>
  <c r="J30" i="14" s="1"/>
  <c r="O30" i="14" s="1"/>
  <c r="Q30" i="14" s="1"/>
  <c r="AA30" i="14" s="1"/>
  <c r="W77" i="14"/>
  <c r="O15" i="14"/>
  <c r="X77" i="14"/>
  <c r="O95" i="14"/>
  <c r="P95" i="14" s="1"/>
  <c r="P100" i="14" s="1"/>
  <c r="Y63" i="11"/>
  <c r="R63" i="11"/>
  <c r="X43" i="11"/>
  <c r="X45" i="11" s="1"/>
  <c r="AA54" i="11"/>
  <c r="AA55" i="11" s="1"/>
  <c r="R54" i="11"/>
  <c r="R55" i="11" s="1"/>
  <c r="Z63" i="11"/>
  <c r="AA63" i="11"/>
  <c r="AA65" i="11" s="1"/>
  <c r="Z43" i="11"/>
  <c r="Y43" i="11"/>
  <c r="Y45" i="11" s="1"/>
  <c r="AA43" i="11"/>
  <c r="AA45" i="11" s="1"/>
  <c r="X54" i="11"/>
  <c r="X55" i="11" s="1"/>
  <c r="Y54" i="11"/>
  <c r="Y55" i="11" s="1"/>
  <c r="AB53" i="11"/>
  <c r="AB51" i="11"/>
  <c r="Z55" i="11"/>
  <c r="AB61" i="11"/>
  <c r="AB41" i="11"/>
  <c r="AB118" i="11"/>
  <c r="AB117" i="11"/>
  <c r="D107" i="14"/>
  <c r="P108" i="14" s="1"/>
  <c r="O37" i="14"/>
  <c r="Q37" i="14" s="1"/>
  <c r="Z37" i="14" s="1"/>
  <c r="Z34" i="14"/>
  <c r="X34" i="14"/>
  <c r="AA34" i="14"/>
  <c r="R34" i="14"/>
  <c r="Y34" i="14"/>
  <c r="Y80" i="14"/>
  <c r="AA80" i="14"/>
  <c r="X80" i="14"/>
  <c r="W80" i="14"/>
  <c r="L27" i="14"/>
  <c r="O27" i="14" s="1"/>
  <c r="Q27" i="14" s="1"/>
  <c r="R13" i="14"/>
  <c r="AA13" i="14" s="1"/>
  <c r="AA14" i="14"/>
  <c r="AB14" i="14" s="1"/>
  <c r="R12" i="14"/>
  <c r="AA12" i="14" s="1"/>
  <c r="Z60" i="14"/>
  <c r="K24" i="14"/>
  <c r="K25" i="14" s="1"/>
  <c r="Z10" i="14"/>
  <c r="R11" i="14"/>
  <c r="Z11" i="14" s="1"/>
  <c r="AB89" i="14"/>
  <c r="O8" i="1" s="1"/>
  <c r="X60" i="14"/>
  <c r="R60" i="14"/>
  <c r="AA60" i="14"/>
  <c r="Y57" i="14"/>
  <c r="Z57" i="14"/>
  <c r="X57" i="14"/>
  <c r="AA57" i="14"/>
  <c r="AB54" i="14"/>
  <c r="AB72" i="11"/>
  <c r="P82" i="14"/>
  <c r="K46" i="14"/>
  <c r="K47" i="14" s="1"/>
  <c r="K48" i="14" s="1"/>
  <c r="K49" i="14" s="1"/>
  <c r="K50" i="14" s="1"/>
  <c r="O45" i="14"/>
  <c r="Q45" i="14" s="1"/>
  <c r="R87" i="14"/>
  <c r="Z87" i="14"/>
  <c r="AA87" i="14"/>
  <c r="Y87" i="14"/>
  <c r="X87" i="14"/>
  <c r="X88" i="14"/>
  <c r="R88" i="14"/>
  <c r="Z88" i="14"/>
  <c r="AA88" i="14"/>
  <c r="Y88" i="14"/>
  <c r="W44" i="14"/>
  <c r="Z44" i="14"/>
  <c r="R44" i="14"/>
  <c r="AA44" i="14"/>
  <c r="X44" i="14"/>
  <c r="Y44" i="14"/>
  <c r="J50" i="14"/>
  <c r="O50" i="14" s="1"/>
  <c r="Q50" i="14" s="1"/>
  <c r="O49" i="14"/>
  <c r="Q49" i="14" s="1"/>
  <c r="O38" i="14"/>
  <c r="Q38" i="14" s="1"/>
  <c r="L39" i="14"/>
  <c r="L40" i="14" s="1"/>
  <c r="O39" i="14"/>
  <c r="Q39" i="14" s="1"/>
  <c r="J40" i="14"/>
  <c r="O40" i="14" s="1"/>
  <c r="Q40" i="14" s="1"/>
  <c r="Z79" i="14"/>
  <c r="Y79" i="14"/>
  <c r="X79" i="14"/>
  <c r="W79" i="14"/>
  <c r="AA79" i="14"/>
  <c r="Y78" i="14"/>
  <c r="X78" i="14"/>
  <c r="W78" i="14"/>
  <c r="AA78" i="14"/>
  <c r="Z78" i="14"/>
  <c r="AB59" i="14"/>
  <c r="L48" i="14"/>
  <c r="O47" i="14"/>
  <c r="Q47" i="14" s="1"/>
  <c r="AB55" i="14"/>
  <c r="Z96" i="14"/>
  <c r="Y96" i="14"/>
  <c r="X96" i="14"/>
  <c r="W96" i="14"/>
  <c r="AA96" i="14"/>
  <c r="AA35" i="14"/>
  <c r="R35" i="14"/>
  <c r="Y35" i="14"/>
  <c r="X35" i="14"/>
  <c r="Z35" i="14"/>
  <c r="X46" i="14"/>
  <c r="R46" i="14"/>
  <c r="Z46" i="14"/>
  <c r="AA46" i="14"/>
  <c r="Y46" i="14"/>
  <c r="AB36" i="14"/>
  <c r="O24" i="14"/>
  <c r="Q24" i="14" s="1"/>
  <c r="Z97" i="14"/>
  <c r="W97" i="14"/>
  <c r="AA97" i="14"/>
  <c r="Y97" i="14"/>
  <c r="X97" i="14"/>
  <c r="X58" i="14"/>
  <c r="R58" i="14"/>
  <c r="W58" i="14"/>
  <c r="W61" i="14" s="1"/>
  <c r="Y58" i="14"/>
  <c r="AA58" i="14"/>
  <c r="Z58" i="14"/>
  <c r="R26" i="14"/>
  <c r="X26" i="14"/>
  <c r="AA26" i="14"/>
  <c r="Y26" i="14"/>
  <c r="Z26" i="14"/>
  <c r="AB44" i="11"/>
  <c r="AB64" i="11"/>
  <c r="R45" i="11"/>
  <c r="L12" i="17" l="1"/>
  <c r="O31" i="11"/>
  <c r="Q31" i="11" s="1"/>
  <c r="R31" i="11" s="1"/>
  <c r="K13" i="17"/>
  <c r="L13" i="17" s="1"/>
  <c r="AA30" i="11"/>
  <c r="Y30" i="11"/>
  <c r="X30" i="11"/>
  <c r="R30" i="11"/>
  <c r="Q32" i="11"/>
  <c r="AA32" i="11" s="1"/>
  <c r="L5" i="17"/>
  <c r="L11" i="17"/>
  <c r="L10" i="17"/>
  <c r="X81" i="11"/>
  <c r="X108" i="11"/>
  <c r="Y108" i="11"/>
  <c r="W108" i="11"/>
  <c r="AA108" i="11"/>
  <c r="Z81" i="11"/>
  <c r="Z90" i="11"/>
  <c r="Y90" i="11"/>
  <c r="R90" i="11"/>
  <c r="R95" i="11" s="1"/>
  <c r="AB19" i="11"/>
  <c r="C5" i="1" s="1"/>
  <c r="B16" i="1" s="1"/>
  <c r="W81" i="11"/>
  <c r="Y81" i="11"/>
  <c r="AA90" i="11"/>
  <c r="Z28" i="11"/>
  <c r="X28" i="11"/>
  <c r="AA28" i="11"/>
  <c r="AA23" i="11"/>
  <c r="AA24" i="11" s="1"/>
  <c r="R23" i="11"/>
  <c r="R24" i="11" s="1"/>
  <c r="C32" i="1" s="1"/>
  <c r="R28" i="11"/>
  <c r="O112" i="11"/>
  <c r="P112" i="11" s="1"/>
  <c r="Z112" i="11" s="1"/>
  <c r="Z113" i="11" s="1"/>
  <c r="O85" i="11"/>
  <c r="P85" i="11" s="1"/>
  <c r="W85" i="11" s="1"/>
  <c r="W28" i="11"/>
  <c r="O24" i="11"/>
  <c r="O103" i="11"/>
  <c r="P103" i="11" s="1"/>
  <c r="Q103" i="11" s="1"/>
  <c r="X103" i="11" s="1"/>
  <c r="Z23" i="11"/>
  <c r="Z24" i="11" s="1"/>
  <c r="J68" i="11"/>
  <c r="J69" i="11" s="1"/>
  <c r="J70" i="11" s="1"/>
  <c r="J71" i="11" s="1"/>
  <c r="R29" i="11"/>
  <c r="X29" i="11"/>
  <c r="AA29" i="11"/>
  <c r="Q33" i="11"/>
  <c r="J34" i="11"/>
  <c r="Q34" i="11" s="1"/>
  <c r="Z34" i="11" s="1"/>
  <c r="Z29" i="11"/>
  <c r="AA94" i="11"/>
  <c r="Y94" i="11"/>
  <c r="X94" i="11"/>
  <c r="X95" i="11" s="1"/>
  <c r="Z94" i="11"/>
  <c r="P95" i="11"/>
  <c r="I24" i="11"/>
  <c r="H24" i="11"/>
  <c r="Z65" i="11"/>
  <c r="AB119" i="11"/>
  <c r="Z69" i="11"/>
  <c r="Y69" i="11"/>
  <c r="AA69" i="11"/>
  <c r="R69" i="11"/>
  <c r="AB59" i="11"/>
  <c r="Y65" i="11"/>
  <c r="R65" i="11"/>
  <c r="Y86" i="14"/>
  <c r="Y91" i="14" s="1"/>
  <c r="P91" i="14"/>
  <c r="R86" i="14"/>
  <c r="R91" i="14" s="1"/>
  <c r="AA86" i="14"/>
  <c r="AA91" i="14" s="1"/>
  <c r="X86" i="14"/>
  <c r="AB77" i="14"/>
  <c r="Q95" i="14"/>
  <c r="Y95" i="14" s="1"/>
  <c r="O100" i="14"/>
  <c r="Z30" i="14"/>
  <c r="X30" i="14"/>
  <c r="R30" i="14"/>
  <c r="O29" i="14"/>
  <c r="Q29" i="14" s="1"/>
  <c r="X29" i="14" s="1"/>
  <c r="Y30" i="14"/>
  <c r="AB63" i="11"/>
  <c r="AB43" i="11"/>
  <c r="AB45" i="11" s="1"/>
  <c r="D6" i="1" s="1"/>
  <c r="Z45" i="11"/>
  <c r="AB54" i="11"/>
  <c r="AB55" i="11" s="1"/>
  <c r="E6" i="1" s="1"/>
  <c r="P107" i="14"/>
  <c r="W107" i="14" s="1"/>
  <c r="W124" i="14" s="1"/>
  <c r="P104" i="14"/>
  <c r="X104" i="14" s="1"/>
  <c r="P106" i="14"/>
  <c r="AA106" i="14" s="1"/>
  <c r="AA123" i="14" s="1"/>
  <c r="P105" i="14"/>
  <c r="X105" i="14" s="1"/>
  <c r="X122" i="14" s="1"/>
  <c r="X108" i="14"/>
  <c r="X125" i="14" s="1"/>
  <c r="W108" i="14"/>
  <c r="W125" i="14" s="1"/>
  <c r="Y108" i="14"/>
  <c r="Y125" i="14" s="1"/>
  <c r="AA108" i="14"/>
  <c r="AA125" i="14" s="1"/>
  <c r="Z108" i="14"/>
  <c r="Z125" i="14" s="1"/>
  <c r="X37" i="14"/>
  <c r="R37" i="14"/>
  <c r="AA37" i="14"/>
  <c r="Y37" i="14"/>
  <c r="AB34" i="14"/>
  <c r="AB80" i="14"/>
  <c r="L28" i="14"/>
  <c r="O28" i="14" s="1"/>
  <c r="Q28" i="14" s="1"/>
  <c r="Z13" i="14"/>
  <c r="AB13" i="14" s="1"/>
  <c r="P5" i="1"/>
  <c r="Z12" i="14"/>
  <c r="R15" i="14"/>
  <c r="C33" i="1" s="1"/>
  <c r="AA11" i="14"/>
  <c r="AB11" i="14" s="1"/>
  <c r="M5" i="1" s="1"/>
  <c r="AA10" i="14"/>
  <c r="AB10" i="14" s="1"/>
  <c r="L5" i="1" s="1"/>
  <c r="AB60" i="14"/>
  <c r="AA61" i="14"/>
  <c r="Y61" i="14"/>
  <c r="X61" i="14"/>
  <c r="Z61" i="14"/>
  <c r="AB57" i="14"/>
  <c r="Z91" i="14"/>
  <c r="Y82" i="14"/>
  <c r="AB79" i="14"/>
  <c r="Z82" i="14"/>
  <c r="AA82" i="14"/>
  <c r="X82" i="14"/>
  <c r="AB88" i="14"/>
  <c r="N8" i="1" s="1"/>
  <c r="AB78" i="14"/>
  <c r="AB44" i="14"/>
  <c r="AB97" i="14"/>
  <c r="N9" i="1" s="1"/>
  <c r="AB96" i="14"/>
  <c r="AB58" i="14"/>
  <c r="R40" i="14"/>
  <c r="Y40" i="14"/>
  <c r="AA40" i="14"/>
  <c r="Z40" i="14"/>
  <c r="X40" i="14"/>
  <c r="W38" i="14"/>
  <c r="W41" i="14" s="1"/>
  <c r="X38" i="14"/>
  <c r="R38" i="14"/>
  <c r="Y38" i="14"/>
  <c r="AA38" i="14"/>
  <c r="Z38" i="14"/>
  <c r="R49" i="14"/>
  <c r="Z49" i="14"/>
  <c r="AA49" i="14"/>
  <c r="Y49" i="14"/>
  <c r="X49" i="14"/>
  <c r="AB26" i="14"/>
  <c r="Y27" i="14"/>
  <c r="X27" i="14"/>
  <c r="Z27" i="14"/>
  <c r="R27" i="14"/>
  <c r="AA27" i="14"/>
  <c r="Z39" i="14"/>
  <c r="X39" i="14"/>
  <c r="AA39" i="14"/>
  <c r="Y39" i="14"/>
  <c r="R39" i="14"/>
  <c r="X50" i="14"/>
  <c r="Y50" i="14"/>
  <c r="R50" i="14"/>
  <c r="Z50" i="14"/>
  <c r="AA50" i="14"/>
  <c r="R61" i="14"/>
  <c r="AB35" i="14"/>
  <c r="O25" i="14"/>
  <c r="Q25" i="14" s="1"/>
  <c r="K26" i="14"/>
  <c r="K27" i="14" s="1"/>
  <c r="K28" i="14" s="1"/>
  <c r="K29" i="14" s="1"/>
  <c r="K30" i="14" s="1"/>
  <c r="AB87" i="14"/>
  <c r="M8" i="1" s="1"/>
  <c r="L49" i="14"/>
  <c r="L50" i="14" s="1"/>
  <c r="O48" i="14"/>
  <c r="Q48" i="14" s="1"/>
  <c r="W82" i="14"/>
  <c r="Z24" i="14"/>
  <c r="Y24" i="14"/>
  <c r="X24" i="14"/>
  <c r="W24" i="14"/>
  <c r="R24" i="14"/>
  <c r="AA24" i="14"/>
  <c r="AB46" i="14"/>
  <c r="Y47" i="14"/>
  <c r="AA47" i="14"/>
  <c r="X47" i="14"/>
  <c r="R47" i="14"/>
  <c r="Z47" i="14"/>
  <c r="Y45" i="14"/>
  <c r="X45" i="14"/>
  <c r="Z45" i="14"/>
  <c r="R45" i="14"/>
  <c r="AA45" i="14"/>
  <c r="Z99" i="11"/>
  <c r="Z116" i="11" s="1"/>
  <c r="X99" i="11"/>
  <c r="W99" i="11"/>
  <c r="Y99" i="11"/>
  <c r="AA99" i="11"/>
  <c r="AA31" i="11" l="1"/>
  <c r="Y31" i="11"/>
  <c r="X31" i="11"/>
  <c r="Z31" i="11"/>
  <c r="W31" i="11"/>
  <c r="J72" i="11"/>
  <c r="J73" i="11" s="1"/>
  <c r="J74" i="11" s="1"/>
  <c r="Q74" i="11" s="1"/>
  <c r="R74" i="11" s="1"/>
  <c r="O71" i="11"/>
  <c r="Q71" i="11" s="1"/>
  <c r="AB30" i="11"/>
  <c r="W116" i="11"/>
  <c r="W86" i="11"/>
  <c r="X32" i="11"/>
  <c r="Y32" i="11"/>
  <c r="Z32" i="11"/>
  <c r="R32" i="11"/>
  <c r="W32" i="11"/>
  <c r="AA116" i="11"/>
  <c r="Y116" i="11"/>
  <c r="Y95" i="11"/>
  <c r="AB108" i="11"/>
  <c r="C10" i="1" s="1"/>
  <c r="AB90" i="11"/>
  <c r="C8" i="1" s="1"/>
  <c r="Z95" i="11"/>
  <c r="X116" i="11"/>
  <c r="AB81" i="11"/>
  <c r="AA95" i="11"/>
  <c r="P86" i="11"/>
  <c r="AA112" i="11"/>
  <c r="AA113" i="11" s="1"/>
  <c r="X112" i="11"/>
  <c r="X120" i="11" s="1"/>
  <c r="W112" i="11"/>
  <c r="W113" i="11" s="1"/>
  <c r="Y112" i="11"/>
  <c r="Y113" i="11" s="1"/>
  <c r="P113" i="11"/>
  <c r="AB23" i="11"/>
  <c r="Q73" i="11"/>
  <c r="Z73" i="11" s="1"/>
  <c r="Y85" i="11"/>
  <c r="Y86" i="11" s="1"/>
  <c r="Z85" i="11"/>
  <c r="Z86" i="11" s="1"/>
  <c r="AA85" i="11"/>
  <c r="AA86" i="11" s="1"/>
  <c r="X85" i="11"/>
  <c r="X86" i="11" s="1"/>
  <c r="AB28" i="11"/>
  <c r="O104" i="11"/>
  <c r="O113" i="11"/>
  <c r="P104" i="11"/>
  <c r="Q105" i="11" s="1"/>
  <c r="AA74" i="11"/>
  <c r="Y103" i="11"/>
  <c r="AA103" i="11"/>
  <c r="AA104" i="11" s="1"/>
  <c r="W103" i="11"/>
  <c r="Y74" i="11"/>
  <c r="Q104" i="11"/>
  <c r="W105" i="11" s="1"/>
  <c r="Z103" i="11"/>
  <c r="Z120" i="11" s="1"/>
  <c r="Z74" i="11"/>
  <c r="AB29" i="11"/>
  <c r="X74" i="11"/>
  <c r="Y34" i="11"/>
  <c r="AA34" i="11"/>
  <c r="X34" i="11"/>
  <c r="R34" i="11"/>
  <c r="R33" i="11"/>
  <c r="Z33" i="11"/>
  <c r="AA33" i="11"/>
  <c r="X33" i="11"/>
  <c r="Y33" i="11"/>
  <c r="AB94" i="11"/>
  <c r="G8" i="1" s="1"/>
  <c r="J24" i="11"/>
  <c r="AB69" i="11"/>
  <c r="AB65" i="11"/>
  <c r="F6" i="1" s="1"/>
  <c r="F11" i="1" s="1"/>
  <c r="AB86" i="14"/>
  <c r="L8" i="1" s="1"/>
  <c r="Q8" i="1" s="1"/>
  <c r="X91" i="14"/>
  <c r="AA95" i="14"/>
  <c r="AA100" i="14" s="1"/>
  <c r="X95" i="14"/>
  <c r="X121" i="14" s="1"/>
  <c r="Q100" i="14"/>
  <c r="AB30" i="14"/>
  <c r="Z95" i="14"/>
  <c r="Z100" i="14" s="1"/>
  <c r="R29" i="14"/>
  <c r="AA29" i="14"/>
  <c r="W95" i="14"/>
  <c r="W100" i="14" s="1"/>
  <c r="Z29" i="14"/>
  <c r="Y29" i="14"/>
  <c r="M9" i="1"/>
  <c r="W104" i="14"/>
  <c r="Y104" i="14"/>
  <c r="Y121" i="14" s="1"/>
  <c r="AA104" i="14"/>
  <c r="Z104" i="14"/>
  <c r="AA107" i="14"/>
  <c r="AA124" i="14" s="1"/>
  <c r="Y107" i="14"/>
  <c r="Y124" i="14" s="1"/>
  <c r="Z107" i="14"/>
  <c r="Z124" i="14" s="1"/>
  <c r="X107" i="14"/>
  <c r="X124" i="14" s="1"/>
  <c r="Y105" i="14"/>
  <c r="Y122" i="14" s="1"/>
  <c r="W105" i="14"/>
  <c r="W122" i="14" s="1"/>
  <c r="AA105" i="14"/>
  <c r="AA122" i="14" s="1"/>
  <c r="Z105" i="14"/>
  <c r="Z122" i="14" s="1"/>
  <c r="P109" i="14"/>
  <c r="Z106" i="14"/>
  <c r="Z123" i="14" s="1"/>
  <c r="Y106" i="14"/>
  <c r="Y123" i="14" s="1"/>
  <c r="X106" i="14"/>
  <c r="W106" i="14"/>
  <c r="W123" i="14" s="1"/>
  <c r="AB108" i="14"/>
  <c r="AB37" i="14"/>
  <c r="L29" i="14"/>
  <c r="L30" i="14" s="1"/>
  <c r="Z15" i="14"/>
  <c r="AB12" i="14"/>
  <c r="AB15" i="14" s="1"/>
  <c r="AA15" i="14"/>
  <c r="E11" i="1"/>
  <c r="D11" i="1"/>
  <c r="O5" i="1"/>
  <c r="AB61" i="14"/>
  <c r="AB24" i="14"/>
  <c r="AB45" i="14"/>
  <c r="AB47" i="14"/>
  <c r="AB39" i="14"/>
  <c r="X41" i="14"/>
  <c r="AB49" i="14"/>
  <c r="Z41" i="14"/>
  <c r="Y100" i="14"/>
  <c r="R41" i="14"/>
  <c r="AB38" i="14"/>
  <c r="AA48" i="14"/>
  <c r="AA51" i="14" s="1"/>
  <c r="X48" i="14"/>
  <c r="X51" i="14" s="1"/>
  <c r="W48" i="14"/>
  <c r="W51" i="14" s="1"/>
  <c r="Z48" i="14"/>
  <c r="Z51" i="14" s="1"/>
  <c r="R48" i="14"/>
  <c r="Y48" i="14"/>
  <c r="Y51" i="14" s="1"/>
  <c r="AB50" i="14"/>
  <c r="AB27" i="14"/>
  <c r="AA41" i="14"/>
  <c r="R28" i="14"/>
  <c r="Z28" i="14"/>
  <c r="Y28" i="14"/>
  <c r="AA28" i="14"/>
  <c r="W28" i="14"/>
  <c r="W31" i="14" s="1"/>
  <c r="X28" i="14"/>
  <c r="Z25" i="14"/>
  <c r="Y25" i="14"/>
  <c r="AA25" i="14"/>
  <c r="X25" i="14"/>
  <c r="R25" i="14"/>
  <c r="AB82" i="14"/>
  <c r="L7" i="1" s="1"/>
  <c r="Y41" i="14"/>
  <c r="AB40" i="14"/>
  <c r="X104" i="11"/>
  <c r="AB99" i="11"/>
  <c r="C9" i="1" s="1"/>
  <c r="W35" i="11" l="1"/>
  <c r="AB31" i="11"/>
  <c r="W71" i="11"/>
  <c r="W75" i="11" s="1"/>
  <c r="Y71" i="11"/>
  <c r="AA71" i="11"/>
  <c r="R71" i="11"/>
  <c r="X71" i="11"/>
  <c r="Z71" i="11"/>
  <c r="Z75" i="11" s="1"/>
  <c r="Z35" i="11"/>
  <c r="AB32" i="11"/>
  <c r="H8" i="1"/>
  <c r="G5" i="1"/>
  <c r="H5" i="1" s="1"/>
  <c r="AB24" i="11"/>
  <c r="X113" i="11"/>
  <c r="X121" i="11" s="1"/>
  <c r="AB112" i="11"/>
  <c r="G10" i="1" s="1"/>
  <c r="H10" i="1" s="1"/>
  <c r="Y73" i="11"/>
  <c r="Y75" i="11" s="1"/>
  <c r="Y120" i="11"/>
  <c r="X73" i="11"/>
  <c r="R73" i="11"/>
  <c r="AA73" i="11"/>
  <c r="Y104" i="11"/>
  <c r="Y121" i="11" s="1"/>
  <c r="AA120" i="11"/>
  <c r="AB103" i="11"/>
  <c r="G9" i="1" s="1"/>
  <c r="H9" i="1" s="1"/>
  <c r="AB85" i="11"/>
  <c r="AB86" i="11" s="1"/>
  <c r="C7" i="1" s="1"/>
  <c r="D16" i="1" s="1"/>
  <c r="W104" i="11"/>
  <c r="W121" i="11" s="1"/>
  <c r="W120" i="11"/>
  <c r="AB74" i="11"/>
  <c r="Z104" i="11"/>
  <c r="Z121" i="11" s="1"/>
  <c r="AA35" i="11"/>
  <c r="X35" i="11"/>
  <c r="AB34" i="11"/>
  <c r="Y35" i="11"/>
  <c r="AB33" i="11"/>
  <c r="R35" i="11"/>
  <c r="D32" i="1" s="1"/>
  <c r="E32" i="1" s="1"/>
  <c r="AB95" i="11"/>
  <c r="E16" i="1" s="1"/>
  <c r="AB91" i="14"/>
  <c r="X100" i="14"/>
  <c r="Z121" i="14"/>
  <c r="AB95" i="14"/>
  <c r="L9" i="1" s="1"/>
  <c r="Q9" i="1" s="1"/>
  <c r="W121" i="14"/>
  <c r="AB29" i="14"/>
  <c r="AB125" i="14"/>
  <c r="P10" i="1"/>
  <c r="X109" i="14"/>
  <c r="AA121" i="11"/>
  <c r="AB116" i="11"/>
  <c r="AB104" i="14"/>
  <c r="AA121" i="14"/>
  <c r="AB107" i="14"/>
  <c r="Z109" i="14"/>
  <c r="Z126" i="14" s="1"/>
  <c r="AA109" i="14"/>
  <c r="AA126" i="14" s="1"/>
  <c r="AB105" i="14"/>
  <c r="X123" i="14"/>
  <c r="Y109" i="14"/>
  <c r="Y126" i="14" s="1"/>
  <c r="AB106" i="14"/>
  <c r="W109" i="14"/>
  <c r="W126" i="14" s="1"/>
  <c r="E17" i="1"/>
  <c r="N5" i="1"/>
  <c r="B17" i="1" s="1"/>
  <c r="D17" i="1"/>
  <c r="Q7" i="1"/>
  <c r="O6" i="1"/>
  <c r="Y31" i="14"/>
  <c r="Y73" i="14" s="1"/>
  <c r="Z31" i="14"/>
  <c r="Z73" i="14" s="1"/>
  <c r="AB25" i="14"/>
  <c r="AB41" i="14"/>
  <c r="X31" i="14"/>
  <c r="X73" i="14" s="1"/>
  <c r="AB48" i="14"/>
  <c r="AB51" i="14" s="1"/>
  <c r="AA31" i="14"/>
  <c r="AA73" i="14" s="1"/>
  <c r="R51" i="14"/>
  <c r="W73" i="14"/>
  <c r="R31" i="14"/>
  <c r="D33" i="1" s="1"/>
  <c r="E33" i="1" s="1"/>
  <c r="AB28" i="14"/>
  <c r="W77" i="11" l="1"/>
  <c r="W124" i="11" s="1"/>
  <c r="AA75" i="11"/>
  <c r="AA77" i="11" s="1"/>
  <c r="AA124" i="11" s="1"/>
  <c r="AA125" i="11" s="1"/>
  <c r="AB71" i="11"/>
  <c r="R75" i="11"/>
  <c r="R77" i="11" s="1"/>
  <c r="R124" i="11" s="1"/>
  <c r="X75" i="11"/>
  <c r="X77" i="11" s="1"/>
  <c r="X124" i="11" s="1"/>
  <c r="X125" i="11" s="1"/>
  <c r="Z77" i="11"/>
  <c r="Z124" i="11" s="1"/>
  <c r="Z125" i="11" s="1"/>
  <c r="AB113" i="11"/>
  <c r="AB104" i="11"/>
  <c r="AB73" i="11"/>
  <c r="AB35" i="11"/>
  <c r="C6" i="1" s="1"/>
  <c r="C16" i="1" s="1"/>
  <c r="H7" i="1"/>
  <c r="AB120" i="11"/>
  <c r="Y77" i="11"/>
  <c r="Y124" i="11" s="1"/>
  <c r="Y125" i="11" s="1"/>
  <c r="F33" i="1"/>
  <c r="X126" i="14"/>
  <c r="X129" i="14" s="1"/>
  <c r="X130" i="14" s="1"/>
  <c r="AB100" i="14"/>
  <c r="P11" i="1"/>
  <c r="G17" i="1" s="1"/>
  <c r="AB121" i="14"/>
  <c r="L10" i="1"/>
  <c r="AB123" i="14"/>
  <c r="N10" i="1"/>
  <c r="AB124" i="14"/>
  <c r="O10" i="1"/>
  <c r="O11" i="1" s="1"/>
  <c r="M10" i="1"/>
  <c r="AB122" i="14"/>
  <c r="F16" i="1"/>
  <c r="AB109" i="14"/>
  <c r="W129" i="14"/>
  <c r="AA129" i="14"/>
  <c r="AA130" i="14" s="1"/>
  <c r="Y129" i="14"/>
  <c r="Y130" i="14" s="1"/>
  <c r="Z129" i="14"/>
  <c r="Z130" i="14" s="1"/>
  <c r="Q5" i="1"/>
  <c r="R73" i="14"/>
  <c r="R129" i="14" s="1"/>
  <c r="M6" i="1"/>
  <c r="N6" i="1"/>
  <c r="AB31" i="14"/>
  <c r="L6" i="1" s="1"/>
  <c r="W125" i="11" l="1"/>
  <c r="W126" i="11" s="1"/>
  <c r="C20" i="1" s="1"/>
  <c r="AB75" i="11"/>
  <c r="G6" i="1" s="1"/>
  <c r="H6" i="1" s="1"/>
  <c r="H11" i="1" s="1"/>
  <c r="AB121" i="11"/>
  <c r="AB126" i="14"/>
  <c r="F17" i="1" s="1"/>
  <c r="M11" i="1"/>
  <c r="Q10" i="1"/>
  <c r="H16" i="1"/>
  <c r="W130" i="14"/>
  <c r="W131" i="14" s="1"/>
  <c r="C21" i="1" s="1"/>
  <c r="C11" i="1"/>
  <c r="N11" i="1"/>
  <c r="AB73" i="14"/>
  <c r="C17" i="1"/>
  <c r="H17" i="1" s="1"/>
  <c r="Q6" i="1"/>
  <c r="L11" i="1"/>
  <c r="AB125" i="11" l="1"/>
  <c r="X126" i="11"/>
  <c r="D20" i="1" s="1"/>
  <c r="AB77" i="11"/>
  <c r="AB124" i="11" s="1"/>
  <c r="G11" i="1"/>
  <c r="G16" i="1" s="1"/>
  <c r="AB129" i="14"/>
  <c r="AB130" i="14"/>
  <c r="Q11" i="1"/>
  <c r="Q12" i="1" s="1"/>
  <c r="X131" i="14"/>
  <c r="Y131" i="14" s="1"/>
  <c r="Y126" i="11" l="1"/>
  <c r="E20" i="1" s="1"/>
  <c r="D21" i="1"/>
  <c r="Z131" i="14"/>
  <c r="E21" i="1"/>
  <c r="Z126" i="11" l="1"/>
  <c r="F20" i="1" s="1"/>
  <c r="AA131" i="14"/>
  <c r="G21" i="1" s="1"/>
  <c r="F21" i="1"/>
  <c r="AA126" i="11" l="1"/>
  <c r="G20"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Martina De Maio</author>
  </authors>
  <commentList>
    <comment ref="A10" authorId="0" shapeId="0" xr:uid="{F8525931-A8B4-4AB3-AD3D-6B9169F761D7}">
      <text>
        <r>
          <rPr>
            <b/>
            <sz val="9"/>
            <color indexed="81"/>
            <rFont val="Tahoma"/>
            <family val="2"/>
          </rPr>
          <t>Martina De Maio:</t>
        </r>
        <r>
          <rPr>
            <sz val="9"/>
            <color indexed="81"/>
            <rFont val="Tahoma"/>
            <family val="2"/>
          </rPr>
          <t xml:space="preserve">
2U è l'occupazione nel rack 
</t>
        </r>
      </text>
    </comment>
    <comment ref="G23" authorId="0" shapeId="0" xr:uid="{813C2F2A-99A7-46D8-A67A-10106915E21F}">
      <text>
        <r>
          <rPr>
            <b/>
            <sz val="9"/>
            <color indexed="81"/>
            <rFont val="Tahoma"/>
            <family val="2"/>
          </rPr>
          <t>Martina De Maio:</t>
        </r>
        <r>
          <rPr>
            <sz val="9"/>
            <color indexed="81"/>
            <rFont val="Tahoma"/>
            <family val="2"/>
          </rPr>
          <t xml:space="preserve">
Aggiunto anche il 50% dei core di Dev e Test come da requisiti</t>
        </r>
      </text>
    </comment>
    <comment ref="C28" authorId="0" shapeId="0" xr:uid="{51081C8C-9F1D-4023-BA0F-2A6352EBE7EA}">
      <text>
        <r>
          <rPr>
            <b/>
            <sz val="9"/>
            <color indexed="81"/>
            <rFont val="Tahoma"/>
            <family val="2"/>
          </rPr>
          <t>Martina De Maio:</t>
        </r>
        <r>
          <rPr>
            <sz val="9"/>
            <color indexed="81"/>
            <rFont val="Tahoma"/>
            <family val="2"/>
          </rPr>
          <t xml:space="preserve">
Uso Linux, che è OpenSource
</t>
        </r>
      </text>
    </comment>
    <comment ref="I30" authorId="0" shapeId="0" xr:uid="{AD4D78E0-8D04-41C9-961D-AC63FB30CD26}">
      <text>
        <r>
          <rPr>
            <b/>
            <sz val="9"/>
            <color indexed="81"/>
            <rFont val="Tahoma"/>
            <family val="2"/>
          </rPr>
          <t>Martina De Maio:</t>
        </r>
        <r>
          <rPr>
            <sz val="9"/>
            <color indexed="81"/>
            <rFont val="Tahoma"/>
            <family val="2"/>
          </rPr>
          <t xml:space="preserve">
Il prezzo è per 16 core, quindi nel fattore di conversione metto 1/16</t>
        </r>
      </text>
    </comment>
    <comment ref="O32" authorId="0" shapeId="0" xr:uid="{36536DB8-08EF-496A-8302-388FCF8ECD7A}">
      <text>
        <r>
          <rPr>
            <b/>
            <sz val="9"/>
            <color indexed="81"/>
            <rFont val="Tahoma"/>
            <family val="2"/>
          </rPr>
          <t>Martina De Maio:</t>
        </r>
        <r>
          <rPr>
            <sz val="9"/>
            <color indexed="81"/>
            <rFont val="Tahoma"/>
            <family val="2"/>
          </rPr>
          <t xml:space="preserve">
Ho ipotizzato 50 VM</t>
        </r>
      </text>
    </comment>
    <comment ref="C33" authorId="0" shapeId="0" xr:uid="{6169C54E-1ED8-4B41-A0D6-710EDCFBC308}">
      <text>
        <r>
          <rPr>
            <b/>
            <sz val="9"/>
            <color indexed="81"/>
            <rFont val="Tahoma"/>
            <family val="2"/>
          </rPr>
          <t>Martina De Maio:</t>
        </r>
        <r>
          <rPr>
            <sz val="9"/>
            <color indexed="81"/>
            <rFont val="Tahoma"/>
            <family val="2"/>
          </rPr>
          <t xml:space="preserve">
Sistema dimensionato per 100 noti per tutto il sito primario, che comprende Prod,PreProd e Dev, e uno per il secondario, che comprende Test e DR.</t>
        </r>
      </text>
    </comment>
    <comment ref="C34" authorId="0" shapeId="0" xr:uid="{CCAD1630-C6AB-4D89-BE0C-CCC022E4F5D1}">
      <text>
        <r>
          <rPr>
            <b/>
            <sz val="9"/>
            <color indexed="81"/>
            <rFont val="Tahoma"/>
            <family val="2"/>
          </rPr>
          <t>Martina De Maio:</t>
        </r>
        <r>
          <rPr>
            <sz val="9"/>
            <color indexed="81"/>
            <rFont val="Tahoma"/>
            <family val="2"/>
          </rPr>
          <t xml:space="preserve">
Il prezzo è un Bundle che include 5 anni di supporto.
Ne prevedo uno per ognuno dei 2 siti.</t>
        </r>
      </text>
    </comment>
    <comment ref="D34" authorId="0" shapeId="0" xr:uid="{BFFAD835-8DB9-4B5E-9A99-8FD15428794C}">
      <text>
        <r>
          <rPr>
            <b/>
            <sz val="9"/>
            <color indexed="81"/>
            <rFont val="Tahoma"/>
            <family val="2"/>
          </rPr>
          <t>Martina De Maio:</t>
        </r>
        <r>
          <rPr>
            <sz val="9"/>
            <color indexed="81"/>
            <rFont val="Tahoma"/>
            <family val="2"/>
          </rPr>
          <t xml:space="preserve">
5y included</t>
        </r>
      </text>
    </comment>
    <comment ref="E34" authorId="0" shapeId="0" xr:uid="{EAC677A2-EF92-4124-9AE1-AD1977758E06}">
      <text>
        <r>
          <rPr>
            <b/>
            <sz val="9"/>
            <color indexed="81"/>
            <rFont val="Tahoma"/>
            <family val="2"/>
          </rPr>
          <t>Martina De Maio:</t>
        </r>
        <r>
          <rPr>
            <sz val="9"/>
            <color indexed="81"/>
            <rFont val="Tahoma"/>
            <family val="2"/>
          </rPr>
          <t xml:space="preserve">
5y included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Martina De Maio</author>
  </authors>
  <commentList>
    <comment ref="C4" authorId="0" shapeId="0" xr:uid="{261FED55-C1D1-40A3-AF86-D7DF8A404179}">
      <text>
        <r>
          <rPr>
            <b/>
            <sz val="9"/>
            <color indexed="81"/>
            <rFont val="Tahoma"/>
            <family val="2"/>
          </rPr>
          <t>Martina De Maio:</t>
        </r>
        <r>
          <rPr>
            <sz val="9"/>
            <color indexed="81"/>
            <rFont val="Tahoma"/>
            <family val="2"/>
          </rPr>
          <t xml:space="preserve">
Uso Linux, che è OpenSource
</t>
        </r>
      </text>
    </comment>
    <comment ref="E6" authorId="0" shapeId="0" xr:uid="{AEACC62E-AA08-4EDF-A97B-2D0F27D06C14}">
      <text>
        <r>
          <rPr>
            <b/>
            <sz val="9"/>
            <color indexed="81"/>
            <rFont val="Tahoma"/>
            <family val="2"/>
          </rPr>
          <t>Martina De Maio:</t>
        </r>
        <r>
          <rPr>
            <sz val="9"/>
            <color indexed="81"/>
            <rFont val="Tahoma"/>
            <family val="2"/>
          </rPr>
          <t xml:space="preserve">
Compreso in Linux 2.6.20</t>
        </r>
      </text>
    </comment>
    <comment ref="F8" authorId="0" shapeId="0" xr:uid="{B70BE9CB-6EF2-4C00-B637-149F0857E0F3}">
      <text>
        <r>
          <rPr>
            <b/>
            <sz val="9"/>
            <color indexed="81"/>
            <rFont val="Tahoma"/>
            <family val="2"/>
          </rPr>
          <t>Martina De Maio:</t>
        </r>
        <r>
          <rPr>
            <sz val="9"/>
            <color indexed="81"/>
            <rFont val="Tahoma"/>
            <family val="2"/>
          </rPr>
          <t xml:space="preserve">
PVU per core</t>
        </r>
      </text>
    </comment>
    <comment ref="F9" authorId="0" shapeId="0" xr:uid="{3DBF32D0-350F-41C1-B468-0A900077C7E6}">
      <text>
        <r>
          <rPr>
            <b/>
            <sz val="9"/>
            <color indexed="81"/>
            <rFont val="Tahoma"/>
            <family val="2"/>
          </rPr>
          <t>Martina De Maio:</t>
        </r>
        <r>
          <rPr>
            <sz val="9"/>
            <color indexed="81"/>
            <rFont val="Tahoma"/>
            <family val="2"/>
          </rPr>
          <t xml:space="preserve">
Il prezzo è per 16 core, quindi nel fattore di conversione metto 1/16</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<sst xmlns="http://schemas.openxmlformats.org/spreadsheetml/2006/main" count="830" uniqueCount="286">
  <si>
    <t>Components</t>
  </si>
  <si>
    <t>Hardware</t>
  </si>
  <si>
    <t>Software</t>
  </si>
  <si>
    <t>People</t>
  </si>
  <si>
    <t>Network</t>
  </si>
  <si>
    <t>Facilities</t>
  </si>
  <si>
    <t>Prod</t>
  </si>
  <si>
    <t>Dev</t>
  </si>
  <si>
    <t>Test</t>
  </si>
  <si>
    <t>QA</t>
  </si>
  <si>
    <t>DR</t>
  </si>
  <si>
    <t>Environments</t>
  </si>
  <si>
    <t>Typically x86 workload</t>
  </si>
  <si>
    <t>Small Size Enterprise</t>
  </si>
  <si>
    <t>Server Model</t>
  </si>
  <si>
    <t>Starting Year of Maint</t>
  </si>
  <si>
    <t>kW</t>
  </si>
  <si>
    <t># of Server</t>
  </si>
  <si>
    <t># of Sockets</t>
  </si>
  <si>
    <t>TOT</t>
  </si>
  <si>
    <t>Acquisition Cost</t>
  </si>
  <si>
    <t>Maintenance/ Operating Cost</t>
  </si>
  <si>
    <t>Discount
%</t>
  </si>
  <si>
    <t># of Cores
per socket</t>
  </si>
  <si>
    <t># of Cores per Server</t>
  </si>
  <si>
    <t># of 
Sockets</t>
  </si>
  <si>
    <t># of 
Cores</t>
  </si>
  <si>
    <t>DB</t>
  </si>
  <si>
    <t>VM</t>
  </si>
  <si>
    <t>Application Server</t>
  </si>
  <si>
    <t>OS</t>
  </si>
  <si>
    <t>Software Stack</t>
  </si>
  <si>
    <t>socket</t>
  </si>
  <si>
    <t>core</t>
  </si>
  <si>
    <t>server</t>
  </si>
  <si>
    <t>Avg yearly Fully loaded cost of IT Staff</t>
  </si>
  <si>
    <t>Avg cost of Networking Infrastructure per Server</t>
  </si>
  <si>
    <t># of "boxes" per Rack</t>
  </si>
  <si>
    <t>Footprint of Server Rack Cabinet</t>
  </si>
  <si>
    <t>Fully loaded cost of space per sq meter</t>
  </si>
  <si>
    <t>Electricity Additional Cost for cooling, UPS and other peripherals</t>
  </si>
  <si>
    <t>%</t>
  </si>
  <si>
    <t>$/kWh</t>
  </si>
  <si>
    <t>$</t>
  </si>
  <si>
    <t>sq.m.</t>
  </si>
  <si>
    <t># of Servers</t>
  </si>
  <si>
    <t># of Rack Cab</t>
  </si>
  <si>
    <t>Avg. Footprint</t>
  </si>
  <si>
    <t>Space</t>
  </si>
  <si>
    <t>Electricity Consumption of Selected Server</t>
  </si>
  <si>
    <t>kWh</t>
  </si>
  <si>
    <t>Electricity</t>
  </si>
  <si>
    <t>TPS by Core</t>
  </si>
  <si>
    <t>Typical
core Ratio</t>
  </si>
  <si>
    <t>Prod
cores</t>
  </si>
  <si>
    <t>HA 
cores</t>
  </si>
  <si>
    <t>DR
cores</t>
  </si>
  <si>
    <t>Dev
cores</t>
  </si>
  <si>
    <t>Test
cores</t>
  </si>
  <si>
    <t>PreProd/QA</t>
  </si>
  <si>
    <t>PreProd
cores</t>
  </si>
  <si>
    <t>Tot # of cores</t>
  </si>
  <si>
    <t>The typical core ratio take into account:</t>
  </si>
  <si>
    <t>Starting Year of Maint charges</t>
  </si>
  <si>
    <t>Acquisition/ Capital Cost</t>
  </si>
  <si>
    <t>Unit of Measure</t>
  </si>
  <si>
    <t>Units</t>
  </si>
  <si>
    <t>TOTALS</t>
  </si>
  <si>
    <t>Environment being investigated</t>
  </si>
  <si>
    <t xml:space="preserve"> </t>
  </si>
  <si>
    <t>Production</t>
  </si>
  <si>
    <t>Pre Prod / QA</t>
  </si>
  <si>
    <t>Software Stack TOTALS</t>
  </si>
  <si>
    <t>This is for patches, upgrade, backup, Crit Sit or Disaster recovery personnels, etc</t>
  </si>
  <si>
    <t>Avg discount %</t>
  </si>
  <si>
    <t>Avg Maintenance/ Operating Cost (% of acq.)</t>
  </si>
  <si>
    <t>Avg Maintenance/ Operating Cost (Currency)</t>
  </si>
  <si>
    <t>TOT # of Servers</t>
  </si>
  <si>
    <t>FTE
Require</t>
  </si>
  <si>
    <t>TOT FTE required</t>
  </si>
  <si>
    <t># of Servers covered by 1 FTE for IT Operations considering QoS</t>
  </si>
  <si>
    <t>Actual Electricity Cost at the sites</t>
  </si>
  <si>
    <t>Yearly kWh/ server</t>
  </si>
  <si>
    <t>kWh / year</t>
  </si>
  <si>
    <t>Facilities TOTALS</t>
  </si>
  <si>
    <t># of Cores for bare workload</t>
  </si>
  <si>
    <t>Allocated
Cores</t>
  </si>
  <si>
    <t>% of Cores 
vs bare workload</t>
  </si>
  <si>
    <t>cores per Server</t>
  </si>
  <si>
    <t>Spare Cores</t>
  </si>
  <si>
    <t>Tot cores available</t>
  </si>
  <si>
    <t>% of spare cores</t>
  </si>
  <si>
    <t>Allocated Servers</t>
  </si>
  <si>
    <t>Allocated Sockets</t>
  </si>
  <si>
    <t>Measured by</t>
  </si>
  <si>
    <t>conversion factor</t>
  </si>
  <si>
    <t>PVU</t>
  </si>
  <si>
    <t>count</t>
  </si>
  <si>
    <t>PROD</t>
  </si>
  <si>
    <t>DEV</t>
  </si>
  <si>
    <t>Pre Prod /QA</t>
  </si>
  <si>
    <t>Year 1</t>
  </si>
  <si>
    <t>Year 2</t>
  </si>
  <si>
    <t>Year 3</t>
  </si>
  <si>
    <t>Year 4</t>
  </si>
  <si>
    <t>Year 5</t>
  </si>
  <si>
    <t>Cumulative Costs</t>
  </si>
  <si>
    <t>x86</t>
  </si>
  <si>
    <t>Total costs for this scenario</t>
  </si>
  <si>
    <t>Tot costs per year</t>
  </si>
  <si>
    <t>Tot cumulative costs</t>
  </si>
  <si>
    <t>Data Replication Tools</t>
  </si>
  <si>
    <t>CBU Cost</t>
  </si>
  <si>
    <t>Total by Env</t>
  </si>
  <si>
    <t>Tot by Comp</t>
  </si>
  <si>
    <t>Linux ONE</t>
  </si>
  <si>
    <t>Enterprise Grade Linux Environment</t>
  </si>
  <si>
    <t>Typically LinuxONE</t>
  </si>
  <si>
    <t>Site 1
CBU</t>
  </si>
  <si>
    <t>Site 2
CBU</t>
  </si>
  <si>
    <t>Price per Site</t>
  </si>
  <si>
    <t>SW Incl</t>
  </si>
  <si>
    <t>SW incl</t>
  </si>
  <si>
    <t>Allocation %</t>
  </si>
  <si>
    <t>Admin</t>
  </si>
  <si>
    <t>Management</t>
  </si>
  <si>
    <t>Maintenance/ Subscription</t>
  </si>
  <si>
    <t>Monitoring Tools</t>
  </si>
  <si>
    <t>Security Tools</t>
  </si>
  <si>
    <t>Dev % 
of Workload</t>
  </si>
  <si>
    <t>Test % 
of Workload</t>
  </si>
  <si>
    <t>x86 to z
Core
ratio
no DR</t>
  </si>
  <si>
    <t>x86 to z
Core
ratio</t>
  </si>
  <si>
    <t xml:space="preserve">Architecture, GHz &amp; utilization, VM &amp; Hypervisor effect, System Overhead, Networking co-location effect, Sysplex, etc. </t>
  </si>
  <si>
    <t>PreProd</t>
  </si>
  <si>
    <t>see sizing</t>
  </si>
  <si>
    <t>In order to make a simple and realistic sizing, for this exercise a simplified approach is used considering the Typical core ratio.</t>
  </si>
  <si>
    <t>Electricity Consumption by fully loaded z Server</t>
  </si>
  <si>
    <t>Simplicistic architecture considering always 2 LinuxONE servers, each one in a different site for HA &amp; DR</t>
  </si>
  <si>
    <t>Although these data will change slightly depending the server model used, these data averages are proved by many real workloads and documented also on papers such as those reported in the references.</t>
  </si>
  <si>
    <t>Workload [TPS]=</t>
  </si>
  <si>
    <t># of Cores
for workload TPS</t>
  </si>
  <si>
    <t>TCA (1st year)</t>
  </si>
  <si>
    <t>Workload (TPS)</t>
  </si>
  <si>
    <t>Simplicistic model to build a price example</t>
  </si>
  <si>
    <t>LinuxONE</t>
  </si>
  <si>
    <t>core cost</t>
  </si>
  <si>
    <t># of Cores (core) for bare workload</t>
  </si>
  <si>
    <t>Site 1
core</t>
  </si>
  <si>
    <t>Site 2
core</t>
  </si>
  <si>
    <t>Electricity by core</t>
  </si>
  <si>
    <t>Included cores</t>
  </si>
  <si>
    <t>Rack server w Xeon Gold 6146 12C 3.20GHz (4 Chips, 48 Cores)</t>
  </si>
  <si>
    <t>Rack server w Xeon Gold 5115 10C 2.40GHz (2 Chips, 20 Cores)</t>
  </si>
  <si>
    <t>Rack server w  Xeon Gold 6244 8C 3.60GHz (2 Chips, 16 Cores)</t>
  </si>
  <si>
    <t>Acquisition/Capital Cost</t>
  </si>
  <si>
    <t>Number of cores</t>
  </si>
  <si>
    <t>Reference: A. Micarelli, S. Proietti Conti, "Why Application Requirements Should Drive the Choice of your Infrastructure", 2021 IBM Corporation web published paper</t>
  </si>
  <si>
    <t>Download at:</t>
  </si>
  <si>
    <t>https://www.ibm.com/downloads/cas/2VVYYVNP</t>
  </si>
  <si>
    <t>Sizing Disclaimer:</t>
  </si>
  <si>
    <t xml:space="preserve">https://www.ibm.com/it-infrastructure/resources/tools/linuxone-tco-calculator/ </t>
  </si>
  <si>
    <t>This is an estimate based on this web page:</t>
  </si>
  <si>
    <t>Starting Year of yearly charges</t>
  </si>
  <si>
    <t>Legend:</t>
  </si>
  <si>
    <t>Optional input</t>
  </si>
  <si>
    <t>Calculation of required cores for a real workload requires sophisticated analysis.</t>
  </si>
  <si>
    <t>Calculated values</t>
  </si>
  <si>
    <t>Constant</t>
  </si>
  <si>
    <t>Calculated values highlighted (Important)</t>
  </si>
  <si>
    <t>Calculated values highlighted (Very Important)</t>
  </si>
  <si>
    <t>Input field</t>
  </si>
  <si>
    <t>Suggested input (reccomended not change)</t>
  </si>
  <si>
    <t>Rack server w Xeon Gold 6146 12C 3.20GHz (2 Chips, 24 Cores)</t>
  </si>
  <si>
    <t>x86 to z
Active Core
ratio</t>
  </si>
  <si>
    <t>Tot # of Active cores
no DR</t>
  </si>
  <si>
    <t>DR CBU (spare)
cores</t>
  </si>
  <si>
    <t>Tot # of Active cores</t>
  </si>
  <si>
    <t>Core per Server</t>
  </si>
  <si>
    <t>PreProd 
% of Workload</t>
  </si>
  <si>
    <t>Savings =</t>
  </si>
  <si>
    <t>Max Server Faults</t>
  </si>
  <si>
    <t>HA Ratio</t>
  </si>
  <si>
    <t>Lenovo Rack server ThinkSystem 2U SR665 AMD EPYC 7352 24C 155W 2.3GHz Processor w/o Fan(Standard)  (2 Chips, 48 Cores)</t>
  </si>
  <si>
    <t>Data Center Solution Configurator Summary</t>
  </si>
  <si>
    <t>Preparato per:</t>
  </si>
  <si>
    <t>Preparato da:</t>
  </si>
  <si>
    <t>Quotazione n.:</t>
  </si>
  <si>
    <t>Data prezzo:</t>
  </si>
  <si>
    <t>30-mar-21</t>
  </si>
  <si>
    <t>La configurazione finale può contenere hardware, software e servizi; pertanto, è opportuno prendere in considerazione le implicazioni di contabilità. Un prezzo totale per il pacchetto deve essere presentato solo con approvazione contabile.</t>
  </si>
  <si>
    <t>Data quotazione:</t>
  </si>
  <si>
    <t>Data di scadenza della quotazione:</t>
  </si>
  <si>
    <t>ID soluzione:</t>
  </si>
  <si>
    <t>Numero parte</t>
  </si>
  <si>
    <t>Descrizione del prodotto</t>
  </si>
  <si>
    <t>Qtà</t>
  </si>
  <si>
    <t>Prezzo</t>
  </si>
  <si>
    <t>Prezzo totale della parte</t>
  </si>
  <si>
    <t>(per unità)
Euro</t>
  </si>
  <si>
    <t>(quantità x prezzo unitario)
Euro</t>
  </si>
  <si>
    <t/>
  </si>
  <si>
    <t>7D2VA039EA</t>
  </si>
  <si>
    <t>Server : SR665 1xAMD EPYC 7352 (24C 2.3GHz 128MB Cache/155W) 64GB 3200MHz (2x32GB, 2Rx8 RDIMM), O/B, 940-8i 4GB, 1x750W, XCC Enterprise, Toolless Rails V2, Broadcom 2 Port 25Gb OCP</t>
  </si>
  <si>
    <t>Sarà necessario aggiungere manualmente:</t>
  </si>
  <si>
    <t>4XG7A63374</t>
  </si>
  <si>
    <t>ThinkSystem SR665 AMD EPYC 7352 24C 155W 2.3GHz Processor w/o Fan</t>
  </si>
  <si>
    <t>4F17A14489</t>
  </si>
  <si>
    <t>ThinkSystem 2U Performance Fan Option Kit</t>
  </si>
  <si>
    <t>5PS7A78567</t>
  </si>
  <si>
    <t>Premier Essential - 3Yr 24x7 24Hr CSR + YDYD SR665</t>
  </si>
  <si>
    <t>Total</t>
  </si>
  <si>
    <t>TERMINI E CONDIZIONI:</t>
  </si>
  <si>
    <t>Accordo di licenza Lenovo per le macchine</t>
  </si>
  <si>
    <t>A meno che non ci sia un accordo in vigore tra Lenovo e il Cliente, i presenti termini e condizioni, comprese le dichiarazioni di garanzia, i contratti di licenza e gli eventuali allegati applicabili associati rappresentano l'accordo unico e completo tra il Cliente e Lenovo per quanto riguarda i prodotti o servizi acquistati indicati di seguito. Eventuali termini aggiuntivi o diversi in qualsiasi ordine o comunicazione da parte del Cliente non saranno vincolanti per Lenovo a meno che non vi sia la firma di un rappresentante autorizzato di Lenovo.</t>
  </si>
  <si>
    <t>1. Definizioni</t>
  </si>
  <si>
    <t>1.1 Per Macchina si intende un server o prodotto hardware di storage identificato da un tipo di macchina e relative funzioni, conversioni o aggiornamenti. Il termine "Macchina" non include alcun programma, sia precaricato con la Macchina, installato successivamente, o altrimenti.</t>
  </si>
  <si>
    <t>1.2 Per Codice macchina si intende tutto il codice fornito per una Macchina (tra cui, a titolo esemplificativo, il firmware e il microcodice di una macchina), escluso il codice che viene concesso in licenza nell'ambito di un accordo di licenza diverso da quello del contratto di licenza che regola l'uso del Codice macchina. Il termine Codice Macchina comprende ogni copia intera o parziale del Codice macchina, e qualsiasi correzione, patch o sostituzione fornita per il Codice macchina.</t>
  </si>
  <si>
    <t>1.3 Per prodotto si intende qualsiasi hardware con marchio Lenovo o di terzi o un software che Lenovo mette a disposizione per l'acquisto da parte del cliente nell'ambito del presente accordo. I prodotti hardware includono PC, server, dispositivi di storage e accessori. I prodotti software includono i programmi per computer (precaricati o forniti separatamente) e il materiale correlato fornito in licenza, come la documentazione.</t>
  </si>
  <si>
    <t>1.4 Per Programma si intende un software o prodotto concesso in licenza nell'ambito di un contratto di licenza separato.</t>
  </si>
  <si>
    <t>1.5 Il servizio è l'esecuzione di un'attività, la fornitura di consulenza o assistenza o l'accesso a una risorsa come un database di informazioni che in alcuni casi è disponibile al Cliente nell'ambito di un accordo separato.</t>
  </si>
  <si>
    <t>2. Prezzi e pagamento</t>
  </si>
  <si>
    <t>2.1 Fatta eccezione per le transazioni di credito o di debito, o se il pagamento non avviene in anticipo, sarà dovuto al ricevimento della fattura. Tutti gli importi non ricevuti da Lenovo entro trenta (30) giorni dalla ricezione della fattura saranno considerati in ritardo. Il Cliente dovrà corrispondere un importo per il pagamento ritardato pari all'1,5% al mese o al tasso massimo consentito dalla legge (il minore dei due) sull'importo della fattura in sospeso. Il Cliente dovrà corrispondere qualsiasi imposta applicabile sulla vendita, sull'uso o simili a meno che non fornisca a Lenovo la documentazione di esenzione. Il Cliente è responsabile per le imposte sui prodotti, se del caso, a partire dalla data in cui Lenovo li fornisce al Cliente, oppure sui servizi alla data in cui questi vengono forniti da Lenovo. Non si applicano altri sconti, riduzioni per quantità o promozioni se non concordato per iscritto con Lenovo. Le spese di consegna, se applicabili, saranno quelle specificate sulla fattura.</t>
  </si>
  <si>
    <t>2.2 Se Lenovo commette un errore nelle informazioni sui prezzi, può rifiutare o annullare un ordine per un prodotto o servizio preventivato a tale prezzo, anche se ha confermato la ricezione dell'ordine da parte del Cliente o se ha addebitato la carta di credito o debito del Cliente. Se ha eseguito un addebito sulla carta di credito o di debito del Cliente, Lenovo effettuerà tempestivamente un accredito su tale carta pari all'importo dell'addebito.</t>
  </si>
  <si>
    <t>4. Resi</t>
  </si>
  <si>
    <t>Il Cliente può restituire un prodotto nuovo standard che si trova ancora nella sua confezione integra e non aperta a Lenovo per qualsiasi motivo entro ventuno (21) giorni dalla data della fattura, per ottenere un rimborso o un accredito. I clienti possono restituire solo l'intero prodotto o tutti i prodotti per ottenere un rimborso o un accredito. Non sono disponibili per i Clienti rimborsi parziali o accrediti per prodotti non standard, o per prodotti configurati in base alle esigenze del Cliente, tra cui l'installazione di opzioni software del prodotto, oppure quantitativi di prodotti i cui prezzi non sono separati.</t>
  </si>
  <si>
    <t>Al fine di ricevere un accredito o il rimborso, il Cliente dovrà contattare il proprio rappresentante Lenovo Inside Sales per ottenere una autorizzazione di reso. Il Cliente dovrà restituire il nuovo Prodotto, inclusi gli accessori e tutta la documentazione, intatto e nella confezione originale non aperta all'indirizzo ed entro la data specificati da Lenovo. Al Prodotto reso occorre allegare una copia della fattura, il modulo di autorizzazione di reso e l'etichetta di spedizione. I resi possono essere soggetti a una spesa di rifornimento per un importo del quindici per cento (15%) del prezzo pagato. Le spese di spedizione e movimentazione non saranno rimborsate o accreditate al Cliente. I prodotti restituiti senza un modulo di autorizzazione di reso Lenovo oppure dopo la data specificata da Lenovo saranno soggetti a una spesa di rifornimento per un importo del quindici per cento (15%) del prezzo pagato. Il Cliente accetta di pagare la spesa di rifornimento se richiesto da Lenovo.</t>
  </si>
  <si>
    <t>Il rimborso o l'accredito non sono disponibili per la restituzione di prodotti che non sono generalmente disponibili ai clienti e per i quali Lenovo ha creato un tipo di modello macchina (MTM) unico o un numero parte o configurazione.</t>
  </si>
  <si>
    <t>I resi di prodotti spediti come conseguenza di un errore da parte di Lenovo saranno accettati da Lenovo. Lenovo avvierà un reso di tali prodotti con la documentazione appropriata senza alcun costo per il Cliente se l'errore viene notificato a Lenovo entro ventuno (21) giorni dalla data della fattura. Se il Cliente ha acquistato un prodotto software distinto da un prodotto hardware e ha pagato una spesa di licenza software, ma non accetta i termini della licenza, il Cliente può restituire il prodotto software entro ventuno (21) giorni dalla data della fattura e riceverà un rimborso o un accredito per l'importo dell'addebito.</t>
  </si>
  <si>
    <t>5. Garanzie</t>
  </si>
  <si>
    <t>5.1 I Prodotti hardware per PC Lenovo sono garantiti in conformità alla Garanzia limitata Lenovo che accompagna ogni Prodotto o reperibile all'indirizzo Web http://www.lenovo.com/services_warranty/US/en/index.html &amp;char(10) Le Macchine Lenovo sono garantite in conformità alla Dichiarazione di garanzia limitata di Lenovo che accompagna ogni Macchina Lenovo o reperibile all'indirizzo Web http://www.lenovo.com/services_warranty/US/en/index.html</t>
  </si>
  <si>
    <t>5.2 I Programmi sono concessi in licenza secondo i termini dell'accordo di licenza che accompagna il Programma. L'eventuale garanzia di un Programma è quella specificata nell'accordo di licenza.</t>
  </si>
  <si>
    <t>5.3 LENOVO NON RILASCIA DICHIARAZIONI NÉ GARANZIE SU PRODOTTI O SERVIZI DI TERZE PARTI. TALE SOFTWARE, SERVIZIO, SUPPORTO E I PRODOTTI SONO FORNITI "COME SONO", SENZA GARANZIE O CONDIZIONI DI ALCUN TIPO. ALCUNI STATI NON ACCETTANO LIMITAZIONI ALLA GARANZIA, CHE PERTANTO POTREBBERO NON ESSERE APPLICABILI AL CLIENTE. I FORNITORI TERZI DI SOFTWARE, SERVIZI, PRODOTTI E SUPPORTO POSSONO FORNIRE GARANZIE AL CLIENTE.</t>
  </si>
  <si>
    <t>6. Proprietà e rischio di perdita</t>
  </si>
  <si>
    <t>6.1 La proprietà dei prodotti hardware passa al Cliente al momento della spedizione da parte di Lenovo. Lenovo può riservare un interesse di sicurezza monetario in un prodotto hardware Lenovo finché non riceve il pagamento di tutte le somme dovute. Lenovo non trasferisce la proprietà dei programmi.</t>
  </si>
  <si>
    <t>6.2 Lenovo si assume il rischio di perdita per i prodotti hardware fino a che non vengono consegnati all'indirizzo specificato dal Cliente. Il Cliente si assume il rischio di perdita dopo la consegna all'indirizzo specificato.</t>
  </si>
  <si>
    <t>7. Generale</t>
  </si>
  <si>
    <t>7.1 Informazioni sul Cliente. Lenovo e le sue affiliate possono memorizzare, usare ed elaborare le informazioni di contatto e altre informazioni sul Cliente, compreso il nome, i numeri di telefono, l'indirizzo e gli indirizzi e-mail, necessarie per l'esecuzione del presente accordo, tra cui, a titolo esemplificativo servizio di garanzia. Tali informazioni saranno elaborate e utilizzate in relazione al presente Accordo e ai Prodotti o Servizi. Possono essere trasferite da Lenovo in qualsiasi Paese in cui Lenovo svolge la propria attività e possono essere fornite a soggetti che agiscono per conto di Lenovo in relazione al presente Accordo e ai Prodotti o Servizi. È inoltre possibile che le informazioni vengano rese pubbliche da Lenovo se richiesto dalla legge.</t>
  </si>
  <si>
    <t>7.2 LIMITAZIONE DI RESPONSABILITÀ. IN QUALSIASI AZIONE AI SENSI O IN RELAZIONE AL PRESENTE ACCORDO, LENOVO NON SARÀ RESPONSABILE NEI CONFRONTI DEL CLIENTE PER QUANTO SEGUE ANCHE SE INFORMATO DELLA POSSIBILITÀ DEL VERIFICARSI O MENO, DERIVANTE DA CONTRATTO O ILLECITO (COMPRESA LA NEGLIGENZA) O ALTRO: 1) RECLAMI DA PARTE DI TERZI NEI CONFRONTI DELL'UTENTE RELATIVAMENTE A DANNI; 2) PERDITA, O DANNEGGIAMENTO DEI DATI DELL'UTENTE OPPURE 3) DANNI SPECIALI, ACCIDENTALI, INDIRETTI, PUNITIVI O CONSEQUENZIALI O 4) PERDITA DI PROFITTO, ENTRATE AZIENDALI, AVVIAMENTO O RISPARMI ANTICIPATI. POICHÉ LA LEGISLAZIONE DI ALCUNI PAESI NON CONSENTE L'ESCLUSIONE O LA LIMITAZIONE DI ALCUNI DANNI, LE SUDDETTE ESCLUSIONI O LIMITAZIONI POTREBBERO NON ESSERE APPLICABILI AL PRESENTE ACCORDO. FATTA ECCEZIONE PER LE LESIONI (INCLUSO IL DECESSO) E DANNI MATERIALI A PROPRIETÀ REALE O PRIVATA, LENOVO NON SARÀ RESPONSABILE PER UN IMPORTO SUPERIORE A QUELLO DEI DANNI DIRETTI REALI SUBITI DAL CLIENTE, FINO ALL'IMPORTO PAGATO DAL CLIENTE PER IL PRODOTTO O IL SERVIZIO.</t>
  </si>
  <si>
    <t>7.3 Forza maggiore. Lenovo non è responsabile nei confronti del Cliente per qualsiasi mancanza o ritardo nell'esecuzione degli obblighi indicati di seguito, nella misura in cui tale mancanza o ritardo è causato da incendi, inondazioni, terremoti, altri eventi naturali, atti di guerra, terrorismo, sommosse, disordini civili, ribellioni o rivoluzioni, epidemie, guasti alle linee di comunicazione o elettriche, leggi governative, ordini o regolamenti giudiziari o qualsiasi altra causa al di là del ragionevole controllo di Lenovo.</t>
  </si>
  <si>
    <t>7.4 Modifiche dei prodotti. Lenovo può modificare o ritirare i Prodotti in qualsiasi momento. In tal caso, Lenovo può soddisfare l'ordine del Cliente con un Prodotto dalle funzionalità e prestazioni uguali al Prodotto ordinato dal Cliente.</t>
  </si>
  <si>
    <t>7.5 Esportazione. Tutti i Prodotti acquistati ai sensi del presente Accordo sono destinati all'uso esclusivamente negli Stati Uniti e sono soggetti ai regolamenti sulle esportazioni degli Stati Uniti. Il Cliente si impegna a rispettare i regolamenti sulle esportazioni degli Stati Uniti.</t>
  </si>
  <si>
    <t>7.6 Legge applicabile. Il presente Accordo e tutti gli ordini emessi ai sensi dello stesso è regolato dalle leggi dello Stato di New York, a prescindere da eventuali conflitti con principi di legge. Nessuna delle parti può avanzare un'azione derivante dal presente Accordo di vendita più di due anni dopo dal verificarsi della causa d'azione.</t>
  </si>
  <si>
    <t>Eventuali termini aggiuntivi o diversi in qualsiasi ordine o comunicazione da parte del Cliente non saranno vincolanti per Lenovo a meno che non vi sia la firma di un rappresentante autorizzato di Lenovo. La conferma della ricezione dell'ordine del Cliente non significa l'accettazione da parte di Lenovo dell'ordine del Cliente.</t>
  </si>
  <si>
    <t>Linux</t>
  </si>
  <si>
    <t>vmware</t>
  </si>
  <si>
    <t>kvm</t>
  </si>
  <si>
    <t>https://www.linux-kvm.org/page/Main_Page</t>
  </si>
  <si>
    <t xml:space="preserve">Oracle WebLogic Server Enterprise Edition </t>
  </si>
  <si>
    <t>Jboss</t>
  </si>
  <si>
    <t>IBM WebSphere</t>
  </si>
  <si>
    <t>Named User Plus</t>
  </si>
  <si>
    <t xml:space="preserve">MySQL	</t>
  </si>
  <si>
    <t>Total Maintenance/ Operating Cost</t>
  </si>
  <si>
    <t>Total Acquisition/ Capital Cost</t>
  </si>
  <si>
    <t>Microsoft SQL Server</t>
  </si>
  <si>
    <t>#of</t>
  </si>
  <si>
    <t>Discount</t>
  </si>
  <si>
    <t>TOTAL</t>
  </si>
  <si>
    <t>https://www.microsoft.com/it-it/sql-server/sql-server-2019-pricing</t>
  </si>
  <si>
    <t>https://shop.oracle.com/apex/f?p=DSTORE:6:::NO:RP,6:P6_LPI,P6_PROD_HIER_ID:60720318189220530576677,58095029061520477171389</t>
  </si>
  <si>
    <t>server (con 1-4 socket)</t>
  </si>
  <si>
    <t>s</t>
  </si>
  <si>
    <t>Nagios XI Enterprise Edition 100 nodes</t>
  </si>
  <si>
    <t>https://www.zerto.com/</t>
  </si>
  <si>
    <t>Zerto Virtual Replication Enterprise Cloud Edition - 25 VM Pack</t>
  </si>
  <si>
    <t>25 VM</t>
  </si>
  <si>
    <t>50 VM</t>
  </si>
  <si>
    <t>FG-200E-BDL-974-60 FortiGate-200E Hardware plus 24x7 FortiCare and FortiGuard Enterprise Bundle</t>
  </si>
  <si>
    <t>5y included</t>
  </si>
  <si>
    <t>nodes</t>
  </si>
  <si>
    <t>-</t>
  </si>
  <si>
    <t>n/a</t>
  </si>
  <si>
    <t>https://www.buyfortinet.net/Fortinet-FG-200E-BDL-974-60-p/fg-200e-bdl-974-60.htm</t>
  </si>
  <si>
    <t>https://www.fortinet.com/resources-content/fortinet/assets/data-sheets/file/FortiGate_200E_Series</t>
  </si>
  <si>
    <t>Oracle Database Enterprise Edition</t>
  </si>
  <si>
    <t>TPS</t>
  </si>
  <si>
    <t>COSTO TOTALE</t>
  </si>
  <si>
    <t>COSTO DB</t>
  </si>
  <si>
    <t>2000 (1 server Fault)</t>
  </si>
  <si>
    <t>2000 (2 server Fault)</t>
  </si>
  <si>
    <t>DR active cores 
% of Prod+PreProd</t>
  </si>
  <si>
    <t>Price LinuxONE</t>
  </si>
  <si>
    <t>Price x86</t>
  </si>
  <si>
    <t>1 for each site</t>
  </si>
  <si>
    <t>included in bundle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</si>
</sst>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4" formatCode="_-* #,##0.00\ &quot;€&quot;_-;\-* #,##0.00\ &quot;€&quot;_-;_-* &quot;-&quot;??\ &quot;€&quot;_-;_-@_-"/>
    <numFmt numFmtId="43" formatCode="_-* #,##0.00_-;\-* #,##0.00_-;_-* &quot;-&quot;??_-;_-@_-"/>
    <numFmt numFmtId="164" formatCode="0.0"/>
    <numFmt numFmtId="165" formatCode="#,##0_ ;\-#,##0\ "/>
    <numFmt numFmtId="166" formatCode="_-* #,##0\ _€_-;\-* #,##0\ _€_-;_-* &quot;-&quot;\ _€_-;_-@_-"/>
    <numFmt numFmtId="167" formatCode="_-* #,##0.00\ _€_-;\-* #,##0.00\ _€_-;_-* &quot;-&quot;\ _€_-;_-@_-"/>
    <numFmt numFmtId="168" formatCode="_-* #,##0_-;\-* #,##0_-;_-* &quot;-&quot;??_-;_-@_-"/>
    <numFmt numFmtId="169" formatCode="#,##0.0_ ;\-#,##0.0\ "/>
    <numFmt numFmtId="170" formatCode="#,##0.000_ ;\-#,##0.000\ "/>
    <numFmt numFmtId="171" formatCode="0.000"/>
    <numFmt numFmtId="172" formatCode="_(&quot;€&quot;* #,##0.00_);_(&quot;€&quot;* \(#,##0.00\);_(&quot;€&quot;* &quot;-&quot;??_);_(@_)"/>
    <numFmt numFmtId="175" formatCode="#,##0.00\ &quot;€&quot;"/>
    <numFmt numFmtId="176" formatCode="#,##0\ _€"/>
  </numFmts>
  <fonts count="24" x14ac:knownFonts="1">
    <font>
      <sz val="11"/>
      <color theme="1"/>
      <name val="Calibri"/>
      <family val="2"/>
      <scheme val="minor"/>
    </font>
    <font>
      <b/>
      <sz val="11"/>
      <color theme="1"/>
      <name val="Calibri"/>
      <family val="2"/>
      <scheme val="minor"/>
    </font>
    <font>
      <sz val="11"/>
      <color theme="1"/>
      <name val="Calibri"/>
      <family val="2"/>
      <scheme val="minor"/>
    </font>
    <font>
      <sz val="11"/>
      <color rgb="FFFF0000"/>
      <name val="Calibri"/>
      <family val="2"/>
      <scheme val="minor"/>
    </font>
    <font>
      <sz val="9"/>
      <color theme="1"/>
      <name val="Calibri"/>
      <family val="2"/>
      <scheme val="minor"/>
    </font>
    <font>
      <sz val="8"/>
      <name val="Calibri"/>
      <family val="2"/>
      <scheme val="minor"/>
    </font>
    <font>
      <b/>
      <sz val="14"/>
      <color theme="1"/>
      <name val="Calibri"/>
      <family val="2"/>
      <scheme val="minor"/>
    </font>
    <font>
      <b/>
      <sz val="16"/>
      <color theme="1"/>
      <name val="Calibri"/>
      <family val="2"/>
      <scheme val="minor"/>
    </font>
    <font>
      <sz val="11"/>
      <name val="Calibri"/>
      <family val="2"/>
      <scheme val="minor"/>
    </font>
    <font>
      <b/>
      <sz val="10"/>
      <color theme="1"/>
      <name val="Calibri"/>
      <family val="2"/>
      <scheme val="minor"/>
    </font>
    <font>
      <sz val="8"/>
      <color theme="1"/>
      <name val="Calibri"/>
      <family val="2"/>
      <scheme val="minor"/>
    </font>
    <font>
      <sz val="16"/>
      <color theme="1"/>
      <name val="Calibri"/>
      <family val="2"/>
      <scheme val="minor"/>
    </font>
    <font>
      <sz val="10"/>
      <color theme="1"/>
      <name val="Calibri"/>
      <family val="2"/>
      <scheme val="minor"/>
    </font>
    <font>
      <u/>
      <sz val="11"/>
      <color theme="10"/>
      <name val="Calibri"/>
      <family val="2"/>
      <scheme val="minor"/>
    </font>
    <font>
      <b/>
      <sz val="9"/>
      <color theme="1"/>
      <name val="Calibri"/>
      <family val="2"/>
      <scheme val="minor"/>
    </font>
    <font>
      <b/>
      <sz val="11"/>
      <color rgb="FFFF0000"/>
      <name val="Calibri"/>
      <family val="2"/>
      <scheme val="minor"/>
    </font>
    <font>
      <sz val="9"/>
      <color indexed="81"/>
      <name val="Tahoma"/>
      <family val="2"/>
    </font>
    <font>
      <b/>
      <sz val="9"/>
      <color indexed="81"/>
      <name val="Tahoma"/>
      <family val="2"/>
    </font>
    <font>
      <sz val="10"/>
      <name val="Arial"/>
      <family val="2"/>
    </font>
    <font>
      <sz val="32"/>
      <color indexed="9"/>
      <name val="Arial"/>
      <family val="2"/>
    </font>
    <font>
      <sz val="12"/>
      <name val="Arial"/>
      <family val="2"/>
    </font>
    <font>
      <b/>
      <sz val="12"/>
      <color indexed="9"/>
      <name val="Arial"/>
      <family val="2"/>
    </font>
    <font>
      <b/>
      <sz val="12"/>
      <name val="Arial"/>
      <family val="2"/>
    </font>
    <font>
      <b/>
      <sz val="11"/>
      <color theme="0"/>
      <name val="Calibri"/>
      <family val="2"/>
      <scheme val="minor"/>
    </font>
  </fonts>
  <fills count="18">
    <fill>
      <patternFill patternType="none"/>
    </fill>
    <fill>
      <patternFill patternType="gray125"/>
    </fill>
    <fill>
      <patternFill patternType="solid">
        <fgColor theme="5" tint="0.79998168889431442"/>
        <bgColor indexed="64"/>
      </patternFill>
    </fill>
    <fill>
      <patternFill patternType="solid">
        <fgColor theme="9" tint="0.79998168889431442"/>
        <bgColor indexed="64"/>
      </patternFill>
    </fill>
    <fill>
      <patternFill patternType="solid">
        <fgColor rgb="FF92D050"/>
        <bgColor indexed="64"/>
      </patternFill>
    </fill>
    <fill>
      <patternFill patternType="solid">
        <fgColor rgb="FFFFC000"/>
        <bgColor indexed="64"/>
      </patternFill>
    </fill>
    <fill>
      <patternFill patternType="solid">
        <fgColor rgb="FFFFFF00"/>
        <bgColor indexed="64"/>
      </patternFill>
    </fill>
    <fill>
      <patternFill patternType="solid">
        <fgColor theme="4" tint="0.79998168889431442"/>
        <bgColor indexed="64"/>
      </patternFill>
    </fill>
    <fill>
      <patternFill patternType="solid">
        <fgColor theme="8" tint="0.59999389629810485"/>
        <bgColor indexed="64"/>
      </patternFill>
    </fill>
    <fill>
      <patternFill patternType="solid">
        <fgColor theme="4" tint="0.59999389629810485"/>
        <bgColor indexed="64"/>
      </patternFill>
    </fill>
    <fill>
      <patternFill patternType="solid">
        <fgColor rgb="FFFFFFCC"/>
        <bgColor indexed="64"/>
      </patternFill>
    </fill>
    <fill>
      <patternFill patternType="solid">
        <fgColor theme="0" tint="-0.14999847407452621"/>
        <bgColor indexed="64"/>
      </patternFill>
    </fill>
    <fill>
      <patternFill patternType="solid">
        <fgColor rgb="FF00B0F0"/>
        <bgColor indexed="64"/>
      </patternFill>
    </fill>
    <fill>
      <patternFill patternType="solid">
        <fgColor indexed="10"/>
        <bgColor indexed="64"/>
      </patternFill>
    </fill>
    <fill>
      <patternFill patternType="solid">
        <fgColor indexed="11"/>
        <bgColor indexed="64"/>
      </patternFill>
    </fill>
    <fill>
      <patternFill patternType="solid">
        <fgColor indexed="9"/>
        <bgColor indexed="64"/>
      </patternFill>
    </fill>
    <fill>
      <patternFill patternType="solid">
        <fgColor theme="0" tint="-4.9989318521683403E-2"/>
        <bgColor indexed="64"/>
      </patternFill>
    </fill>
    <fill>
      <patternFill patternType="solid">
        <fgColor theme="4" tint="-0.249977111117893"/>
        <bgColor indexed="64"/>
      </patternFill>
    </fill>
  </fills>
  <borders count="3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style="thin">
        <color indexed="64"/>
      </right>
      <top/>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thin">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s>
  <cellStyleXfs count="6">
    <xf numFmtId="0" fontId="0"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13" fillId="0" borderId="0" applyNumberFormat="0" applyFill="0" applyBorder="0" applyAlignment="0" applyProtection="0"/>
    <xf numFmtId="0" fontId="18" fillId="0" borderId="0"/>
  </cellStyleXfs>
  <cellXfs count="249">
    <xf numFmtId="0" fontId="0" fillId="0" borderId="0" xfId="0"/>
    <xf numFmtId="0" fontId="0" fillId="0" borderId="0" xfId="0" applyAlignment="1">
      <alignment horizontal="center"/>
    </xf>
    <xf numFmtId="0" fontId="0" fillId="3" borderId="0" xfId="0" applyFill="1" applyAlignment="1">
      <alignment horizontal="right" vertical="center"/>
    </xf>
    <xf numFmtId="0" fontId="0" fillId="0" borderId="0" xfId="0" applyAlignment="1">
      <alignment vertical="center"/>
    </xf>
    <xf numFmtId="0" fontId="0" fillId="0" borderId="0" xfId="0" applyAlignment="1">
      <alignment horizontal="left"/>
    </xf>
    <xf numFmtId="0" fontId="1" fillId="0" borderId="0" xfId="0" applyFont="1" applyAlignment="1">
      <alignment horizontal="center" vertical="center"/>
    </xf>
    <xf numFmtId="0" fontId="1" fillId="0" borderId="0" xfId="0" applyFont="1" applyAlignment="1">
      <alignment horizontal="center" vertical="center" wrapText="1"/>
    </xf>
    <xf numFmtId="0" fontId="0" fillId="0" borderId="0" xfId="0" applyAlignment="1">
      <alignment horizontal="center" wrapText="1"/>
    </xf>
    <xf numFmtId="0" fontId="0" fillId="0" borderId="0" xfId="0" applyAlignment="1"/>
    <xf numFmtId="2" fontId="0" fillId="0" borderId="0" xfId="0" applyNumberFormat="1" applyAlignment="1">
      <alignment horizontal="center"/>
    </xf>
    <xf numFmtId="0" fontId="0" fillId="0" borderId="0" xfId="0" applyAlignment="1">
      <alignment horizontal="center" vertical="center"/>
    </xf>
    <xf numFmtId="0" fontId="4" fillId="0" borderId="0" xfId="0" applyFont="1" applyAlignment="1">
      <alignment horizontal="center" vertical="center" wrapText="1"/>
    </xf>
    <xf numFmtId="0" fontId="0" fillId="6" borderId="1" xfId="0" applyFill="1" applyBorder="1"/>
    <xf numFmtId="0" fontId="0" fillId="6" borderId="1" xfId="0" applyFill="1" applyBorder="1" applyAlignment="1">
      <alignment horizontal="center"/>
    </xf>
    <xf numFmtId="0" fontId="0" fillId="0" borderId="0" xfId="0" applyAlignment="1">
      <alignment horizontal="right"/>
    </xf>
    <xf numFmtId="0" fontId="0" fillId="8" borderId="1" xfId="0" applyFill="1" applyBorder="1" applyAlignment="1">
      <alignment horizontal="center"/>
    </xf>
    <xf numFmtId="165" fontId="0" fillId="6" borderId="1" xfId="2" applyNumberFormat="1" applyFont="1" applyFill="1" applyBorder="1" applyAlignment="1">
      <alignment horizontal="center"/>
    </xf>
    <xf numFmtId="9" fontId="0" fillId="6" borderId="1" xfId="3" applyFont="1" applyFill="1" applyBorder="1" applyAlignment="1">
      <alignment horizontal="center"/>
    </xf>
    <xf numFmtId="0" fontId="0" fillId="0" borderId="0" xfId="0" applyAlignment="1">
      <alignment horizontal="center" vertical="center" wrapText="1"/>
    </xf>
    <xf numFmtId="166" fontId="0" fillId="7" borderId="1" xfId="2" applyNumberFormat="1" applyFont="1" applyFill="1" applyBorder="1"/>
    <xf numFmtId="166" fontId="0" fillId="9" borderId="1" xfId="2" applyNumberFormat="1" applyFont="1" applyFill="1" applyBorder="1"/>
    <xf numFmtId="166" fontId="1" fillId="7" borderId="1" xfId="2" applyNumberFormat="1" applyFont="1" applyFill="1" applyBorder="1"/>
    <xf numFmtId="165" fontId="1" fillId="7" borderId="1" xfId="2" applyNumberFormat="1" applyFont="1" applyFill="1" applyBorder="1" applyAlignment="1">
      <alignment horizontal="center"/>
    </xf>
    <xf numFmtId="9" fontId="1" fillId="7" borderId="1" xfId="3" applyFont="1" applyFill="1" applyBorder="1" applyAlignment="1">
      <alignment horizontal="center"/>
    </xf>
    <xf numFmtId="0" fontId="0" fillId="10" borderId="1" xfId="0" applyFill="1" applyBorder="1"/>
    <xf numFmtId="0" fontId="0" fillId="10" borderId="1" xfId="0" applyFill="1" applyBorder="1" applyAlignment="1">
      <alignment horizontal="center"/>
    </xf>
    <xf numFmtId="166" fontId="0" fillId="6" borderId="1" xfId="2" applyNumberFormat="1" applyFont="1" applyFill="1" applyBorder="1"/>
    <xf numFmtId="166" fontId="0" fillId="10" borderId="1" xfId="2" applyNumberFormat="1" applyFont="1" applyFill="1" applyBorder="1"/>
    <xf numFmtId="165" fontId="0" fillId="10" borderId="1" xfId="2" applyNumberFormat="1" applyFont="1" applyFill="1" applyBorder="1" applyAlignment="1">
      <alignment horizontal="center"/>
    </xf>
    <xf numFmtId="9" fontId="0" fillId="10" borderId="1" xfId="3" applyFont="1" applyFill="1" applyBorder="1" applyAlignment="1">
      <alignment horizontal="center"/>
    </xf>
    <xf numFmtId="165" fontId="0" fillId="5" borderId="1" xfId="2" applyNumberFormat="1" applyFont="1" applyFill="1" applyBorder="1" applyAlignment="1">
      <alignment horizontal="center"/>
    </xf>
    <xf numFmtId="0" fontId="1" fillId="7" borderId="1" xfId="0" applyFont="1" applyFill="1" applyBorder="1"/>
    <xf numFmtId="0" fontId="1" fillId="7" borderId="1" xfId="0" applyFont="1" applyFill="1" applyBorder="1" applyAlignment="1">
      <alignment horizontal="center"/>
    </xf>
    <xf numFmtId="0" fontId="0" fillId="7" borderId="1" xfId="0" applyFill="1" applyBorder="1" applyAlignment="1">
      <alignment horizontal="center"/>
    </xf>
    <xf numFmtId="166" fontId="0" fillId="6" borderId="1" xfId="2" applyNumberFormat="1" applyFont="1" applyFill="1" applyBorder="1" applyAlignment="1">
      <alignment horizontal="center"/>
    </xf>
    <xf numFmtId="167" fontId="0" fillId="6" borderId="1" xfId="2" applyNumberFormat="1" applyFont="1" applyFill="1" applyBorder="1" applyAlignment="1">
      <alignment horizontal="center"/>
    </xf>
    <xf numFmtId="0" fontId="0" fillId="7" borderId="0" xfId="0" applyFill="1" applyAlignment="1">
      <alignment horizontal="center"/>
    </xf>
    <xf numFmtId="164" fontId="0" fillId="7" borderId="1" xfId="0" applyNumberFormat="1" applyFill="1" applyBorder="1" applyAlignment="1">
      <alignment horizontal="center"/>
    </xf>
    <xf numFmtId="0" fontId="0" fillId="0" borderId="1" xfId="0" applyBorder="1"/>
    <xf numFmtId="0" fontId="1" fillId="0" borderId="0" xfId="0" applyFont="1"/>
    <xf numFmtId="0" fontId="6" fillId="0" borderId="0" xfId="0" applyFont="1"/>
    <xf numFmtId="0" fontId="7" fillId="0" borderId="0" xfId="0" applyFont="1"/>
    <xf numFmtId="168" fontId="0" fillId="0" borderId="0" xfId="1" applyNumberFormat="1" applyFont="1"/>
    <xf numFmtId="165" fontId="0" fillId="11" borderId="1" xfId="1" applyNumberFormat="1" applyFont="1" applyFill="1" applyBorder="1" applyAlignment="1">
      <alignment horizontal="center" vertical="center"/>
    </xf>
    <xf numFmtId="165" fontId="0" fillId="0" borderId="1" xfId="1" applyNumberFormat="1" applyFont="1" applyFill="1" applyBorder="1" applyAlignment="1">
      <alignment horizontal="center" vertical="center"/>
    </xf>
    <xf numFmtId="165" fontId="0" fillId="5" borderId="1" xfId="1" applyNumberFormat="1" applyFont="1" applyFill="1" applyBorder="1" applyAlignment="1">
      <alignment horizontal="center" vertical="center"/>
    </xf>
    <xf numFmtId="0" fontId="3" fillId="0" borderId="0" xfId="0" applyFont="1"/>
    <xf numFmtId="0" fontId="0" fillId="5" borderId="1" xfId="0" applyFill="1" applyBorder="1"/>
    <xf numFmtId="0" fontId="1" fillId="0" borderId="0" xfId="0" applyFont="1" applyAlignment="1">
      <alignment horizontal="center"/>
    </xf>
    <xf numFmtId="170" fontId="1" fillId="7" borderId="1" xfId="2" applyNumberFormat="1" applyFont="1" applyFill="1" applyBorder="1" applyAlignment="1">
      <alignment horizontal="center"/>
    </xf>
    <xf numFmtId="0" fontId="1" fillId="9" borderId="1" xfId="0" applyFont="1" applyFill="1" applyBorder="1" applyAlignment="1">
      <alignment horizontal="center"/>
    </xf>
    <xf numFmtId="165" fontId="0" fillId="11" borderId="1" xfId="2" applyNumberFormat="1" applyFont="1" applyFill="1" applyBorder="1" applyAlignment="1">
      <alignment horizontal="center"/>
    </xf>
    <xf numFmtId="166" fontId="0" fillId="7" borderId="6" xfId="2" applyNumberFormat="1" applyFont="1" applyFill="1" applyBorder="1"/>
    <xf numFmtId="0" fontId="0" fillId="0" borderId="7"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166" fontId="0" fillId="9" borderId="6" xfId="2" applyNumberFormat="1" applyFont="1" applyFill="1" applyBorder="1"/>
    <xf numFmtId="0" fontId="0" fillId="0" borderId="5" xfId="0" applyBorder="1" applyAlignment="1">
      <alignment horizontal="center" vertical="center"/>
    </xf>
    <xf numFmtId="0" fontId="1" fillId="4" borderId="0" xfId="0" applyFont="1" applyFill="1" applyAlignment="1">
      <alignment horizontal="center" vertical="center"/>
    </xf>
    <xf numFmtId="0" fontId="0" fillId="4" borderId="0" xfId="0" applyFill="1"/>
    <xf numFmtId="0" fontId="0" fillId="4" borderId="0" xfId="0" applyFill="1" applyAlignment="1">
      <alignment horizontal="center" vertical="center"/>
    </xf>
    <xf numFmtId="166" fontId="1" fillId="9" borderId="1" xfId="2" applyNumberFormat="1" applyFont="1" applyFill="1" applyBorder="1"/>
    <xf numFmtId="166" fontId="1" fillId="12" borderId="1" xfId="2" applyNumberFormat="1" applyFont="1" applyFill="1" applyBorder="1"/>
    <xf numFmtId="0" fontId="8" fillId="0" borderId="0" xfId="0" applyFont="1"/>
    <xf numFmtId="0" fontId="1" fillId="0" borderId="0" xfId="0" applyFont="1" applyAlignment="1">
      <alignment horizontal="right"/>
    </xf>
    <xf numFmtId="164" fontId="1" fillId="9" borderId="1" xfId="0" applyNumberFormat="1" applyFont="1" applyFill="1" applyBorder="1" applyAlignment="1">
      <alignment horizontal="center"/>
    </xf>
    <xf numFmtId="168" fontId="1" fillId="9" borderId="1" xfId="1" applyNumberFormat="1" applyFont="1" applyFill="1" applyBorder="1" applyAlignment="1">
      <alignment horizontal="center"/>
    </xf>
    <xf numFmtId="0" fontId="3" fillId="6" borderId="1" xfId="0" applyFont="1" applyFill="1" applyBorder="1" applyAlignment="1">
      <alignment horizontal="center"/>
    </xf>
    <xf numFmtId="166" fontId="0" fillId="0" borderId="1" xfId="2" applyNumberFormat="1" applyFont="1" applyBorder="1" applyAlignment="1">
      <alignment vertical="center"/>
    </xf>
    <xf numFmtId="166" fontId="1" fillId="3" borderId="0" xfId="0" applyNumberFormat="1" applyFont="1" applyFill="1" applyAlignment="1">
      <alignment vertical="center"/>
    </xf>
    <xf numFmtId="166" fontId="0" fillId="0" borderId="0" xfId="0" applyNumberFormat="1"/>
    <xf numFmtId="166" fontId="0" fillId="12" borderId="1" xfId="2" applyNumberFormat="1" applyFont="1" applyFill="1" applyBorder="1"/>
    <xf numFmtId="0" fontId="0" fillId="12" borderId="1" xfId="0" applyFill="1" applyBorder="1" applyAlignment="1">
      <alignment horizontal="center"/>
    </xf>
    <xf numFmtId="0" fontId="0" fillId="0" borderId="1" xfId="0" applyBorder="1" applyAlignment="1">
      <alignment horizontal="center" vertical="center" wrapText="1"/>
    </xf>
    <xf numFmtId="0" fontId="0" fillId="12" borderId="1" xfId="0"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xf>
    <xf numFmtId="9" fontId="0" fillId="0" borderId="1" xfId="3" applyFont="1" applyBorder="1"/>
    <xf numFmtId="0" fontId="1" fillId="12" borderId="1" xfId="0" applyFont="1" applyFill="1" applyBorder="1" applyAlignment="1">
      <alignment horizontal="center" vertical="center"/>
    </xf>
    <xf numFmtId="0" fontId="1" fillId="0" borderId="1" xfId="0" applyFont="1" applyBorder="1" applyAlignment="1">
      <alignment horizontal="center" vertical="center"/>
    </xf>
    <xf numFmtId="0" fontId="1" fillId="12" borderId="1" xfId="0" applyFont="1" applyFill="1" applyBorder="1" applyAlignment="1">
      <alignment horizontal="center"/>
    </xf>
    <xf numFmtId="0" fontId="1" fillId="0" borderId="1" xfId="0" applyFont="1" applyBorder="1" applyAlignment="1">
      <alignment horizontal="center"/>
    </xf>
    <xf numFmtId="9" fontId="1" fillId="0" borderId="1" xfId="3" applyFont="1" applyBorder="1"/>
    <xf numFmtId="0" fontId="0" fillId="0" borderId="0" xfId="0" applyFill="1" applyAlignment="1">
      <alignment horizontal="center" vertical="center" wrapText="1"/>
    </xf>
    <xf numFmtId="0" fontId="0" fillId="0" borderId="1" xfId="0" applyFill="1" applyBorder="1" applyAlignment="1">
      <alignment horizontal="center"/>
    </xf>
    <xf numFmtId="0" fontId="0" fillId="6" borderId="1" xfId="0" applyFill="1" applyBorder="1" applyAlignment="1">
      <alignment horizontal="center" vertical="center"/>
    </xf>
    <xf numFmtId="168" fontId="0" fillId="10" borderId="1" xfId="1" applyNumberFormat="1" applyFont="1" applyFill="1" applyBorder="1" applyAlignment="1">
      <alignment horizontal="center"/>
    </xf>
    <xf numFmtId="0" fontId="0" fillId="10" borderId="1" xfId="0" applyFill="1" applyBorder="1" applyAlignment="1">
      <alignment horizontal="center" vertical="center"/>
    </xf>
    <xf numFmtId="166" fontId="0" fillId="7" borderId="1" xfId="2" applyNumberFormat="1" applyFont="1" applyFill="1" applyBorder="1" applyAlignment="1">
      <alignment vertical="center"/>
    </xf>
    <xf numFmtId="0" fontId="0" fillId="2" borderId="0" xfId="0" applyFill="1" applyAlignment="1">
      <alignment horizontal="right" vertical="center"/>
    </xf>
    <xf numFmtId="166" fontId="0" fillId="2" borderId="0" xfId="0" applyNumberFormat="1" applyFill="1" applyAlignment="1">
      <alignment horizontal="center" vertical="center"/>
    </xf>
    <xf numFmtId="0" fontId="1" fillId="3" borderId="0" xfId="0" applyFont="1" applyFill="1" applyAlignment="1">
      <alignment horizontal="center" vertical="center"/>
    </xf>
    <xf numFmtId="0" fontId="0" fillId="12" borderId="4" xfId="0" applyFill="1" applyBorder="1" applyAlignment="1">
      <alignment horizontal="center" vertical="center"/>
    </xf>
    <xf numFmtId="0" fontId="1" fillId="0" borderId="6" xfId="0" applyFont="1" applyBorder="1"/>
    <xf numFmtId="0" fontId="0" fillId="0" borderId="2" xfId="0" applyBorder="1" applyAlignment="1">
      <alignment horizontal="center" vertical="center" wrapText="1"/>
    </xf>
    <xf numFmtId="0" fontId="0" fillId="12" borderId="4" xfId="0" applyFill="1" applyBorder="1" applyAlignment="1">
      <alignment horizontal="center" vertical="center" wrapText="1"/>
    </xf>
    <xf numFmtId="0" fontId="0" fillId="0" borderId="10" xfId="0" applyBorder="1" applyAlignment="1">
      <alignment horizontal="center" vertical="center" wrapText="1"/>
    </xf>
    <xf numFmtId="9" fontId="0" fillId="0" borderId="1" xfId="3" applyFont="1" applyFill="1" applyBorder="1" applyAlignment="1">
      <alignment horizontal="center"/>
    </xf>
    <xf numFmtId="9" fontId="1" fillId="9" borderId="1" xfId="3" applyFont="1" applyFill="1" applyBorder="1" applyAlignment="1">
      <alignment horizontal="center"/>
    </xf>
    <xf numFmtId="166" fontId="0" fillId="0" borderId="0" xfId="0" applyNumberFormat="1" applyAlignment="1">
      <alignment horizontal="center" vertical="center"/>
    </xf>
    <xf numFmtId="2" fontId="0" fillId="0" borderId="1" xfId="0" applyNumberFormat="1" applyFill="1" applyBorder="1" applyAlignment="1">
      <alignment horizontal="center"/>
    </xf>
    <xf numFmtId="170" fontId="0" fillId="7" borderId="1" xfId="0" applyNumberFormat="1" applyFill="1" applyBorder="1" applyAlignment="1">
      <alignment horizontal="center"/>
    </xf>
    <xf numFmtId="168" fontId="0" fillId="7" borderId="1" xfId="1" applyNumberFormat="1" applyFont="1" applyFill="1" applyBorder="1" applyAlignment="1">
      <alignment horizontal="center"/>
    </xf>
    <xf numFmtId="166" fontId="1" fillId="0" borderId="0" xfId="0" applyNumberFormat="1" applyFont="1"/>
    <xf numFmtId="0" fontId="0" fillId="3" borderId="0" xfId="0" applyFill="1" applyAlignment="1">
      <alignment horizontal="center" vertical="center"/>
    </xf>
    <xf numFmtId="0" fontId="0" fillId="2" borderId="0" xfId="0" applyFill="1" applyAlignment="1">
      <alignment horizontal="center" vertical="center"/>
    </xf>
    <xf numFmtId="0" fontId="1" fillId="9" borderId="1" xfId="0" applyFont="1" applyFill="1" applyBorder="1" applyAlignment="1">
      <alignment horizontal="center" vertical="center"/>
    </xf>
    <xf numFmtId="168" fontId="0" fillId="10" borderId="1" xfId="1" applyNumberFormat="1" applyFont="1" applyFill="1" applyBorder="1"/>
    <xf numFmtId="0" fontId="11" fillId="0" borderId="0" xfId="0" applyFont="1"/>
    <xf numFmtId="0" fontId="7" fillId="0" borderId="0" xfId="0" applyFont="1" applyAlignment="1">
      <alignment horizontal="center" vertical="center"/>
    </xf>
    <xf numFmtId="0" fontId="12" fillId="0" borderId="0" xfId="0" applyFont="1" applyAlignment="1">
      <alignment horizontal="center" vertical="center" wrapText="1"/>
    </xf>
    <xf numFmtId="9" fontId="0" fillId="7" borderId="1" xfId="3" applyFont="1" applyFill="1" applyBorder="1" applyAlignment="1">
      <alignment horizontal="center"/>
    </xf>
    <xf numFmtId="9" fontId="0" fillId="7" borderId="11" xfId="3" applyFont="1" applyFill="1" applyBorder="1" applyAlignment="1">
      <alignment horizontal="center"/>
    </xf>
    <xf numFmtId="9" fontId="0" fillId="7" borderId="12" xfId="3" applyFont="1" applyFill="1" applyBorder="1" applyAlignment="1">
      <alignment horizontal="center"/>
    </xf>
    <xf numFmtId="169" fontId="0" fillId="7" borderId="1" xfId="0" applyNumberFormat="1" applyFill="1" applyBorder="1" applyAlignment="1">
      <alignment horizontal="center"/>
    </xf>
    <xf numFmtId="9" fontId="0" fillId="11" borderId="1" xfId="0" applyNumberFormat="1" applyFill="1" applyBorder="1" applyAlignment="1">
      <alignment horizontal="center" vertical="center"/>
    </xf>
    <xf numFmtId="164" fontId="0" fillId="0" borderId="1" xfId="0" applyNumberFormat="1" applyFill="1" applyBorder="1" applyAlignment="1">
      <alignment horizontal="center"/>
    </xf>
    <xf numFmtId="0" fontId="0" fillId="0" borderId="0" xfId="0" quotePrefix="1" applyAlignment="1">
      <alignment horizontal="left" vertical="center"/>
    </xf>
    <xf numFmtId="171" fontId="1" fillId="9" borderId="1" xfId="0" applyNumberFormat="1" applyFont="1" applyFill="1" applyBorder="1" applyAlignment="1">
      <alignment horizontal="center"/>
    </xf>
    <xf numFmtId="165" fontId="1" fillId="0" borderId="1" xfId="1" applyNumberFormat="1" applyFont="1" applyFill="1" applyBorder="1" applyAlignment="1">
      <alignment horizontal="center" vertical="center"/>
    </xf>
    <xf numFmtId="164" fontId="1" fillId="0" borderId="1" xfId="0" applyNumberFormat="1" applyFont="1" applyFill="1" applyBorder="1" applyAlignment="1">
      <alignment horizontal="center"/>
    </xf>
    <xf numFmtId="165" fontId="0" fillId="0" borderId="1" xfId="0" applyNumberFormat="1" applyFill="1" applyBorder="1"/>
    <xf numFmtId="0" fontId="0" fillId="7" borderId="0" xfId="0" applyFill="1" applyAlignment="1">
      <alignment horizontal="right"/>
    </xf>
    <xf numFmtId="168" fontId="0" fillId="7" borderId="0" xfId="1" applyNumberFormat="1" applyFont="1" applyFill="1" applyAlignment="1">
      <alignment horizontal="center"/>
    </xf>
    <xf numFmtId="166" fontId="3" fillId="0" borderId="1" xfId="2" applyNumberFormat="1" applyFont="1" applyBorder="1" applyAlignment="1">
      <alignment vertical="center"/>
    </xf>
    <xf numFmtId="9" fontId="0" fillId="0" borderId="0" xfId="3" applyFont="1"/>
    <xf numFmtId="169" fontId="1" fillId="0" borderId="1" xfId="1" applyNumberFormat="1" applyFont="1" applyFill="1" applyBorder="1" applyAlignment="1">
      <alignment horizontal="center" vertical="center"/>
    </xf>
    <xf numFmtId="166" fontId="0" fillId="5" borderId="1" xfId="2" applyNumberFormat="1" applyFont="1" applyFill="1" applyBorder="1"/>
    <xf numFmtId="9" fontId="0" fillId="5" borderId="1" xfId="3" applyFont="1" applyFill="1" applyBorder="1" applyAlignment="1">
      <alignment horizontal="center"/>
    </xf>
    <xf numFmtId="0" fontId="0" fillId="5" borderId="1" xfId="0" applyFill="1" applyBorder="1" applyAlignment="1">
      <alignment horizontal="center" vertical="center"/>
    </xf>
    <xf numFmtId="0" fontId="13" fillId="0" borderId="0" xfId="4"/>
    <xf numFmtId="0" fontId="14" fillId="0" borderId="0" xfId="0" applyFont="1" applyAlignment="1">
      <alignment horizontal="center" vertical="center" wrapText="1"/>
    </xf>
    <xf numFmtId="0" fontId="1" fillId="6" borderId="1" xfId="0" applyFont="1" applyFill="1" applyBorder="1" applyAlignment="1">
      <alignment horizontal="center" vertical="center"/>
    </xf>
    <xf numFmtId="170" fontId="0" fillId="6" borderId="1" xfId="2" applyNumberFormat="1" applyFont="1" applyFill="1" applyBorder="1" applyAlignment="1">
      <alignment horizontal="center"/>
    </xf>
    <xf numFmtId="0" fontId="1" fillId="12" borderId="0" xfId="0" applyFont="1" applyFill="1" applyAlignment="1">
      <alignment horizontal="center" vertical="center" wrapText="1"/>
    </xf>
    <xf numFmtId="165" fontId="1" fillId="12" borderId="1" xfId="1" applyNumberFormat="1" applyFont="1" applyFill="1" applyBorder="1" applyAlignment="1">
      <alignment horizontal="center" vertical="center"/>
    </xf>
    <xf numFmtId="0" fontId="0" fillId="12" borderId="1" xfId="0" applyFill="1" applyBorder="1"/>
    <xf numFmtId="170" fontId="0" fillId="5" borderId="1" xfId="2" applyNumberFormat="1" applyFont="1" applyFill="1" applyBorder="1" applyAlignment="1">
      <alignment horizontal="center"/>
    </xf>
    <xf numFmtId="9" fontId="3" fillId="6" borderId="1" xfId="3" applyFont="1" applyFill="1" applyBorder="1" applyAlignment="1">
      <alignment horizontal="center"/>
    </xf>
    <xf numFmtId="0" fontId="3" fillId="6" borderId="1" xfId="0" applyFont="1" applyFill="1" applyBorder="1" applyAlignment="1">
      <alignment horizontal="center" vertical="center"/>
    </xf>
    <xf numFmtId="165" fontId="0" fillId="10" borderId="1" xfId="0" applyNumberFormat="1" applyFill="1" applyBorder="1" applyAlignment="1">
      <alignment horizontal="center"/>
    </xf>
    <xf numFmtId="166" fontId="8" fillId="0" borderId="1" xfId="2" applyNumberFormat="1" applyFont="1" applyBorder="1" applyAlignment="1">
      <alignment vertical="center"/>
    </xf>
    <xf numFmtId="166" fontId="15" fillId="0" borderId="0" xfId="0" applyNumberFormat="1" applyFont="1" applyAlignment="1">
      <alignment horizontal="center" vertical="center"/>
    </xf>
    <xf numFmtId="0" fontId="0" fillId="0" borderId="0" xfId="0" applyAlignment="1">
      <alignment horizontal="right" vertical="center"/>
    </xf>
    <xf numFmtId="0" fontId="0" fillId="12" borderId="2" xfId="0" applyFill="1" applyBorder="1" applyAlignment="1">
      <alignment horizontal="center" vertical="center" wrapText="1"/>
    </xf>
    <xf numFmtId="0" fontId="0" fillId="12" borderId="2" xfId="0" applyFill="1" applyBorder="1" applyAlignment="1">
      <alignment horizontal="center" vertical="center"/>
    </xf>
    <xf numFmtId="0" fontId="0" fillId="0" borderId="6" xfId="0" applyBorder="1" applyAlignment="1">
      <alignment horizontal="center" vertical="center"/>
    </xf>
    <xf numFmtId="0" fontId="0" fillId="7" borderId="6" xfId="0" applyFill="1" applyBorder="1" applyAlignment="1">
      <alignment horizontal="center" vertical="center"/>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15" xfId="0" applyBorder="1" applyAlignment="1">
      <alignment horizontal="center" vertical="center" wrapText="1"/>
    </xf>
    <xf numFmtId="0" fontId="0" fillId="0" borderId="16" xfId="0" applyBorder="1" applyAlignment="1">
      <alignment horizontal="center" vertical="center"/>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19" xfId="0" applyBorder="1" applyAlignment="1">
      <alignment horizontal="center" vertical="center"/>
    </xf>
    <xf numFmtId="0" fontId="0" fillId="0" borderId="20" xfId="0" applyBorder="1" applyAlignment="1">
      <alignment horizontal="center" vertical="center"/>
    </xf>
    <xf numFmtId="165" fontId="1" fillId="11" borderId="1" xfId="1" applyNumberFormat="1" applyFont="1" applyFill="1" applyBorder="1" applyAlignment="1">
      <alignment horizontal="center" vertical="center"/>
    </xf>
    <xf numFmtId="168" fontId="0" fillId="6" borderId="1" xfId="1" applyNumberFormat="1" applyFont="1" applyFill="1" applyBorder="1"/>
    <xf numFmtId="9" fontId="0" fillId="6" borderId="1" xfId="0" applyNumberFormat="1" applyFill="1" applyBorder="1" applyAlignment="1">
      <alignment horizontal="center" vertical="center"/>
    </xf>
    <xf numFmtId="0" fontId="0" fillId="9" borderId="0" xfId="0" applyFill="1" applyAlignment="1">
      <alignment horizontal="center"/>
    </xf>
    <xf numFmtId="9" fontId="0" fillId="2" borderId="0" xfId="3" applyFont="1" applyFill="1" applyAlignment="1">
      <alignment horizontal="center" vertical="center"/>
    </xf>
    <xf numFmtId="0" fontId="1" fillId="6" borderId="1" xfId="0" applyFont="1" applyFill="1" applyBorder="1" applyAlignment="1">
      <alignment horizontal="center"/>
    </xf>
    <xf numFmtId="9" fontId="0" fillId="0" borderId="0" xfId="0" applyNumberFormat="1" applyAlignment="1">
      <alignment horizontal="center" vertical="center"/>
    </xf>
    <xf numFmtId="0" fontId="0" fillId="0" borderId="7" xfId="0" applyBorder="1" applyAlignment="1">
      <alignment horizontal="right"/>
    </xf>
    <xf numFmtId="10" fontId="1" fillId="0" borderId="0" xfId="3" applyNumberFormat="1" applyFont="1" applyAlignment="1">
      <alignment horizontal="center"/>
    </xf>
    <xf numFmtId="0" fontId="13" fillId="6" borderId="1" xfId="4" applyFill="1" applyBorder="1"/>
    <xf numFmtId="0" fontId="19" fillId="13" borderId="0" xfId="5" applyFont="1" applyFill="1"/>
    <xf numFmtId="0" fontId="18" fillId="0" borderId="0" xfId="5"/>
    <xf numFmtId="0" fontId="20" fillId="0" borderId="0" xfId="5" applyFont="1"/>
    <xf numFmtId="0" fontId="20" fillId="0" borderId="0" xfId="5" applyFont="1" applyAlignment="1">
      <alignment vertical="center" wrapText="1"/>
    </xf>
    <xf numFmtId="0" fontId="21" fillId="14" borderId="0" xfId="5" applyFont="1" applyFill="1"/>
    <xf numFmtId="0" fontId="21" fillId="14" borderId="0" xfId="5" applyFont="1" applyFill="1" applyAlignment="1">
      <alignment horizontal="center"/>
    </xf>
    <xf numFmtId="0" fontId="20" fillId="0" borderId="0" xfId="5" applyFont="1" applyAlignment="1">
      <alignment horizontal="center" vertical="center" wrapText="1"/>
    </xf>
    <xf numFmtId="0" fontId="20" fillId="15" borderId="0" xfId="5" applyFont="1" applyFill="1" applyAlignment="1">
      <alignment horizontal="left" vertical="center" wrapText="1"/>
    </xf>
    <xf numFmtId="0" fontId="22" fillId="15" borderId="0" xfId="5" applyFont="1" applyFill="1" applyAlignment="1">
      <alignment horizontal="left" vertical="center" wrapText="1"/>
    </xf>
    <xf numFmtId="0" fontId="20" fillId="15" borderId="0" xfId="5" applyFont="1" applyFill="1" applyAlignment="1">
      <alignment horizontal="center" vertical="center" wrapText="1"/>
    </xf>
    <xf numFmtId="172" fontId="20" fillId="15" borderId="0" xfId="5" applyNumberFormat="1" applyFont="1" applyFill="1" applyAlignment="1">
      <alignment horizontal="right" vertical="center" wrapText="1"/>
    </xf>
    <xf numFmtId="172" fontId="22" fillId="0" borderId="0" xfId="5" applyNumberFormat="1" applyFont="1" applyAlignment="1">
      <alignment horizontal="right"/>
    </xf>
    <xf numFmtId="0" fontId="21" fillId="14" borderId="0" xfId="5" applyFont="1" applyFill="1" applyAlignment="1">
      <alignment horizontal="left"/>
    </xf>
    <xf numFmtId="0" fontId="22" fillId="0" borderId="0" xfId="5" applyFont="1"/>
    <xf numFmtId="0" fontId="20" fillId="16" borderId="0" xfId="5" applyFont="1" applyFill="1" applyAlignment="1">
      <alignment horizontal="left" vertical="center" wrapText="1"/>
    </xf>
    <xf numFmtId="0" fontId="20" fillId="16" borderId="0" xfId="5" applyFont="1" applyFill="1" applyAlignment="1">
      <alignment horizontal="center" vertical="center" wrapText="1"/>
    </xf>
    <xf numFmtId="172" fontId="20" fillId="16" borderId="0" xfId="5" applyNumberFormat="1" applyFont="1" applyFill="1" applyAlignment="1">
      <alignment horizontal="right" vertical="center" wrapText="1"/>
    </xf>
    <xf numFmtId="0" fontId="0" fillId="6" borderId="1" xfId="0" applyFill="1" applyBorder="1" applyAlignment="1">
      <alignment horizontal="left"/>
    </xf>
    <xf numFmtId="0" fontId="0" fillId="6" borderId="14" xfId="0" applyFill="1" applyBorder="1"/>
    <xf numFmtId="166" fontId="0" fillId="6" borderId="14" xfId="2" applyNumberFormat="1" applyFont="1" applyFill="1" applyBorder="1"/>
    <xf numFmtId="9" fontId="0" fillId="6" borderId="14" xfId="3" applyFont="1" applyFill="1" applyBorder="1" applyAlignment="1">
      <alignment horizontal="center"/>
    </xf>
    <xf numFmtId="166" fontId="0" fillId="6" borderId="15" xfId="2" applyNumberFormat="1" applyFont="1" applyFill="1" applyBorder="1"/>
    <xf numFmtId="0" fontId="0" fillId="6" borderId="19" xfId="0" applyFill="1" applyBorder="1"/>
    <xf numFmtId="166" fontId="0" fillId="6" borderId="19" xfId="2" applyNumberFormat="1" applyFont="1" applyFill="1" applyBorder="1"/>
    <xf numFmtId="9" fontId="0" fillId="6" borderId="19" xfId="3" applyFont="1" applyFill="1" applyBorder="1" applyAlignment="1">
      <alignment horizontal="center"/>
    </xf>
    <xf numFmtId="166" fontId="0" fillId="6" borderId="20" xfId="2" applyNumberFormat="1" applyFont="1" applyFill="1" applyBorder="1"/>
    <xf numFmtId="166" fontId="0" fillId="6" borderId="17" xfId="2" applyNumberFormat="1" applyFont="1" applyFill="1" applyBorder="1"/>
    <xf numFmtId="0" fontId="0" fillId="6" borderId="14" xfId="0" applyFill="1" applyBorder="1" applyAlignment="1">
      <alignment horizontal="center"/>
    </xf>
    <xf numFmtId="166" fontId="0" fillId="6" borderId="14" xfId="2" applyNumberFormat="1" applyFont="1" applyFill="1" applyBorder="1" applyAlignment="1">
      <alignment horizontal="center"/>
    </xf>
    <xf numFmtId="166" fontId="0" fillId="6" borderId="24" xfId="2" applyNumberFormat="1" applyFont="1" applyFill="1" applyBorder="1"/>
    <xf numFmtId="166" fontId="0" fillId="6" borderId="12" xfId="2" applyNumberFormat="1" applyFont="1" applyFill="1" applyBorder="1"/>
    <xf numFmtId="9" fontId="0" fillId="6" borderId="24" xfId="3" applyFont="1" applyFill="1" applyBorder="1" applyAlignment="1">
      <alignment horizontal="center"/>
    </xf>
    <xf numFmtId="0" fontId="0" fillId="6" borderId="1" xfId="0" applyFont="1" applyFill="1" applyBorder="1" applyAlignment="1">
      <alignment horizontal="right" vertical="center"/>
    </xf>
    <xf numFmtId="0" fontId="0" fillId="6" borderId="14" xfId="2" applyNumberFormat="1" applyFont="1" applyFill="1" applyBorder="1" applyAlignment="1">
      <alignment horizontal="right"/>
    </xf>
    <xf numFmtId="0" fontId="0" fillId="6" borderId="11" xfId="0" applyFill="1" applyBorder="1" applyAlignment="1">
      <alignment horizontal="left"/>
    </xf>
    <xf numFmtId="166" fontId="0" fillId="6" borderId="11" xfId="2" applyNumberFormat="1" applyFont="1" applyFill="1" applyBorder="1"/>
    <xf numFmtId="166" fontId="0" fillId="6" borderId="11" xfId="2" applyNumberFormat="1" applyFont="1" applyFill="1" applyBorder="1" applyAlignment="1">
      <alignment horizontal="center"/>
    </xf>
    <xf numFmtId="166" fontId="0" fillId="6" borderId="11" xfId="2" applyNumberFormat="1" applyFont="1" applyFill="1" applyBorder="1" applyAlignment="1">
      <alignment horizontal="right"/>
    </xf>
    <xf numFmtId="9" fontId="0" fillId="6" borderId="11" xfId="3" applyFont="1" applyFill="1" applyBorder="1" applyAlignment="1">
      <alignment horizontal="center"/>
    </xf>
    <xf numFmtId="166" fontId="0" fillId="6" borderId="26" xfId="2" applyNumberFormat="1" applyFont="1" applyFill="1" applyBorder="1"/>
    <xf numFmtId="166" fontId="0" fillId="6" borderId="6" xfId="2" applyNumberFormat="1" applyFont="1" applyFill="1" applyBorder="1"/>
    <xf numFmtId="0" fontId="0" fillId="6" borderId="1" xfId="0" applyFill="1" applyBorder="1" applyAlignment="1">
      <alignment wrapText="1"/>
    </xf>
    <xf numFmtId="0" fontId="0" fillId="6" borderId="19" xfId="0" applyFill="1" applyBorder="1" applyAlignment="1">
      <alignment wrapText="1"/>
    </xf>
    <xf numFmtId="0" fontId="0" fillId="6" borderId="18" xfId="0" applyFill="1" applyBorder="1" applyAlignment="1">
      <alignment horizontal="left" vertical="center"/>
    </xf>
    <xf numFmtId="166" fontId="0" fillId="10" borderId="1" xfId="2" applyNumberFormat="1" applyFont="1" applyFill="1" applyBorder="1" applyAlignment="1">
      <alignment horizontal="center"/>
    </xf>
    <xf numFmtId="0" fontId="0" fillId="6" borderId="11" xfId="0" applyFont="1" applyFill="1" applyBorder="1" applyAlignment="1">
      <alignment horizontal="right" vertical="center"/>
    </xf>
    <xf numFmtId="0" fontId="4" fillId="0" borderId="2" xfId="0" applyFont="1" applyBorder="1" applyAlignment="1">
      <alignment horizontal="center" vertical="center" wrapText="1"/>
    </xf>
    <xf numFmtId="0" fontId="4" fillId="0" borderId="3" xfId="0" applyFont="1" applyBorder="1" applyAlignment="1">
      <alignment horizontal="center" vertical="center" wrapText="1"/>
    </xf>
    <xf numFmtId="0" fontId="4" fillId="0" borderId="4" xfId="0" applyFont="1" applyBorder="1" applyAlignment="1">
      <alignment horizontal="center" vertical="center" wrapText="1"/>
    </xf>
    <xf numFmtId="0" fontId="11" fillId="5" borderId="0" xfId="0" applyFont="1" applyFill="1" applyAlignment="1">
      <alignment horizontal="center"/>
    </xf>
    <xf numFmtId="0" fontId="9" fillId="4" borderId="0" xfId="0" applyFont="1" applyFill="1" applyAlignment="1">
      <alignment horizontal="center" vertical="center" textRotation="255"/>
    </xf>
    <xf numFmtId="0" fontId="10" fillId="0" borderId="0" xfId="0" applyFont="1" applyAlignment="1">
      <alignment horizontal="center" vertical="center" wrapText="1"/>
    </xf>
    <xf numFmtId="165" fontId="0" fillId="0" borderId="2" xfId="2" applyNumberFormat="1" applyFont="1" applyBorder="1" applyAlignment="1">
      <alignment horizontal="center" vertical="center"/>
    </xf>
    <xf numFmtId="165" fontId="0" fillId="0" borderId="3" xfId="2" applyNumberFormat="1" applyFont="1" applyBorder="1" applyAlignment="1">
      <alignment horizontal="center" vertical="center"/>
    </xf>
    <xf numFmtId="165" fontId="0" fillId="0" borderId="4" xfId="2" applyNumberFormat="1" applyFont="1" applyBorder="1" applyAlignment="1">
      <alignment horizontal="center" vertical="center"/>
    </xf>
    <xf numFmtId="0" fontId="0" fillId="6" borderId="13" xfId="0" applyFill="1" applyBorder="1" applyAlignment="1">
      <alignment horizontal="left" vertical="center"/>
    </xf>
    <xf numFmtId="0" fontId="0" fillId="6" borderId="18" xfId="0" applyFill="1" applyBorder="1" applyAlignment="1">
      <alignment horizontal="left" vertical="center"/>
    </xf>
    <xf numFmtId="0" fontId="0" fillId="6" borderId="21" xfId="0" applyFill="1" applyBorder="1" applyAlignment="1">
      <alignment horizontal="left" vertical="center"/>
    </xf>
    <xf numFmtId="0" fontId="0" fillId="6" borderId="22" xfId="0" applyFill="1" applyBorder="1" applyAlignment="1">
      <alignment horizontal="left" vertical="center"/>
    </xf>
    <xf numFmtId="0" fontId="0" fillId="6" borderId="23" xfId="0" applyFill="1" applyBorder="1" applyAlignment="1">
      <alignment horizontal="left" vertical="center"/>
    </xf>
    <xf numFmtId="0" fontId="18" fillId="0" borderId="0" xfId="5" applyAlignment="1">
      <alignment vertical="center" wrapText="1"/>
    </xf>
    <xf numFmtId="0" fontId="18" fillId="0" borderId="0" xfId="5"/>
    <xf numFmtId="3" fontId="0" fillId="0" borderId="1" xfId="0" applyNumberFormat="1" applyBorder="1" applyAlignment="1">
      <alignment horizontal="center"/>
    </xf>
    <xf numFmtId="175" fontId="0" fillId="0" borderId="1" xfId="0" applyNumberFormat="1" applyBorder="1" applyAlignment="1">
      <alignment horizontal="center"/>
    </xf>
    <xf numFmtId="175" fontId="0" fillId="0" borderId="0" xfId="0" applyNumberFormat="1"/>
    <xf numFmtId="0" fontId="0" fillId="0" borderId="1" xfId="0" applyBorder="1" applyAlignment="1">
      <alignment wrapText="1"/>
    </xf>
    <xf numFmtId="0" fontId="23" fillId="17" borderId="1" xfId="0" applyFont="1" applyFill="1" applyBorder="1" applyAlignment="1">
      <alignment horizontal="center"/>
    </xf>
    <xf numFmtId="175" fontId="23" fillId="17" borderId="1" xfId="0" applyNumberFormat="1" applyFont="1" applyFill="1" applyBorder="1" applyAlignment="1">
      <alignment horizontal="center"/>
    </xf>
    <xf numFmtId="176" fontId="0" fillId="0" borderId="0" xfId="0" applyNumberFormat="1"/>
    <xf numFmtId="176" fontId="0" fillId="0" borderId="1" xfId="0" applyNumberFormat="1" applyBorder="1"/>
    <xf numFmtId="3" fontId="0" fillId="0" borderId="1" xfId="0" applyNumberFormat="1" applyBorder="1"/>
    <xf numFmtId="0" fontId="0" fillId="6" borderId="25" xfId="0" applyFill="1" applyBorder="1" applyAlignment="1">
      <alignment horizontal="left" vertical="center"/>
    </xf>
    <xf numFmtId="166" fontId="0" fillId="6" borderId="24" xfId="2" applyNumberFormat="1" applyFont="1" applyFill="1" applyBorder="1" applyAlignment="1">
      <alignment wrapText="1"/>
    </xf>
    <xf numFmtId="2" fontId="0" fillId="6" borderId="24" xfId="2" applyNumberFormat="1" applyFont="1" applyFill="1" applyBorder="1"/>
    <xf numFmtId="0" fontId="0" fillId="6" borderId="24" xfId="0" applyFill="1" applyBorder="1" applyAlignment="1">
      <alignment wrapText="1"/>
    </xf>
    <xf numFmtId="0" fontId="0" fillId="6" borderId="21" xfId="0" applyFill="1" applyBorder="1"/>
    <xf numFmtId="166" fontId="0" fillId="6" borderId="27" xfId="2" applyNumberFormat="1" applyFont="1" applyFill="1" applyBorder="1"/>
    <xf numFmtId="9" fontId="0" fillId="6" borderId="27" xfId="3" applyFont="1" applyFill="1" applyBorder="1" applyAlignment="1">
      <alignment horizontal="center"/>
    </xf>
    <xf numFmtId="166" fontId="0" fillId="6" borderId="28" xfId="2" applyNumberFormat="1" applyFont="1" applyFill="1" applyBorder="1"/>
    <xf numFmtId="0" fontId="0" fillId="6" borderId="6" xfId="0" applyFill="1" applyBorder="1"/>
    <xf numFmtId="9" fontId="0" fillId="6" borderId="6" xfId="3" applyFont="1" applyFill="1" applyBorder="1" applyAlignment="1">
      <alignment horizontal="center"/>
    </xf>
    <xf numFmtId="166" fontId="0" fillId="6" borderId="29" xfId="2" applyNumberFormat="1" applyFont="1" applyFill="1" applyBorder="1"/>
    <xf numFmtId="166" fontId="2" fillId="6" borderId="20" xfId="2" applyNumberFormat="1" applyFont="1" applyFill="1" applyBorder="1"/>
  </cellXfs>
  <cellStyles count="6">
    <cellStyle name="Collegamento ipertestuale" xfId="4" builtinId="8"/>
    <cellStyle name="Migliaia" xfId="1" builtinId="3"/>
    <cellStyle name="Normale" xfId="0" builtinId="0"/>
    <cellStyle name="Normale 2" xfId="5" xr:uid="{4765A8BF-E8EF-471B-BC83-9541BF393D4B}"/>
    <cellStyle name="Percentuale" xfId="3" builtinId="5"/>
    <cellStyle name="Valuta" xfId="2" builtinId="4"/>
  </cellStyles>
  <dxfs count="0"/>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5 year TCO Comparison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stacked"/>
        <c:varyColors val="0"/>
        <c:ser>
          <c:idx val="0"/>
          <c:order val="0"/>
          <c:tx>
            <c:strRef>
              <c:f>'TCO comparison'!$B$15</c:f>
              <c:strCache>
                <c:ptCount val="1"/>
                <c:pt idx="0">
                  <c:v>Hardware</c:v>
                </c:pt>
              </c:strCache>
            </c:strRef>
          </c:tx>
          <c:spPr>
            <a:solidFill>
              <a:schemeClr val="accent5">
                <a:lumMod val="75000"/>
              </a:schemeClr>
            </a:solidFill>
            <a:ln>
              <a:noFill/>
            </a:ln>
            <a:effectLst/>
          </c:spPr>
          <c:invertIfNegative val="0"/>
          <c:cat>
            <c:strRef>
              <c:f>'TCO comparison'!$A$16:$A$17</c:f>
              <c:strCache>
                <c:ptCount val="2"/>
                <c:pt idx="0">
                  <c:v>x86</c:v>
                </c:pt>
                <c:pt idx="1">
                  <c:v>LinuxONE</c:v>
                </c:pt>
              </c:strCache>
            </c:strRef>
          </c:cat>
          <c:val>
            <c:numRef>
              <c:f>'TCO comparison'!$B$16:$B$17</c:f>
              <c:numCache>
                <c:formatCode>_-* #,##0\ _€_-;\-* #,##0\ _€_-;_-* "-"\ _€_-;_-@_-</c:formatCode>
                <c:ptCount val="2"/>
                <c:pt idx="0">
                  <c:v>132441.12</c:v>
                </c:pt>
                <c:pt idx="1">
                  <c:v>1764000</c:v>
                </c:pt>
              </c:numCache>
            </c:numRef>
          </c:val>
          <c:extLst>
            <c:ext xmlns:c16="http://schemas.microsoft.com/office/drawing/2014/chart" uri="{C3380CC4-5D6E-409C-BE32-E72D297353CC}">
              <c16:uniqueId val="{00000000-3F15-4827-A934-9FCEF8D7ECF7}"/>
            </c:ext>
          </c:extLst>
        </c:ser>
        <c:ser>
          <c:idx val="1"/>
          <c:order val="1"/>
          <c:tx>
            <c:strRef>
              <c:f>'TCO comparison'!$C$15</c:f>
              <c:strCache>
                <c:ptCount val="1"/>
                <c:pt idx="0">
                  <c:v>Software</c:v>
                </c:pt>
              </c:strCache>
            </c:strRef>
          </c:tx>
          <c:spPr>
            <a:solidFill>
              <a:schemeClr val="accent1">
                <a:lumMod val="40000"/>
                <a:lumOff val="60000"/>
              </a:schemeClr>
            </a:solidFill>
            <a:ln>
              <a:noFill/>
            </a:ln>
            <a:effectLst/>
          </c:spPr>
          <c:invertIfNegative val="0"/>
          <c:cat>
            <c:strRef>
              <c:f>'TCO comparison'!$A$16:$A$17</c:f>
              <c:strCache>
                <c:ptCount val="2"/>
                <c:pt idx="0">
                  <c:v>x86</c:v>
                </c:pt>
                <c:pt idx="1">
                  <c:v>LinuxONE</c:v>
                </c:pt>
              </c:strCache>
            </c:strRef>
          </c:cat>
          <c:val>
            <c:numRef>
              <c:f>'TCO comparison'!$C$16:$C$17</c:f>
              <c:numCache>
                <c:formatCode>_-* #,##0\ _€_-;\-* #,##0\ _€_-;_-* "-"\ _€_-;_-@_-</c:formatCode>
                <c:ptCount val="2"/>
                <c:pt idx="0">
                  <c:v>5086876.3000000007</c:v>
                </c:pt>
                <c:pt idx="1">
                  <c:v>2370600</c:v>
                </c:pt>
              </c:numCache>
            </c:numRef>
          </c:val>
          <c:extLst>
            <c:ext xmlns:c16="http://schemas.microsoft.com/office/drawing/2014/chart" uri="{C3380CC4-5D6E-409C-BE32-E72D297353CC}">
              <c16:uniqueId val="{00000001-3F15-4827-A934-9FCEF8D7ECF7}"/>
            </c:ext>
          </c:extLst>
        </c:ser>
        <c:ser>
          <c:idx val="2"/>
          <c:order val="2"/>
          <c:tx>
            <c:strRef>
              <c:f>'TCO comparison'!$D$15</c:f>
              <c:strCache>
                <c:ptCount val="1"/>
                <c:pt idx="0">
                  <c:v>People</c:v>
                </c:pt>
              </c:strCache>
            </c:strRef>
          </c:tx>
          <c:spPr>
            <a:solidFill>
              <a:srgbClr val="7030A0"/>
            </a:solidFill>
            <a:ln>
              <a:noFill/>
            </a:ln>
            <a:effectLst/>
          </c:spPr>
          <c:invertIfNegative val="0"/>
          <c:cat>
            <c:strRef>
              <c:f>'TCO comparison'!$A$16:$A$17</c:f>
              <c:strCache>
                <c:ptCount val="2"/>
                <c:pt idx="0">
                  <c:v>x86</c:v>
                </c:pt>
                <c:pt idx="1">
                  <c:v>LinuxONE</c:v>
                </c:pt>
              </c:strCache>
            </c:strRef>
          </c:cat>
          <c:val>
            <c:numRef>
              <c:f>'TCO comparison'!$D$16:$D$17</c:f>
              <c:numCache>
                <c:formatCode>_-* #,##0\ _€_-;\-* #,##0\ _€_-;_-* "-"\ _€_-;_-@_-</c:formatCode>
                <c:ptCount val="2"/>
                <c:pt idx="0">
                  <c:v>366666.66666666663</c:v>
                </c:pt>
                <c:pt idx="1">
                  <c:v>100000</c:v>
                </c:pt>
              </c:numCache>
            </c:numRef>
          </c:val>
          <c:extLst>
            <c:ext xmlns:c16="http://schemas.microsoft.com/office/drawing/2014/chart" uri="{C3380CC4-5D6E-409C-BE32-E72D297353CC}">
              <c16:uniqueId val="{00000003-3F15-4827-A934-9FCEF8D7ECF7}"/>
            </c:ext>
          </c:extLst>
        </c:ser>
        <c:ser>
          <c:idx val="3"/>
          <c:order val="3"/>
          <c:tx>
            <c:strRef>
              <c:f>'TCO comparison'!$E$15</c:f>
              <c:strCache>
                <c:ptCount val="1"/>
                <c:pt idx="0">
                  <c:v>Network</c:v>
                </c:pt>
              </c:strCache>
            </c:strRef>
          </c:tx>
          <c:spPr>
            <a:solidFill>
              <a:srgbClr val="FFC000"/>
            </a:solidFill>
            <a:ln>
              <a:noFill/>
            </a:ln>
            <a:effectLst/>
          </c:spPr>
          <c:invertIfNegative val="0"/>
          <c:cat>
            <c:strRef>
              <c:f>'TCO comparison'!$A$16:$A$17</c:f>
              <c:strCache>
                <c:ptCount val="2"/>
                <c:pt idx="0">
                  <c:v>x86</c:v>
                </c:pt>
                <c:pt idx="1">
                  <c:v>LinuxONE</c:v>
                </c:pt>
              </c:strCache>
            </c:strRef>
          </c:cat>
          <c:val>
            <c:numRef>
              <c:f>'TCO comparison'!$E$16:$E$17</c:f>
              <c:numCache>
                <c:formatCode>_-* #,##0\ _€_-;\-* #,##0\ _€_-;_-* "-"\ _€_-;_-@_-</c:formatCode>
                <c:ptCount val="2"/>
                <c:pt idx="0">
                  <c:v>0</c:v>
                </c:pt>
                <c:pt idx="1">
                  <c:v>0</c:v>
                </c:pt>
              </c:numCache>
            </c:numRef>
          </c:val>
          <c:extLst>
            <c:ext xmlns:c16="http://schemas.microsoft.com/office/drawing/2014/chart" uri="{C3380CC4-5D6E-409C-BE32-E72D297353CC}">
              <c16:uniqueId val="{00000004-3F15-4827-A934-9FCEF8D7ECF7}"/>
            </c:ext>
          </c:extLst>
        </c:ser>
        <c:ser>
          <c:idx val="4"/>
          <c:order val="4"/>
          <c:tx>
            <c:strRef>
              <c:f>'TCO comparison'!$F$15</c:f>
              <c:strCache>
                <c:ptCount val="1"/>
                <c:pt idx="0">
                  <c:v>Facilities</c:v>
                </c:pt>
              </c:strCache>
            </c:strRef>
          </c:tx>
          <c:spPr>
            <a:solidFill>
              <a:srgbClr val="00B050"/>
            </a:solidFill>
            <a:ln>
              <a:noFill/>
            </a:ln>
            <a:effectLst/>
          </c:spPr>
          <c:invertIfNegative val="0"/>
          <c:cat>
            <c:strRef>
              <c:f>'TCO comparison'!$A$16:$A$17</c:f>
              <c:strCache>
                <c:ptCount val="2"/>
                <c:pt idx="0">
                  <c:v>x86</c:v>
                </c:pt>
                <c:pt idx="1">
                  <c:v>LinuxONE</c:v>
                </c:pt>
              </c:strCache>
            </c:strRef>
          </c:cat>
          <c:val>
            <c:numRef>
              <c:f>'TCO comparison'!$F$16:$F$17</c:f>
              <c:numCache>
                <c:formatCode>_-* #,##0\ _€_-;\-* #,##0\ _€_-;_-* "-"\ _€_-;_-@_-</c:formatCode>
                <c:ptCount val="2"/>
                <c:pt idx="0">
                  <c:v>0</c:v>
                </c:pt>
                <c:pt idx="1">
                  <c:v>0</c:v>
                </c:pt>
              </c:numCache>
            </c:numRef>
          </c:val>
          <c:extLst>
            <c:ext xmlns:c16="http://schemas.microsoft.com/office/drawing/2014/chart" uri="{C3380CC4-5D6E-409C-BE32-E72D297353CC}">
              <c16:uniqueId val="{00000005-3F15-4827-A934-9FCEF8D7ECF7}"/>
            </c:ext>
          </c:extLst>
        </c:ser>
        <c:ser>
          <c:idx val="5"/>
          <c:order val="5"/>
          <c:tx>
            <c:strRef>
              <c:f>'TCO comparison'!$G$15</c:f>
              <c:strCache>
                <c:ptCount val="1"/>
                <c:pt idx="0">
                  <c:v>DR</c:v>
                </c:pt>
              </c:strCache>
            </c:strRef>
          </c:tx>
          <c:spPr>
            <a:solidFill>
              <a:srgbClr val="FF0000"/>
            </a:solidFill>
            <a:ln>
              <a:noFill/>
            </a:ln>
            <a:effectLst/>
          </c:spPr>
          <c:invertIfNegative val="0"/>
          <c:cat>
            <c:strRef>
              <c:f>'TCO comparison'!$A$16:$A$17</c:f>
              <c:strCache>
                <c:ptCount val="2"/>
                <c:pt idx="0">
                  <c:v>x86</c:v>
                </c:pt>
                <c:pt idx="1">
                  <c:v>LinuxONE</c:v>
                </c:pt>
              </c:strCache>
            </c:strRef>
          </c:cat>
          <c:val>
            <c:numRef>
              <c:f>'TCO comparison'!$G$16:$G$17</c:f>
              <c:numCache>
                <c:formatCode>_-* #,##0\ _€_-;\-* #,##0\ _€_-;_-* "-"\ _€_-;_-@_-</c:formatCode>
                <c:ptCount val="2"/>
                <c:pt idx="0">
                  <c:v>3859013.3000000003</c:v>
                </c:pt>
                <c:pt idx="1">
                  <c:v>84000</c:v>
                </c:pt>
              </c:numCache>
            </c:numRef>
          </c:val>
          <c:extLst>
            <c:ext xmlns:c16="http://schemas.microsoft.com/office/drawing/2014/chart" uri="{C3380CC4-5D6E-409C-BE32-E72D297353CC}">
              <c16:uniqueId val="{00000006-3F15-4827-A934-9FCEF8D7ECF7}"/>
            </c:ext>
          </c:extLst>
        </c:ser>
        <c:dLbls>
          <c:showLegendKey val="0"/>
          <c:showVal val="0"/>
          <c:showCatName val="0"/>
          <c:showSerName val="0"/>
          <c:showPercent val="0"/>
          <c:showBubbleSize val="0"/>
        </c:dLbls>
        <c:gapWidth val="150"/>
        <c:overlap val="100"/>
        <c:axId val="144266815"/>
        <c:axId val="263497871"/>
      </c:barChart>
      <c:catAx>
        <c:axId val="144266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263497871"/>
        <c:crosses val="autoZero"/>
        <c:auto val="1"/>
        <c:lblAlgn val="ctr"/>
        <c:lblOffset val="100"/>
        <c:noMultiLvlLbl val="0"/>
      </c:catAx>
      <c:valAx>
        <c:axId val="263497871"/>
        <c:scaling>
          <c:orientation val="minMax"/>
        </c:scaling>
        <c:delete val="0"/>
        <c:axPos val="l"/>
        <c:majorGridlines>
          <c:spPr>
            <a:ln w="9525" cap="flat" cmpd="sng" algn="ctr">
              <a:solidFill>
                <a:schemeClr val="tx1">
                  <a:lumMod val="15000"/>
                  <a:lumOff val="85000"/>
                </a:schemeClr>
              </a:solidFill>
              <a:round/>
            </a:ln>
            <a:effectLst/>
          </c:spPr>
        </c:majorGridlines>
        <c:numFmt formatCode="_-* #,##0\ _€_-;\-* #,##0\ _€_-;_-* &quot;-&quot;\ _€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44266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Accumulated TCO Comparison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'TCO comparison'!$B$20</c:f>
              <c:strCache>
                <c:ptCount val="1"/>
                <c:pt idx="0">
                  <c:v>x86</c:v>
                </c:pt>
              </c:strCache>
            </c:strRef>
          </c:tx>
          <c:spPr>
            <a:ln w="28575" cap="rnd">
              <a:solidFill>
                <a:srgbClr val="FF0000"/>
              </a:solidFill>
              <a:round/>
            </a:ln>
            <a:effectLst/>
          </c:spPr>
          <c:marker>
            <c:symbol val="diamond"/>
            <c:size val="5"/>
            <c:spPr>
              <a:solidFill>
                <a:srgbClr val="FF0000"/>
              </a:solidFill>
              <a:ln w="9525">
                <a:solidFill>
                  <a:srgbClr val="C00000"/>
                </a:solidFill>
              </a:ln>
              <a:effectLst/>
            </c:spPr>
          </c:marker>
          <c:cat>
            <c:strRef>
              <c:f>'TCO comparison'!$C$19:$G$19</c:f>
              <c:strCache>
                <c:ptCount val="5"/>
                <c:pt idx="0">
                  <c:v>Year 1</c:v>
                </c:pt>
                <c:pt idx="1">
                  <c:v>Year 2</c:v>
                </c:pt>
                <c:pt idx="2">
                  <c:v>Year 3</c:v>
                </c:pt>
                <c:pt idx="3">
                  <c:v>Year 4</c:v>
                </c:pt>
                <c:pt idx="4">
                  <c:v>Year 5</c:v>
                </c:pt>
              </c:strCache>
            </c:strRef>
          </c:cat>
          <c:val>
            <c:numRef>
              <c:f>'TCO comparison'!$C$20:$G$20</c:f>
              <c:numCache>
                <c:formatCode>_-* #,##0\ _€_-;\-* #,##0\ _€_-;_-* "-"\ _€_-;_-@_-</c:formatCode>
                <c:ptCount val="5"/>
                <c:pt idx="0">
                  <c:v>4927632.8</c:v>
                </c:pt>
                <c:pt idx="1">
                  <c:v>6077258.7999999998</c:v>
                </c:pt>
                <c:pt idx="2">
                  <c:v>7226884.7999999998</c:v>
                </c:pt>
                <c:pt idx="3">
                  <c:v>8411197.7599999998</c:v>
                </c:pt>
                <c:pt idx="4">
                  <c:v>9595510.7199999988</c:v>
                </c:pt>
              </c:numCache>
            </c:numRef>
          </c:val>
          <c:smooth val="0"/>
          <c:extLst>
            <c:ext xmlns:c16="http://schemas.microsoft.com/office/drawing/2014/chart" uri="{C3380CC4-5D6E-409C-BE32-E72D297353CC}">
              <c16:uniqueId val="{00000000-80DC-41C2-932E-F13F74710793}"/>
            </c:ext>
          </c:extLst>
        </c:ser>
        <c:ser>
          <c:idx val="1"/>
          <c:order val="1"/>
          <c:tx>
            <c:strRef>
              <c:f>'TCO comparison'!$B$21</c:f>
              <c:strCache>
                <c:ptCount val="1"/>
                <c:pt idx="0">
                  <c:v>LinuxONE</c:v>
                </c:pt>
              </c:strCache>
            </c:strRef>
          </c:tx>
          <c:spPr>
            <a:ln w="28575" cap="rnd">
              <a:solidFill>
                <a:srgbClr val="0070C0"/>
              </a:solidFill>
              <a:round/>
            </a:ln>
            <a:effectLst/>
          </c:spPr>
          <c:marker>
            <c:symbol val="circle"/>
            <c:size val="5"/>
            <c:spPr>
              <a:solidFill>
                <a:srgbClr val="0070C0"/>
              </a:solidFill>
              <a:ln w="9525">
                <a:solidFill>
                  <a:srgbClr val="002060"/>
                </a:solidFill>
              </a:ln>
              <a:effectLst/>
            </c:spPr>
          </c:marker>
          <c:cat>
            <c:strRef>
              <c:f>'TCO comparison'!$C$19:$G$19</c:f>
              <c:strCache>
                <c:ptCount val="5"/>
                <c:pt idx="0">
                  <c:v>Year 1</c:v>
                </c:pt>
                <c:pt idx="1">
                  <c:v>Year 2</c:v>
                </c:pt>
                <c:pt idx="2">
                  <c:v>Year 3</c:v>
                </c:pt>
                <c:pt idx="3">
                  <c:v>Year 4</c:v>
                </c:pt>
                <c:pt idx="4">
                  <c:v>Year 5</c:v>
                </c:pt>
              </c:strCache>
            </c:strRef>
          </c:cat>
          <c:val>
            <c:numRef>
              <c:f>'TCO comparison'!$C$21:$G$21</c:f>
              <c:numCache>
                <c:formatCode>_-* #,##0\ _€_-;\-* #,##0\ _€_-;_-* "-"\ _€_-;_-@_-</c:formatCode>
                <c:ptCount val="5"/>
                <c:pt idx="0">
                  <c:v>2577234.7368421052</c:v>
                </c:pt>
                <c:pt idx="1">
                  <c:v>2963229.4736842103</c:v>
                </c:pt>
                <c:pt idx="2">
                  <c:v>3349224.2105263155</c:v>
                </c:pt>
                <c:pt idx="3">
                  <c:v>3889218.9473684207</c:v>
                </c:pt>
                <c:pt idx="4">
                  <c:v>4429213.6842105258</c:v>
                </c:pt>
              </c:numCache>
            </c:numRef>
          </c:val>
          <c:smooth val="0"/>
          <c:extLst>
            <c:ext xmlns:c16="http://schemas.microsoft.com/office/drawing/2014/chart" uri="{C3380CC4-5D6E-409C-BE32-E72D297353CC}">
              <c16:uniqueId val="{00000001-80DC-41C2-932E-F13F74710793}"/>
            </c:ext>
          </c:extLst>
        </c:ser>
        <c:dLbls>
          <c:showLegendKey val="0"/>
          <c:showVal val="0"/>
          <c:showCatName val="0"/>
          <c:showSerName val="0"/>
          <c:showPercent val="0"/>
          <c:showBubbleSize val="0"/>
        </c:dLbls>
        <c:marker val="1"/>
        <c:smooth val="0"/>
        <c:axId val="331713007"/>
        <c:axId val="263474575"/>
      </c:lineChart>
      <c:catAx>
        <c:axId val="331713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263474575"/>
        <c:crosses val="autoZero"/>
        <c:auto val="1"/>
        <c:lblAlgn val="ctr"/>
        <c:lblOffset val="100"/>
        <c:noMultiLvlLbl val="0"/>
      </c:catAx>
      <c:valAx>
        <c:axId val="263474575"/>
        <c:scaling>
          <c:orientation val="minMax"/>
        </c:scaling>
        <c:delete val="0"/>
        <c:axPos val="l"/>
        <c:majorGridlines>
          <c:spPr>
            <a:ln w="9525" cap="flat" cmpd="sng" algn="ctr">
              <a:solidFill>
                <a:schemeClr val="tx1">
                  <a:lumMod val="15000"/>
                  <a:lumOff val="85000"/>
                </a:schemeClr>
              </a:solidFill>
              <a:round/>
            </a:ln>
            <a:effectLst/>
          </c:spPr>
        </c:majorGridlines>
        <c:numFmt formatCode="_-* #,##0\ _€_-;\-* #,##0\ _€_-;_-* &quot;-&quot;\ _€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317130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5 years TCO growth with TPS (small workload)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scatterChart>
        <c:scatterStyle val="lineMarker"/>
        <c:varyColors val="0"/>
        <c:ser>
          <c:idx val="0"/>
          <c:order val="0"/>
          <c:tx>
            <c:strRef>
              <c:f>'TCO vs TPS'!$C$3</c:f>
              <c:strCache>
                <c:ptCount val="1"/>
                <c:pt idx="0">
                  <c:v>Price x86</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'TCO vs TPS'!$B$4:$B$14</c:f>
              <c:numCache>
                <c:formatCode>General</c:formatCode>
                <c:ptCount val="11"/>
                <c:pt idx="0">
                  <c:v>10</c:v>
                </c:pt>
                <c:pt idx="1">
                  <c:v>50</c:v>
                </c:pt>
                <c:pt idx="2">
                  <c:v>100</c:v>
                </c:pt>
                <c:pt idx="3">
                  <c:v>150</c:v>
                </c:pt>
                <c:pt idx="4">
                  <c:v>200</c:v>
                </c:pt>
                <c:pt idx="5">
                  <c:v>250</c:v>
                </c:pt>
                <c:pt idx="6">
                  <c:v>300</c:v>
                </c:pt>
                <c:pt idx="7">
                  <c:v>350</c:v>
                </c:pt>
                <c:pt idx="8">
                  <c:v>400</c:v>
                </c:pt>
                <c:pt idx="9">
                  <c:v>450</c:v>
                </c:pt>
                <c:pt idx="10">
                  <c:v>500</c:v>
                </c:pt>
              </c:numCache>
            </c:numRef>
          </c:xVal>
          <c:yVal>
            <c:numRef>
              <c:f>'TCO vs TPS'!$C$4:$C$14</c:f>
              <c:numCache>
                <c:formatCode>#,##0\ _€</c:formatCode>
                <c:ptCount val="11"/>
                <c:pt idx="0">
                  <c:v>915770.98666666669</c:v>
                </c:pt>
                <c:pt idx="1">
                  <c:v>1076770.9866666668</c:v>
                </c:pt>
                <c:pt idx="2">
                  <c:v>1237770.9866666668</c:v>
                </c:pt>
                <c:pt idx="3">
                  <c:v>1467770.9866666668</c:v>
                </c:pt>
                <c:pt idx="4">
                  <c:v>1636770.9866666668</c:v>
                </c:pt>
                <c:pt idx="5">
                  <c:v>1897770.9866666668</c:v>
                </c:pt>
                <c:pt idx="6">
                  <c:v>2058770.9866666668</c:v>
                </c:pt>
                <c:pt idx="7">
                  <c:v>2296770.9866666663</c:v>
                </c:pt>
                <c:pt idx="8">
                  <c:v>2457770.9866666663</c:v>
                </c:pt>
                <c:pt idx="9">
                  <c:v>2710770.9866666663</c:v>
                </c:pt>
                <c:pt idx="10">
                  <c:v>2971467.84</c:v>
                </c:pt>
              </c:numCache>
            </c:numRef>
          </c:yVal>
          <c:smooth val="0"/>
          <c:extLst>
            <c:ext xmlns:c16="http://schemas.microsoft.com/office/drawing/2014/chart" uri="{C3380CC4-5D6E-409C-BE32-E72D297353CC}">
              <c16:uniqueId val="{00000000-FBAD-4B62-BAD5-5D192D549EC3}"/>
            </c:ext>
          </c:extLst>
        </c:ser>
        <c:ser>
          <c:idx val="1"/>
          <c:order val="1"/>
          <c:tx>
            <c:strRef>
              <c:f>'TCO vs TPS'!$D$3</c:f>
              <c:strCache>
                <c:ptCount val="1"/>
                <c:pt idx="0">
                  <c:v>Price LinuxONE</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'TCO vs TPS'!$B$4:$B$14</c:f>
              <c:numCache>
                <c:formatCode>General</c:formatCode>
                <c:ptCount val="11"/>
                <c:pt idx="0">
                  <c:v>10</c:v>
                </c:pt>
                <c:pt idx="1">
                  <c:v>50</c:v>
                </c:pt>
                <c:pt idx="2">
                  <c:v>100</c:v>
                </c:pt>
                <c:pt idx="3">
                  <c:v>150</c:v>
                </c:pt>
                <c:pt idx="4">
                  <c:v>200</c:v>
                </c:pt>
                <c:pt idx="5">
                  <c:v>250</c:v>
                </c:pt>
                <c:pt idx="6">
                  <c:v>300</c:v>
                </c:pt>
                <c:pt idx="7">
                  <c:v>350</c:v>
                </c:pt>
                <c:pt idx="8">
                  <c:v>400</c:v>
                </c:pt>
                <c:pt idx="9">
                  <c:v>450</c:v>
                </c:pt>
                <c:pt idx="10">
                  <c:v>500</c:v>
                </c:pt>
              </c:numCache>
            </c:numRef>
          </c:xVal>
          <c:yVal>
            <c:numRef>
              <c:f>'TCO vs TPS'!$D$4:$D$14</c:f>
              <c:numCache>
                <c:formatCode>#,##0\ _€</c:formatCode>
                <c:ptCount val="11"/>
                <c:pt idx="0">
                  <c:v>1552823.1578947369</c:v>
                </c:pt>
                <c:pt idx="1">
                  <c:v>1552823.1578947369</c:v>
                </c:pt>
                <c:pt idx="2">
                  <c:v>1552823.1578947369</c:v>
                </c:pt>
                <c:pt idx="3">
                  <c:v>1552823.1578947369</c:v>
                </c:pt>
                <c:pt idx="4">
                  <c:v>1552823.1578947369</c:v>
                </c:pt>
                <c:pt idx="5">
                  <c:v>1718514.7368421052</c:v>
                </c:pt>
                <c:pt idx="6">
                  <c:v>1718514.7368421052</c:v>
                </c:pt>
                <c:pt idx="7">
                  <c:v>1718514.7368421052</c:v>
                </c:pt>
                <c:pt idx="8">
                  <c:v>1718514.7368421052</c:v>
                </c:pt>
                <c:pt idx="9">
                  <c:v>2041497.894736842</c:v>
                </c:pt>
                <c:pt idx="10">
                  <c:v>2041497.894736842</c:v>
                </c:pt>
              </c:numCache>
            </c:numRef>
          </c:yVal>
          <c:smooth val="0"/>
          <c:extLst>
            <c:ext xmlns:c16="http://schemas.microsoft.com/office/drawing/2014/chart" uri="{C3380CC4-5D6E-409C-BE32-E72D297353CC}">
              <c16:uniqueId val="{00000001-FBAD-4B62-BAD5-5D192D549EC3}"/>
            </c:ext>
          </c:extLst>
        </c:ser>
        <c:dLbls>
          <c:showLegendKey val="0"/>
          <c:showVal val="0"/>
          <c:showCatName val="0"/>
          <c:showSerName val="0"/>
          <c:showPercent val="0"/>
          <c:showBubbleSize val="0"/>
        </c:dLbls>
        <c:axId val="631581423"/>
        <c:axId val="631580591"/>
      </c:scatterChart>
      <c:valAx>
        <c:axId val="6315814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1580591"/>
        <c:crosses val="autoZero"/>
        <c:crossBetween val="midCat"/>
      </c:valAx>
      <c:valAx>
        <c:axId val="631580591"/>
        <c:scaling>
          <c:orientation val="minMax"/>
        </c:scaling>
        <c:delete val="0"/>
        <c:axPos val="l"/>
        <c:majorGridlines>
          <c:spPr>
            <a:ln w="9525" cap="flat" cmpd="sng" algn="ctr">
              <a:solidFill>
                <a:schemeClr val="tx1">
                  <a:lumMod val="15000"/>
                  <a:lumOff val="85000"/>
                </a:schemeClr>
              </a:solidFill>
              <a:round/>
            </a:ln>
            <a:effectLst/>
          </c:spPr>
        </c:majorGridlines>
        <c:numFmt formatCode="#,##0\ 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158142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it-IT" sz="1400" b="0" i="0" u="none" strike="noStrike" kern="1200" spc="0" baseline="0">
                <a:solidFill>
                  <a:sysClr val="windowText" lastClr="000000">
                    <a:lumMod val="65000"/>
                    <a:lumOff val="35000"/>
                  </a:sysClr>
                </a:solidFill>
                <a:latin typeface="+mn-lt"/>
                <a:ea typeface="+mn-ea"/>
                <a:cs typeface="+mn-cs"/>
              </a:defRPr>
            </a:pPr>
            <a:r>
              <a:rPr lang="it-IT" sz="1400" b="0" i="0" u="none" strike="noStrike" kern="1200" spc="0" baseline="0">
                <a:solidFill>
                  <a:sysClr val="windowText" lastClr="000000">
                    <a:lumMod val="65000"/>
                    <a:lumOff val="35000"/>
                  </a:sysClr>
                </a:solidFill>
                <a:latin typeface="+mn-lt"/>
                <a:ea typeface="+mn-ea"/>
                <a:cs typeface="+mn-cs"/>
              </a:rPr>
              <a:t>5 years TCO growth with TPS (large workload)</a:t>
            </a:r>
          </a:p>
        </c:rich>
      </c:tx>
      <c:layout>
        <c:manualLayout>
          <c:xMode val="edge"/>
          <c:yMode val="edge"/>
          <c:x val="0.1905155635836312"/>
          <c:y val="3.4949759720401923E-2"/>
        </c:manualLayout>
      </c:layout>
      <c:overlay val="0"/>
      <c:spPr>
        <a:noFill/>
        <a:ln>
          <a:noFill/>
        </a:ln>
        <a:effectLst/>
      </c:spPr>
      <c:txPr>
        <a:bodyPr rot="0" spcFirstLastPara="1" vertOverflow="ellipsis" vert="horz" wrap="square" anchor="ctr" anchorCtr="1"/>
        <a:lstStyle/>
        <a:p>
          <a:pPr algn="ctr" rtl="0">
            <a:defRPr lang="it-IT" sz="1400" b="0" i="0" u="none" strike="noStrike" kern="1200" spc="0" baseline="0">
              <a:solidFill>
                <a:sysClr val="windowText" lastClr="000000">
                  <a:lumMod val="65000"/>
                  <a:lumOff val="35000"/>
                </a:sysClr>
              </a:solidFill>
              <a:latin typeface="+mn-lt"/>
              <a:ea typeface="+mn-ea"/>
              <a:cs typeface="+mn-cs"/>
            </a:defRPr>
          </a:pPr>
          <a:endParaRPr lang="it-IT"/>
        </a:p>
      </c:txPr>
    </c:title>
    <c:autoTitleDeleted val="0"/>
    <c:plotArea>
      <c:layout>
        <c:manualLayout>
          <c:layoutTarget val="inner"/>
          <c:xMode val="edge"/>
          <c:yMode val="edge"/>
          <c:x val="0.16138721755095636"/>
          <c:y val="0.24543468763652249"/>
          <c:w val="0.77524455242771551"/>
          <c:h val="0.56202103177469787"/>
        </c:manualLayout>
      </c:layout>
      <c:scatterChart>
        <c:scatterStyle val="lineMarker"/>
        <c:varyColors val="0"/>
        <c:ser>
          <c:idx val="0"/>
          <c:order val="0"/>
          <c:tx>
            <c:strRef>
              <c:f>'TCO vs TPS'!$C$16</c:f>
              <c:strCache>
                <c:ptCount val="1"/>
                <c:pt idx="0">
                  <c:v>Price x86</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'TCO vs TPS'!$B$17:$B$21</c:f>
              <c:numCache>
                <c:formatCode>#,##0</c:formatCode>
                <c:ptCount val="5"/>
                <c:pt idx="0">
                  <c:v>2000</c:v>
                </c:pt>
                <c:pt idx="1">
                  <c:v>4000</c:v>
                </c:pt>
                <c:pt idx="2">
                  <c:v>6000</c:v>
                </c:pt>
                <c:pt idx="3">
                  <c:v>8000</c:v>
                </c:pt>
                <c:pt idx="4">
                  <c:v>10000</c:v>
                </c:pt>
              </c:numCache>
            </c:numRef>
          </c:xVal>
          <c:yVal>
            <c:numRef>
              <c:f>'TCO vs TPS'!$C$17:$C$21</c:f>
              <c:numCache>
                <c:formatCode>#,##0\ _€</c:formatCode>
                <c:ptCount val="5"/>
                <c:pt idx="0">
                  <c:v>9595510.7200000007</c:v>
                </c:pt>
                <c:pt idx="1">
                  <c:v>15956856.746666666</c:v>
                </c:pt>
                <c:pt idx="2">
                  <c:v>22305202.773333333</c:v>
                </c:pt>
                <c:pt idx="3">
                  <c:v>28661548.800000001</c:v>
                </c:pt>
                <c:pt idx="4">
                  <c:v>35022894.826666661</c:v>
                </c:pt>
              </c:numCache>
            </c:numRef>
          </c:yVal>
          <c:smooth val="0"/>
          <c:extLst>
            <c:ext xmlns:c16="http://schemas.microsoft.com/office/drawing/2014/chart" uri="{C3380CC4-5D6E-409C-BE32-E72D297353CC}">
              <c16:uniqueId val="{00000000-036D-4F51-AA14-0C555C79C274}"/>
            </c:ext>
          </c:extLst>
        </c:ser>
        <c:ser>
          <c:idx val="1"/>
          <c:order val="1"/>
          <c:tx>
            <c:strRef>
              <c:f>'TCO vs TPS'!$D$16</c:f>
              <c:strCache>
                <c:ptCount val="1"/>
                <c:pt idx="0">
                  <c:v>Price LinuxONE</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'TCO vs TPS'!$B$17:$B$21</c:f>
              <c:numCache>
                <c:formatCode>#,##0</c:formatCode>
                <c:ptCount val="5"/>
                <c:pt idx="0">
                  <c:v>2000</c:v>
                </c:pt>
                <c:pt idx="1">
                  <c:v>4000</c:v>
                </c:pt>
                <c:pt idx="2">
                  <c:v>6000</c:v>
                </c:pt>
                <c:pt idx="3">
                  <c:v>8000</c:v>
                </c:pt>
                <c:pt idx="4">
                  <c:v>10000</c:v>
                </c:pt>
              </c:numCache>
            </c:numRef>
          </c:xVal>
          <c:yVal>
            <c:numRef>
              <c:f>'TCO vs TPS'!$D$17:$D$21</c:f>
              <c:numCache>
                <c:formatCode>#,##0\ _€</c:formatCode>
                <c:ptCount val="5"/>
                <c:pt idx="0">
                  <c:v>4429213.6842105268</c:v>
                </c:pt>
                <c:pt idx="1">
                  <c:v>8132587.3684210526</c:v>
                </c:pt>
                <c:pt idx="2">
                  <c:v>11835961.052631579</c:v>
                </c:pt>
                <c:pt idx="3">
                  <c:v>15539334.736842105</c:v>
                </c:pt>
                <c:pt idx="4">
                  <c:v>19242708.421052631</c:v>
                </c:pt>
              </c:numCache>
            </c:numRef>
          </c:yVal>
          <c:smooth val="0"/>
          <c:extLst>
            <c:ext xmlns:c16="http://schemas.microsoft.com/office/drawing/2014/chart" uri="{C3380CC4-5D6E-409C-BE32-E72D297353CC}">
              <c16:uniqueId val="{00000001-036D-4F51-AA14-0C555C79C274}"/>
            </c:ext>
          </c:extLst>
        </c:ser>
        <c:dLbls>
          <c:showLegendKey val="0"/>
          <c:showVal val="0"/>
          <c:showCatName val="0"/>
          <c:showSerName val="0"/>
          <c:showPercent val="0"/>
          <c:showBubbleSize val="0"/>
        </c:dLbls>
        <c:axId val="623527343"/>
        <c:axId val="623529423"/>
      </c:scatterChart>
      <c:valAx>
        <c:axId val="62352734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23529423"/>
        <c:crosses val="autoZero"/>
        <c:crossBetween val="midCat"/>
      </c:valAx>
      <c:valAx>
        <c:axId val="623529423"/>
        <c:scaling>
          <c:orientation val="minMax"/>
        </c:scaling>
        <c:delete val="0"/>
        <c:axPos val="l"/>
        <c:majorGridlines>
          <c:spPr>
            <a:ln w="9525" cap="flat" cmpd="sng" algn="ctr">
              <a:solidFill>
                <a:schemeClr val="tx1">
                  <a:lumMod val="15000"/>
                  <a:lumOff val="85000"/>
                </a:schemeClr>
              </a:solidFill>
              <a:round/>
            </a:ln>
            <a:effectLst/>
          </c:spPr>
        </c:majorGridlines>
        <c:numFmt formatCode="#,##0\ 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235273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xdr:from>
      <xdr:col>0</xdr:col>
      <xdr:colOff>6</xdr:colOff>
      <xdr:row>12</xdr:row>
      <xdr:rowOff>47625</xdr:rowOff>
    </xdr:from>
    <xdr:to>
      <xdr:col>7</xdr:col>
      <xdr:colOff>819150</xdr:colOff>
      <xdr:row>27</xdr:row>
      <xdr:rowOff>142875</xdr:rowOff>
    </xdr:to>
    <xdr:graphicFrame macro="">
      <xdr:nvGraphicFramePr>
        <xdr:cNvPr id="4" name="Chart 3">
          <a:extLst>
            <a:ext uri="{FF2B5EF4-FFF2-40B4-BE49-F238E27FC236}">
              <a16:creationId xmlns:a16="http://schemas.microsoft.com/office/drawing/2014/main" id="{64FDB1F2-3180-489E-95DC-143EAEDFDD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400050</xdr:colOff>
      <xdr:row>12</xdr:row>
      <xdr:rowOff>57150</xdr:rowOff>
    </xdr:from>
    <xdr:to>
      <xdr:col>15</xdr:col>
      <xdr:colOff>666750</xdr:colOff>
      <xdr:row>27</xdr:row>
      <xdr:rowOff>152400</xdr:rowOff>
    </xdr:to>
    <xdr:graphicFrame macro="">
      <xdr:nvGraphicFramePr>
        <xdr:cNvPr id="5" name="Chart 4">
          <a:extLst>
            <a:ext uri="{FF2B5EF4-FFF2-40B4-BE49-F238E27FC236}">
              <a16:creationId xmlns:a16="http://schemas.microsoft.com/office/drawing/2014/main" id="{59BA40E8-6C10-4DBF-949C-FC6A97A8B1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266700</xdr:colOff>
      <xdr:row>1</xdr:row>
      <xdr:rowOff>80010</xdr:rowOff>
    </xdr:from>
    <xdr:to>
      <xdr:col>13</xdr:col>
      <xdr:colOff>403860</xdr:colOff>
      <xdr:row>17</xdr:row>
      <xdr:rowOff>76200</xdr:rowOff>
    </xdr:to>
    <xdr:graphicFrame macro="">
      <xdr:nvGraphicFramePr>
        <xdr:cNvPr id="3" name="Grafico 2">
          <a:extLst>
            <a:ext uri="{FF2B5EF4-FFF2-40B4-BE49-F238E27FC236}">
              <a16:creationId xmlns:a16="http://schemas.microsoft.com/office/drawing/2014/main" id="{EA20C166-B6A7-4279-A90D-5B3FEC622C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83820</xdr:colOff>
      <xdr:row>1</xdr:row>
      <xdr:rowOff>95250</xdr:rowOff>
    </xdr:from>
    <xdr:to>
      <xdr:col>21</xdr:col>
      <xdr:colOff>533400</xdr:colOff>
      <xdr:row>17</xdr:row>
      <xdr:rowOff>76200</xdr:rowOff>
    </xdr:to>
    <xdr:graphicFrame macro="">
      <xdr:nvGraphicFramePr>
        <xdr:cNvPr id="4" name="Grafico 3">
          <a:extLst>
            <a:ext uri="{FF2B5EF4-FFF2-40B4-BE49-F238E27FC236}">
              <a16:creationId xmlns:a16="http://schemas.microsoft.com/office/drawing/2014/main" id="{FCB5B860-FA08-44AF-AF7F-71CDEE53D0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xdr:row>
      <xdr:rowOff>0</xdr:rowOff>
    </xdr:from>
    <xdr:to>
      <xdr:col>1</xdr:col>
      <xdr:colOff>0</xdr:colOff>
      <xdr:row>2</xdr:row>
      <xdr:rowOff>0</xdr:rowOff>
    </xdr:to>
    <xdr:pic>
      <xdr:nvPicPr>
        <xdr:cNvPr id="2" name="Picture 1">
          <a:extLst>
            <a:ext uri="{FF2B5EF4-FFF2-40B4-BE49-F238E27FC236}">
              <a16:creationId xmlns:a16="http://schemas.microsoft.com/office/drawing/2014/main" id="{6231787E-1B62-4BA3-9FF1-3AAF40905C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1450"/>
          <a:ext cx="1438275" cy="5048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152400</xdr:colOff>
      <xdr:row>0</xdr:row>
      <xdr:rowOff>1</xdr:rowOff>
    </xdr:from>
    <xdr:to>
      <xdr:col>13</xdr:col>
      <xdr:colOff>457200</xdr:colOff>
      <xdr:row>22</xdr:row>
      <xdr:rowOff>94659</xdr:rowOff>
    </xdr:to>
    <xdr:pic>
      <xdr:nvPicPr>
        <xdr:cNvPr id="2" name="Immagine 1">
          <a:extLst>
            <a:ext uri="{FF2B5EF4-FFF2-40B4-BE49-F238E27FC236}">
              <a16:creationId xmlns:a16="http://schemas.microsoft.com/office/drawing/2014/main" id="{9F9F3245-A15A-464B-9C93-0EFA596E5AA8}"/>
            </a:ext>
          </a:extLst>
        </xdr:cNvPr>
        <xdr:cNvPicPr>
          <a:picLocks noChangeAspect="1"/>
        </xdr:cNvPicPr>
      </xdr:nvPicPr>
      <xdr:blipFill>
        <a:blip xmlns:r="http://schemas.openxmlformats.org/officeDocument/2006/relationships" r:embed="rId1"/>
        <a:stretch>
          <a:fillRect/>
        </a:stretch>
      </xdr:blipFill>
      <xdr:spPr>
        <a:xfrm>
          <a:off x="152400" y="1"/>
          <a:ext cx="8229600" cy="4072298"/>
        </a:xfrm>
        <a:prstGeom prst="rect">
          <a:avLst/>
        </a:prstGeom>
      </xdr:spPr>
    </xdr:pic>
    <xdr:clientData/>
  </xdr:twoCellAnchor>
  <xdr:twoCellAnchor editAs="oneCell">
    <xdr:from>
      <xdr:col>14</xdr:col>
      <xdr:colOff>57144</xdr:colOff>
      <xdr:row>0</xdr:row>
      <xdr:rowOff>87630</xdr:rowOff>
    </xdr:from>
    <xdr:to>
      <xdr:col>25</xdr:col>
      <xdr:colOff>250424</xdr:colOff>
      <xdr:row>29</xdr:row>
      <xdr:rowOff>136365</xdr:rowOff>
    </xdr:to>
    <xdr:pic>
      <xdr:nvPicPr>
        <xdr:cNvPr id="3" name="Immagine 2">
          <a:extLst>
            <a:ext uri="{FF2B5EF4-FFF2-40B4-BE49-F238E27FC236}">
              <a16:creationId xmlns:a16="http://schemas.microsoft.com/office/drawing/2014/main" id="{E82D7C88-B9F0-4522-ADED-91FB72558E5D}"/>
            </a:ext>
          </a:extLst>
        </xdr:cNvPr>
        <xdr:cNvPicPr>
          <a:picLocks noChangeAspect="1"/>
        </xdr:cNvPicPr>
      </xdr:nvPicPr>
      <xdr:blipFill>
        <a:blip xmlns:r="http://schemas.openxmlformats.org/officeDocument/2006/relationships" r:embed="rId2"/>
        <a:stretch>
          <a:fillRect/>
        </a:stretch>
      </xdr:blipFill>
      <xdr:spPr>
        <a:xfrm>
          <a:off x="8591544" y="87630"/>
          <a:ext cx="6895070" cy="5293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57150</xdr:colOff>
      <xdr:row>0</xdr:row>
      <xdr:rowOff>60216</xdr:rowOff>
    </xdr:from>
    <xdr:to>
      <xdr:col>18</xdr:col>
      <xdr:colOff>17307</xdr:colOff>
      <xdr:row>23</xdr:row>
      <xdr:rowOff>104105</xdr:rowOff>
    </xdr:to>
    <xdr:pic>
      <xdr:nvPicPr>
        <xdr:cNvPr id="2" name="Immagine 1">
          <a:extLst>
            <a:ext uri="{FF2B5EF4-FFF2-40B4-BE49-F238E27FC236}">
              <a16:creationId xmlns:a16="http://schemas.microsoft.com/office/drawing/2014/main" id="{926ED05F-FDFD-44DF-8183-9C7C7C526DA1}"/>
            </a:ext>
          </a:extLst>
        </xdr:cNvPr>
        <xdr:cNvPicPr>
          <a:picLocks noChangeAspect="1"/>
        </xdr:cNvPicPr>
      </xdr:nvPicPr>
      <xdr:blipFill>
        <a:blip xmlns:r="http://schemas.openxmlformats.org/officeDocument/2006/relationships" r:embed="rId1"/>
        <a:stretch>
          <a:fillRect/>
        </a:stretch>
      </xdr:blipFill>
      <xdr:spPr>
        <a:xfrm>
          <a:off x="57150" y="60216"/>
          <a:ext cx="10932957" cy="420631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136236</xdr:colOff>
      <xdr:row>0</xdr:row>
      <xdr:rowOff>19050</xdr:rowOff>
    </xdr:from>
    <xdr:to>
      <xdr:col>14</xdr:col>
      <xdr:colOff>389877</xdr:colOff>
      <xdr:row>24</xdr:row>
      <xdr:rowOff>57150</xdr:rowOff>
    </xdr:to>
    <xdr:pic>
      <xdr:nvPicPr>
        <xdr:cNvPr id="2" name="Immagine 1">
          <a:extLst>
            <a:ext uri="{FF2B5EF4-FFF2-40B4-BE49-F238E27FC236}">
              <a16:creationId xmlns:a16="http://schemas.microsoft.com/office/drawing/2014/main" id="{075DDCB1-0EA9-4493-8844-1428C232E9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136236" y="19050"/>
          <a:ext cx="8788041" cy="4381500"/>
        </a:xfrm>
        <a:prstGeom prst="rect">
          <a:avLst/>
        </a:prstGeom>
      </xdr:spPr>
    </xdr:pic>
    <xdr:clientData/>
  </xdr:twoCellAnchor>
  <xdr:twoCellAnchor editAs="oneCell">
    <xdr:from>
      <xdr:col>0</xdr:col>
      <xdr:colOff>34290</xdr:colOff>
      <xdr:row>30</xdr:row>
      <xdr:rowOff>123825</xdr:rowOff>
    </xdr:from>
    <xdr:to>
      <xdr:col>18</xdr:col>
      <xdr:colOff>582776</xdr:colOff>
      <xdr:row>59</xdr:row>
      <xdr:rowOff>35409</xdr:rowOff>
    </xdr:to>
    <xdr:pic>
      <xdr:nvPicPr>
        <xdr:cNvPr id="3" name="Immagine 2">
          <a:extLst>
            <a:ext uri="{FF2B5EF4-FFF2-40B4-BE49-F238E27FC236}">
              <a16:creationId xmlns:a16="http://schemas.microsoft.com/office/drawing/2014/main" id="{8CED23E5-F51C-4719-9AF3-DCC5185B5AA5}"/>
            </a:ext>
          </a:extLst>
        </xdr:cNvPr>
        <xdr:cNvPicPr>
          <a:picLocks noChangeAspect="1"/>
        </xdr:cNvPicPr>
      </xdr:nvPicPr>
      <xdr:blipFill>
        <a:blip xmlns:r="http://schemas.openxmlformats.org/officeDocument/2006/relationships" r:embed="rId2"/>
        <a:stretch>
          <a:fillRect/>
        </a:stretch>
      </xdr:blipFill>
      <xdr:spPr>
        <a:xfrm>
          <a:off x="34290" y="5553075"/>
          <a:ext cx="11521286" cy="5159859"/>
        </a:xfrm>
        <a:prstGeom prst="rect">
          <a:avLst/>
        </a:prstGeom>
      </xdr:spPr>
    </xdr:pic>
    <xdr:clientData/>
  </xdr:twoCellAnchor>
  <xdr:twoCellAnchor editAs="oneCell">
    <xdr:from>
      <xdr:col>0</xdr:col>
      <xdr:colOff>0</xdr:colOff>
      <xdr:row>64</xdr:row>
      <xdr:rowOff>0</xdr:rowOff>
    </xdr:from>
    <xdr:to>
      <xdr:col>19</xdr:col>
      <xdr:colOff>46171</xdr:colOff>
      <xdr:row>77</xdr:row>
      <xdr:rowOff>51131</xdr:rowOff>
    </xdr:to>
    <xdr:pic>
      <xdr:nvPicPr>
        <xdr:cNvPr id="4" name="Immagine 3">
          <a:extLst>
            <a:ext uri="{FF2B5EF4-FFF2-40B4-BE49-F238E27FC236}">
              <a16:creationId xmlns:a16="http://schemas.microsoft.com/office/drawing/2014/main" id="{8FBA2D39-AF02-4440-B4A7-99A50DFDDD14}"/>
            </a:ext>
          </a:extLst>
        </xdr:cNvPr>
        <xdr:cNvPicPr>
          <a:picLocks noChangeAspect="1"/>
        </xdr:cNvPicPr>
      </xdr:nvPicPr>
      <xdr:blipFill>
        <a:blip xmlns:r="http://schemas.openxmlformats.org/officeDocument/2006/relationships" r:embed="rId3"/>
        <a:stretch>
          <a:fillRect/>
        </a:stretch>
      </xdr:blipFill>
      <xdr:spPr>
        <a:xfrm>
          <a:off x="0" y="11704320"/>
          <a:ext cx="11628571" cy="242857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276225</xdr:colOff>
      <xdr:row>1</xdr:row>
      <xdr:rowOff>142875</xdr:rowOff>
    </xdr:from>
    <xdr:to>
      <xdr:col>19</xdr:col>
      <xdr:colOff>339541</xdr:colOff>
      <xdr:row>7</xdr:row>
      <xdr:rowOff>165675</xdr:rowOff>
    </xdr:to>
    <xdr:grpSp>
      <xdr:nvGrpSpPr>
        <xdr:cNvPr id="4" name="Gruppo 3">
          <a:extLst>
            <a:ext uri="{FF2B5EF4-FFF2-40B4-BE49-F238E27FC236}">
              <a16:creationId xmlns:a16="http://schemas.microsoft.com/office/drawing/2014/main" id="{3513762B-EAE9-462F-920D-2D58412E20E0}"/>
            </a:ext>
          </a:extLst>
        </xdr:cNvPr>
        <xdr:cNvGrpSpPr/>
      </xdr:nvGrpSpPr>
      <xdr:grpSpPr>
        <a:xfrm>
          <a:off x="276225" y="325755"/>
          <a:ext cx="11645716" cy="1120080"/>
          <a:chOff x="571500" y="1123950"/>
          <a:chExt cx="11647621" cy="1112460"/>
        </a:xfrm>
      </xdr:grpSpPr>
      <xdr:pic>
        <xdr:nvPicPr>
          <xdr:cNvPr id="2" name="Immagine 1">
            <a:extLst>
              <a:ext uri="{FF2B5EF4-FFF2-40B4-BE49-F238E27FC236}">
                <a16:creationId xmlns:a16="http://schemas.microsoft.com/office/drawing/2014/main" id="{2399D6D1-C413-4D58-BF08-6693C54474AB}"/>
              </a:ext>
            </a:extLst>
          </xdr:cNvPr>
          <xdr:cNvPicPr>
            <a:picLocks noChangeAspect="1"/>
          </xdr:cNvPicPr>
        </xdr:nvPicPr>
        <xdr:blipFill>
          <a:blip xmlns:r="http://schemas.openxmlformats.org/officeDocument/2006/relationships" r:embed="rId1"/>
          <a:stretch>
            <a:fillRect/>
          </a:stretch>
        </xdr:blipFill>
        <xdr:spPr>
          <a:xfrm>
            <a:off x="571500" y="1758315"/>
            <a:ext cx="11638095" cy="478095"/>
          </a:xfrm>
          <a:prstGeom prst="rect">
            <a:avLst/>
          </a:prstGeom>
        </xdr:spPr>
      </xdr:pic>
      <xdr:pic>
        <xdr:nvPicPr>
          <xdr:cNvPr id="3" name="Immagine 2">
            <a:extLst>
              <a:ext uri="{FF2B5EF4-FFF2-40B4-BE49-F238E27FC236}">
                <a16:creationId xmlns:a16="http://schemas.microsoft.com/office/drawing/2014/main" id="{7E1D32B8-192B-4575-B9F8-09BE8BF14B19}"/>
              </a:ext>
            </a:extLst>
          </xdr:cNvPr>
          <xdr:cNvPicPr>
            <a:picLocks noChangeAspect="1"/>
          </xdr:cNvPicPr>
        </xdr:nvPicPr>
        <xdr:blipFill>
          <a:blip xmlns:r="http://schemas.openxmlformats.org/officeDocument/2006/relationships" r:embed="rId2"/>
          <a:stretch>
            <a:fillRect/>
          </a:stretch>
        </xdr:blipFill>
        <xdr:spPr>
          <a:xfrm>
            <a:off x="586740" y="1123950"/>
            <a:ext cx="11632381" cy="632381"/>
          </a:xfrm>
          <a:prstGeom prst="rect">
            <a:avLst/>
          </a:prstGeom>
        </xdr:spPr>
      </xdr:pic>
    </xdr:grpSp>
    <xdr:clientData/>
  </xdr:twoCellAnchor>
  <xdr:twoCellAnchor editAs="oneCell">
    <xdr:from>
      <xdr:col>0</xdr:col>
      <xdr:colOff>264795</xdr:colOff>
      <xdr:row>11</xdr:row>
      <xdr:rowOff>151127</xdr:rowOff>
    </xdr:from>
    <xdr:to>
      <xdr:col>18</xdr:col>
      <xdr:colOff>123502</xdr:colOff>
      <xdr:row>34</xdr:row>
      <xdr:rowOff>39171</xdr:rowOff>
    </xdr:to>
    <xdr:pic>
      <xdr:nvPicPr>
        <xdr:cNvPr id="6" name="Immagine 5">
          <a:extLst>
            <a:ext uri="{FF2B5EF4-FFF2-40B4-BE49-F238E27FC236}">
              <a16:creationId xmlns:a16="http://schemas.microsoft.com/office/drawing/2014/main" id="{F6055682-0873-4712-8DA0-F93F9C96E5A8}"/>
            </a:ext>
          </a:extLst>
        </xdr:cNvPr>
        <xdr:cNvPicPr>
          <a:picLocks noChangeAspect="1"/>
        </xdr:cNvPicPr>
      </xdr:nvPicPr>
      <xdr:blipFill>
        <a:blip xmlns:r="http://schemas.openxmlformats.org/officeDocument/2006/relationships" r:embed="rId3"/>
        <a:stretch>
          <a:fillRect/>
        </a:stretch>
      </xdr:blipFill>
      <xdr:spPr>
        <a:xfrm>
          <a:off x="264795" y="2141852"/>
          <a:ext cx="10831507" cy="4050469"/>
        </a:xfrm>
        <a:prstGeom prst="rect">
          <a:avLst/>
        </a:prstGeom>
      </xdr:spPr>
    </xdr:pic>
    <xdr:clientData/>
  </xdr:twoCellAnchor>
  <xdr:twoCellAnchor>
    <xdr:from>
      <xdr:col>3</xdr:col>
      <xdr:colOff>291465</xdr:colOff>
      <xdr:row>29</xdr:row>
      <xdr:rowOff>139065</xdr:rowOff>
    </xdr:from>
    <xdr:to>
      <xdr:col>6</xdr:col>
      <xdr:colOff>445770</xdr:colOff>
      <xdr:row>31</xdr:row>
      <xdr:rowOff>123825</xdr:rowOff>
    </xdr:to>
    <xdr:sp macro="" textlink="">
      <xdr:nvSpPr>
        <xdr:cNvPr id="7" name="Rettangolo 6">
          <a:extLst>
            <a:ext uri="{FF2B5EF4-FFF2-40B4-BE49-F238E27FC236}">
              <a16:creationId xmlns:a16="http://schemas.microsoft.com/office/drawing/2014/main" id="{FB58E0AC-594A-41E6-9A4C-7DB3A85BF587}"/>
            </a:ext>
          </a:extLst>
        </xdr:cNvPr>
        <xdr:cNvSpPr/>
      </xdr:nvSpPr>
      <xdr:spPr>
        <a:xfrm>
          <a:off x="2120265" y="5387340"/>
          <a:ext cx="1983105" cy="3467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t-IT"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440229</xdr:colOff>
      <xdr:row>22</xdr:row>
      <xdr:rowOff>140454</xdr:rowOff>
    </xdr:to>
    <xdr:pic>
      <xdr:nvPicPr>
        <xdr:cNvPr id="2" name="Immagine 1">
          <a:extLst>
            <a:ext uri="{FF2B5EF4-FFF2-40B4-BE49-F238E27FC236}">
              <a16:creationId xmlns:a16="http://schemas.microsoft.com/office/drawing/2014/main" id="{F9F3808E-FDF8-4320-9D8A-1240ACAC5292}"/>
            </a:ext>
          </a:extLst>
        </xdr:cNvPr>
        <xdr:cNvPicPr>
          <a:picLocks noChangeAspect="1"/>
        </xdr:cNvPicPr>
      </xdr:nvPicPr>
      <xdr:blipFill>
        <a:blip xmlns:r="http://schemas.openxmlformats.org/officeDocument/2006/relationships" r:embed="rId1"/>
        <a:stretch>
          <a:fillRect/>
        </a:stretch>
      </xdr:blipFill>
      <xdr:spPr>
        <a:xfrm>
          <a:off x="0" y="0"/>
          <a:ext cx="13851429" cy="412190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13</xdr:col>
      <xdr:colOff>483870</xdr:colOff>
      <xdr:row>0</xdr:row>
      <xdr:rowOff>35229</xdr:rowOff>
    </xdr:from>
    <xdr:to>
      <xdr:col>27</xdr:col>
      <xdr:colOff>341319</xdr:colOff>
      <xdr:row>28</xdr:row>
      <xdr:rowOff>101903</xdr:rowOff>
    </xdr:to>
    <xdr:pic>
      <xdr:nvPicPr>
        <xdr:cNvPr id="2" name="Immagine 1">
          <a:extLst>
            <a:ext uri="{FF2B5EF4-FFF2-40B4-BE49-F238E27FC236}">
              <a16:creationId xmlns:a16="http://schemas.microsoft.com/office/drawing/2014/main" id="{D8ABDF28-3708-4BE7-AA13-2FC42C56202A}"/>
            </a:ext>
          </a:extLst>
        </xdr:cNvPr>
        <xdr:cNvPicPr>
          <a:picLocks noChangeAspect="1"/>
        </xdr:cNvPicPr>
      </xdr:nvPicPr>
      <xdr:blipFill>
        <a:blip xmlns:r="http://schemas.openxmlformats.org/officeDocument/2006/relationships" r:embed="rId1"/>
        <a:stretch>
          <a:fillRect/>
        </a:stretch>
      </xdr:blipFill>
      <xdr:spPr>
        <a:xfrm>
          <a:off x="8408670" y="35229"/>
          <a:ext cx="8391849" cy="5133974"/>
        </a:xfrm>
        <a:prstGeom prst="rect">
          <a:avLst/>
        </a:prstGeom>
      </xdr:spPr>
    </xdr:pic>
    <xdr:clientData/>
  </xdr:twoCellAnchor>
  <xdr:twoCellAnchor editAs="oneCell">
    <xdr:from>
      <xdr:col>0</xdr:col>
      <xdr:colOff>62908</xdr:colOff>
      <xdr:row>0</xdr:row>
      <xdr:rowOff>78105</xdr:rowOff>
    </xdr:from>
    <xdr:to>
      <xdr:col>13</xdr:col>
      <xdr:colOff>178637</xdr:colOff>
      <xdr:row>32</xdr:row>
      <xdr:rowOff>143769</xdr:rowOff>
    </xdr:to>
    <xdr:pic>
      <xdr:nvPicPr>
        <xdr:cNvPr id="3" name="Immagine 2">
          <a:extLst>
            <a:ext uri="{FF2B5EF4-FFF2-40B4-BE49-F238E27FC236}">
              <a16:creationId xmlns:a16="http://schemas.microsoft.com/office/drawing/2014/main" id="{A4960239-50BB-4BDE-9AE6-2D6DE2119CE0}"/>
            </a:ext>
          </a:extLst>
        </xdr:cNvPr>
        <xdr:cNvPicPr>
          <a:picLocks noChangeAspect="1"/>
        </xdr:cNvPicPr>
      </xdr:nvPicPr>
      <xdr:blipFill>
        <a:blip xmlns:r="http://schemas.openxmlformats.org/officeDocument/2006/relationships" r:embed="rId2"/>
        <a:stretch>
          <a:fillRect/>
        </a:stretch>
      </xdr:blipFill>
      <xdr:spPr>
        <a:xfrm>
          <a:off x="62908" y="78105"/>
          <a:ext cx="8040529" cy="5856864"/>
        </a:xfrm>
        <a:prstGeom prst="rect">
          <a:avLst/>
        </a:prstGeom>
      </xdr:spPr>
    </xdr:pic>
    <xdr:clientData/>
  </xdr:twoCellAnchor>
  <xdr:twoCellAnchor>
    <xdr:from>
      <xdr:col>16</xdr:col>
      <xdr:colOff>217170</xdr:colOff>
      <xdr:row>24</xdr:row>
      <xdr:rowOff>11430</xdr:rowOff>
    </xdr:from>
    <xdr:to>
      <xdr:col>17</xdr:col>
      <xdr:colOff>472440</xdr:colOff>
      <xdr:row>26</xdr:row>
      <xdr:rowOff>125730</xdr:rowOff>
    </xdr:to>
    <xdr:sp macro="" textlink="">
      <xdr:nvSpPr>
        <xdr:cNvPr id="4" name="Rettangolo 3">
          <a:extLst>
            <a:ext uri="{FF2B5EF4-FFF2-40B4-BE49-F238E27FC236}">
              <a16:creationId xmlns:a16="http://schemas.microsoft.com/office/drawing/2014/main" id="{1DFBB67B-ED41-4758-907D-B40A90078211}"/>
            </a:ext>
          </a:extLst>
        </xdr:cNvPr>
        <xdr:cNvSpPr/>
      </xdr:nvSpPr>
      <xdr:spPr>
        <a:xfrm>
          <a:off x="9970770" y="4354830"/>
          <a:ext cx="864870" cy="4762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t-IT" sz="1100"/>
        </a:p>
      </xdr:txBody>
    </xdr:sp>
    <xdr:clientData/>
  </xdr:twoCellAnchor>
  <xdr:twoCellAnchor>
    <xdr:from>
      <xdr:col>9</xdr:col>
      <xdr:colOff>87630</xdr:colOff>
      <xdr:row>14</xdr:row>
      <xdr:rowOff>161925</xdr:rowOff>
    </xdr:from>
    <xdr:to>
      <xdr:col>10</xdr:col>
      <xdr:colOff>588645</xdr:colOff>
      <xdr:row>17</xdr:row>
      <xdr:rowOff>87630</xdr:rowOff>
    </xdr:to>
    <xdr:sp macro="" textlink="">
      <xdr:nvSpPr>
        <xdr:cNvPr id="5" name="Rettangolo 4">
          <a:extLst>
            <a:ext uri="{FF2B5EF4-FFF2-40B4-BE49-F238E27FC236}">
              <a16:creationId xmlns:a16="http://schemas.microsoft.com/office/drawing/2014/main" id="{677CD626-F637-466B-874B-2769C48C8E88}"/>
            </a:ext>
          </a:extLst>
        </xdr:cNvPr>
        <xdr:cNvSpPr/>
      </xdr:nvSpPr>
      <xdr:spPr>
        <a:xfrm>
          <a:off x="5574030" y="2695575"/>
          <a:ext cx="1110615" cy="4686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t-IT"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ibm.com/downloads/cas/2VVYYVNP"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ibm.com/it-infrastructure/resources/tools/linuxone-tco-calculator/"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www.linux-kvm.org/page/Main_Page"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https://shop.oracle.com/apex/f?p=DSTORE:6:::NO:RP,6:P6_LPI,P6_PROD_HIER_ID:60720318189220530576677,58095029061520477171389" TargetMode="External"/><Relationship Id="rId1" Type="http://schemas.openxmlformats.org/officeDocument/2006/relationships/hyperlink" Target="https://www.microsoft.com/it-it/sql-server/sql-server-2019-pricing"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www.zerto.com/"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www.fortinet.com/resources-content/fortinet/assets/data-sheets/file/FortiGate_200E_Series" TargetMode="External"/><Relationship Id="rId1" Type="http://schemas.openxmlformats.org/officeDocument/2006/relationships/hyperlink" Target="https://www.buyfortinet.net/Fortinet-FG-200E-BDL-974-60-p/fg-200e-bdl-974-60.htm"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25ECE-F123-4E15-9215-8E0BD218F3D5}">
  <dimension ref="A1:W23"/>
  <sheetViews>
    <sheetView workbookViewId="0">
      <selection activeCell="V5" sqref="V5"/>
    </sheetView>
  </sheetViews>
  <sheetFormatPr defaultRowHeight="14.4" x14ac:dyDescent="0.3"/>
  <cols>
    <col min="1" max="1" width="14.33203125" customWidth="1"/>
    <col min="2" max="2" width="9.88671875" bestFit="1" customWidth="1"/>
    <col min="3" max="3" width="11.33203125" bestFit="1" customWidth="1"/>
    <col min="4" max="4" width="12.33203125" bestFit="1" customWidth="1"/>
    <col min="6" max="6" width="9.109375" style="39"/>
    <col min="7" max="7" width="1.88671875" customWidth="1"/>
    <col min="8" max="8" width="8.6640625" style="10" customWidth="1"/>
    <col min="9" max="11" width="9.109375" style="10"/>
    <col min="12" max="12" width="9.6640625" style="10" customWidth="1"/>
    <col min="13" max="13" width="8.109375" style="10" bestFit="1" customWidth="1"/>
    <col min="14" max="14" width="9.44140625" style="10" bestFit="1" customWidth="1"/>
    <col min="15" max="15" width="7" style="10" customWidth="1"/>
    <col min="16" max="16" width="7.44140625" style="10" bestFit="1" customWidth="1"/>
    <col min="17" max="17" width="1.44140625" customWidth="1"/>
  </cols>
  <sheetData>
    <row r="1" spans="1:23" ht="44.25" customHeight="1" x14ac:dyDescent="0.3">
      <c r="C1" s="6" t="s">
        <v>143</v>
      </c>
      <c r="D1" s="6" t="s">
        <v>178</v>
      </c>
      <c r="E1" s="6" t="s">
        <v>181</v>
      </c>
      <c r="F1" s="6" t="s">
        <v>182</v>
      </c>
      <c r="I1" s="6"/>
    </row>
    <row r="2" spans="1:23" x14ac:dyDescent="0.3">
      <c r="C2" s="157">
        <v>2000</v>
      </c>
      <c r="D2" s="159">
        <f>'x86 TCO'!G5</f>
        <v>48</v>
      </c>
      <c r="E2" s="161">
        <v>2</v>
      </c>
      <c r="F2" s="164">
        <f>E4/D4</f>
        <v>0.96</v>
      </c>
      <c r="I2" s="162"/>
    </row>
    <row r="3" spans="1:23" s="10" customFormat="1" ht="69" x14ac:dyDescent="0.3">
      <c r="B3" s="18" t="s">
        <v>53</v>
      </c>
      <c r="C3" s="10" t="s">
        <v>52</v>
      </c>
      <c r="D3" s="6" t="s">
        <v>141</v>
      </c>
      <c r="E3" s="18" t="s">
        <v>55</v>
      </c>
      <c r="F3" s="134" t="s">
        <v>54</v>
      </c>
      <c r="H3" s="110" t="s">
        <v>129</v>
      </c>
      <c r="I3" s="18" t="s">
        <v>57</v>
      </c>
      <c r="J3" s="110" t="s">
        <v>130</v>
      </c>
      <c r="K3" s="18" t="s">
        <v>58</v>
      </c>
      <c r="L3" s="110" t="s">
        <v>179</v>
      </c>
      <c r="M3" s="18" t="s">
        <v>60</v>
      </c>
      <c r="N3" s="110" t="s">
        <v>281</v>
      </c>
      <c r="O3" s="18" t="s">
        <v>56</v>
      </c>
      <c r="P3" s="18" t="s">
        <v>176</v>
      </c>
      <c r="R3" s="134" t="s">
        <v>177</v>
      </c>
      <c r="S3" s="6" t="s">
        <v>174</v>
      </c>
      <c r="T3" s="18" t="s">
        <v>175</v>
      </c>
      <c r="U3" s="18" t="s">
        <v>131</v>
      </c>
      <c r="V3" s="18" t="s">
        <v>61</v>
      </c>
      <c r="W3" s="18" t="s">
        <v>132</v>
      </c>
    </row>
    <row r="4" spans="1:23" x14ac:dyDescent="0.3">
      <c r="A4" s="39" t="s">
        <v>107</v>
      </c>
      <c r="B4" s="43">
        <v>10</v>
      </c>
      <c r="C4" s="45">
        <v>20</v>
      </c>
      <c r="D4" s="119">
        <f>ROUNDUP($C$2/$C4,0)</f>
        <v>100</v>
      </c>
      <c r="E4" s="44">
        <f>IF(E2*D2&gt;D4,D4,E2*D2)</f>
        <v>96</v>
      </c>
      <c r="F4" s="135">
        <f>D4+E4</f>
        <v>196</v>
      </c>
      <c r="H4" s="158">
        <v>0.5</v>
      </c>
      <c r="I4" s="119">
        <f>ROUNDUP($D4*H4,0)</f>
        <v>50</v>
      </c>
      <c r="J4" s="158">
        <f>H4</f>
        <v>0.5</v>
      </c>
      <c r="K4" s="119">
        <f>ROUNDUP($D4*J4,0)</f>
        <v>50</v>
      </c>
      <c r="L4" s="158">
        <v>1</v>
      </c>
      <c r="M4" s="119">
        <f>ROUNDUP($D4*L4,0)</f>
        <v>100</v>
      </c>
      <c r="N4" s="158">
        <v>1</v>
      </c>
      <c r="O4" s="119">
        <f>ROUNDUP(($F4+M4)*N4,0)</f>
        <v>296</v>
      </c>
      <c r="P4" s="115"/>
      <c r="R4" s="135">
        <f>F4+I4+K4+M4+O4</f>
        <v>692</v>
      </c>
      <c r="S4" s="120">
        <f>R$4/R5</f>
        <v>23.066666666666666</v>
      </c>
      <c r="T4" s="121">
        <f>F4+I4+K4+M4</f>
        <v>396</v>
      </c>
      <c r="U4" s="116">
        <f>T$4/T5</f>
        <v>13.2</v>
      </c>
      <c r="V4" s="121">
        <f>R4</f>
        <v>692</v>
      </c>
      <c r="W4" s="116">
        <f>V$4/V5</f>
        <v>13.84</v>
      </c>
    </row>
    <row r="5" spans="1:23" x14ac:dyDescent="0.3">
      <c r="A5" s="39" t="s">
        <v>145</v>
      </c>
      <c r="B5" s="43">
        <v>1</v>
      </c>
      <c r="C5" s="44">
        <f>$C$4*B4</f>
        <v>200</v>
      </c>
      <c r="D5" s="119">
        <f>ROUNDUP($C$2/$C5,0)</f>
        <v>10</v>
      </c>
      <c r="E5" s="115"/>
      <c r="F5" s="135">
        <f>D5+E5</f>
        <v>10</v>
      </c>
      <c r="H5" s="158">
        <f>H4</f>
        <v>0.5</v>
      </c>
      <c r="I5" s="126">
        <f>ROUNDUP($D5*H5,0)</f>
        <v>5</v>
      </c>
      <c r="J5" s="158">
        <f>J4</f>
        <v>0.5</v>
      </c>
      <c r="K5" s="126">
        <f>ROUNDUP($D5*J5,0)</f>
        <v>5</v>
      </c>
      <c r="L5" s="158">
        <v>1</v>
      </c>
      <c r="M5" s="119">
        <f>ROUNDUP($D5*L5,0)</f>
        <v>10</v>
      </c>
      <c r="N5" s="115"/>
      <c r="O5" s="156"/>
      <c r="P5" s="119">
        <f>F5+M5</f>
        <v>20</v>
      </c>
      <c r="R5" s="135">
        <f>F5+I5+K5+M5+O5</f>
        <v>30</v>
      </c>
      <c r="T5" s="121">
        <f>F5+I5+K5+M5</f>
        <v>30</v>
      </c>
      <c r="V5" s="121">
        <f>R5+P5</f>
        <v>50</v>
      </c>
    </row>
    <row r="6" spans="1:23" x14ac:dyDescent="0.3">
      <c r="L6" s="117"/>
    </row>
    <row r="7" spans="1:23" ht="21" x14ac:dyDescent="0.4">
      <c r="A7" s="41" t="s">
        <v>160</v>
      </c>
      <c r="H7" s="46"/>
    </row>
    <row r="8" spans="1:23" x14ac:dyDescent="0.3">
      <c r="A8" t="s">
        <v>166</v>
      </c>
      <c r="H8" s="46"/>
    </row>
    <row r="9" spans="1:23" x14ac:dyDescent="0.3">
      <c r="A9" t="s">
        <v>136</v>
      </c>
    </row>
    <row r="10" spans="1:23" x14ac:dyDescent="0.3">
      <c r="A10" t="s">
        <v>62</v>
      </c>
    </row>
    <row r="11" spans="1:23" x14ac:dyDescent="0.3">
      <c r="A11" t="s">
        <v>133</v>
      </c>
    </row>
    <row r="12" spans="1:23" x14ac:dyDescent="0.3">
      <c r="A12" t="s">
        <v>139</v>
      </c>
    </row>
    <row r="13" spans="1:23" x14ac:dyDescent="0.3">
      <c r="A13" t="s">
        <v>157</v>
      </c>
    </row>
    <row r="14" spans="1:23" x14ac:dyDescent="0.3">
      <c r="A14" t="s">
        <v>158</v>
      </c>
      <c r="B14" s="130" t="s">
        <v>159</v>
      </c>
    </row>
    <row r="16" spans="1:23" x14ac:dyDescent="0.3">
      <c r="A16" s="39" t="s">
        <v>164</v>
      </c>
    </row>
    <row r="17" spans="1:2" x14ac:dyDescent="0.3">
      <c r="A17" s="12"/>
      <c r="B17" t="s">
        <v>171</v>
      </c>
    </row>
    <row r="18" spans="1:2" x14ac:dyDescent="0.3">
      <c r="A18" s="107"/>
      <c r="B18" t="s">
        <v>165</v>
      </c>
    </row>
    <row r="19" spans="1:2" x14ac:dyDescent="0.3">
      <c r="A19" s="45"/>
      <c r="B19" t="s">
        <v>172</v>
      </c>
    </row>
    <row r="20" spans="1:2" x14ac:dyDescent="0.3">
      <c r="A20" s="38"/>
      <c r="B20" t="s">
        <v>167</v>
      </c>
    </row>
    <row r="21" spans="1:2" x14ac:dyDescent="0.3">
      <c r="A21" s="136"/>
      <c r="B21" t="s">
        <v>170</v>
      </c>
    </row>
    <row r="22" spans="1:2" x14ac:dyDescent="0.3">
      <c r="A22" s="19"/>
      <c r="B22" t="s">
        <v>169</v>
      </c>
    </row>
    <row r="23" spans="1:2" x14ac:dyDescent="0.3">
      <c r="A23" s="43"/>
      <c r="B23" t="s">
        <v>168</v>
      </c>
    </row>
  </sheetData>
  <hyperlinks>
    <hyperlink ref="B14" r:id="rId1" xr:uid="{95FA029E-A8B3-4617-A379-F47606B948A0}"/>
  </hyperlinks>
  <pageMargins left="0.7" right="0.7" top="0.75" bottom="0.75" header="0.3" footer="0.3"/>
  <pageSetup orientation="portrait" r:id="rId2"/>
  <ignoredErrors>
    <ignoredError sqref="J4:J5 I5 T4 V4" formula="1"/>
  </ignoredError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EADEC-7A14-4A9C-8A71-96B3B16F8E7F}">
  <sheetPr>
    <outlinePr summaryBelow="0" summaryRight="0"/>
  </sheetPr>
  <dimension ref="A1:AC126"/>
  <sheetViews>
    <sheetView zoomScale="85" zoomScaleNormal="85" workbookViewId="0">
      <pane xSplit="1" ySplit="2" topLeftCell="B18" activePane="bottomRight" state="frozen"/>
      <selection pane="topRight" activeCell="B1" sqref="B1"/>
      <selection pane="bottomLeft" activeCell="A3" sqref="A3"/>
      <selection pane="bottomRight" activeCell="F34" sqref="F34"/>
    </sheetView>
  </sheetViews>
  <sheetFormatPr defaultRowHeight="14.4" outlineLevelRow="2" outlineLevelCol="1" x14ac:dyDescent="0.3"/>
  <cols>
    <col min="1" max="1" width="78.21875" customWidth="1"/>
    <col min="2" max="2" width="4.33203125" customWidth="1" outlineLevel="1"/>
    <col min="3" max="3" width="12" customWidth="1" outlineLevel="1"/>
    <col min="4" max="9" width="13.109375" customWidth="1" outlineLevel="1"/>
    <col min="10" max="12" width="12.88671875" customWidth="1" outlineLevel="1"/>
    <col min="13" max="13" width="3.44140625" customWidth="1"/>
    <col min="14" max="14" width="6" customWidth="1" outlineLevel="1"/>
    <col min="15" max="16" width="9.88671875" customWidth="1" outlineLevel="1"/>
    <col min="17" max="17" width="11.33203125" customWidth="1" outlineLevel="1"/>
    <col min="18" max="27" width="14.6640625" customWidth="1" outlineLevel="1"/>
    <col min="28" max="28" width="14.6640625" customWidth="1"/>
  </cols>
  <sheetData>
    <row r="1" spans="1:28" ht="24" customHeight="1" x14ac:dyDescent="0.4">
      <c r="A1" s="41" t="s">
        <v>13</v>
      </c>
      <c r="B1" s="41"/>
      <c r="R1" s="212" t="s">
        <v>20</v>
      </c>
      <c r="S1" s="213"/>
      <c r="T1" s="213"/>
      <c r="U1" s="213"/>
      <c r="V1" s="214"/>
      <c r="W1" s="212" t="s">
        <v>21</v>
      </c>
      <c r="X1" s="213"/>
      <c r="Y1" s="213"/>
      <c r="Z1" s="213"/>
      <c r="AA1" s="214"/>
      <c r="AB1" s="1" t="s">
        <v>67</v>
      </c>
    </row>
    <row r="2" spans="1:28" ht="18" x14ac:dyDescent="0.35">
      <c r="A2" s="40" t="s">
        <v>12</v>
      </c>
      <c r="B2" s="40"/>
      <c r="R2" s="10">
        <v>1</v>
      </c>
      <c r="S2" s="10">
        <v>2</v>
      </c>
      <c r="T2" s="10">
        <v>3</v>
      </c>
      <c r="U2" s="10">
        <v>4</v>
      </c>
      <c r="V2" s="10">
        <v>5</v>
      </c>
      <c r="W2" s="10">
        <v>1</v>
      </c>
      <c r="X2" s="10">
        <v>2</v>
      </c>
      <c r="Y2" s="10">
        <v>3</v>
      </c>
      <c r="Z2" s="10">
        <v>4</v>
      </c>
      <c r="AA2" s="10">
        <v>5</v>
      </c>
    </row>
    <row r="3" spans="1:28" s="59" customFormat="1" ht="30.75" customHeight="1" x14ac:dyDescent="0.3">
      <c r="A3" s="58" t="s">
        <v>1</v>
      </c>
      <c r="B3" s="58"/>
    </row>
    <row r="4" spans="1:28" s="10" customFormat="1" ht="36" customHeight="1" outlineLevel="1" x14ac:dyDescent="0.3">
      <c r="A4" s="10" t="s">
        <v>14</v>
      </c>
      <c r="C4" s="11" t="s">
        <v>20</v>
      </c>
      <c r="D4" s="11" t="s">
        <v>21</v>
      </c>
      <c r="E4" s="11" t="s">
        <v>15</v>
      </c>
      <c r="F4" s="11" t="s">
        <v>22</v>
      </c>
      <c r="G4" s="11" t="s">
        <v>24</v>
      </c>
      <c r="H4" s="11" t="s">
        <v>18</v>
      </c>
      <c r="I4" s="11" t="s">
        <v>23</v>
      </c>
      <c r="J4" s="11" t="s">
        <v>37</v>
      </c>
      <c r="K4" s="11"/>
      <c r="L4" s="11" t="s">
        <v>16</v>
      </c>
    </row>
    <row r="5" spans="1:28" s="39" customFormat="1" outlineLevel="1" x14ac:dyDescent="0.3">
      <c r="A5" s="31" t="str" cm="1">
        <f t="array" ref="A5">INDEX(A6:A16,$B$5)</f>
        <v>Lenovo Rack server ThinkSystem 2U SR665 AMD EPYC 7352 24C 155W 2.3GHz Processor w/o Fan(Standard)  (2 Chips, 48 Cores)</v>
      </c>
      <c r="B5" s="22">
        <f>MATCH("S",B6:B16)</f>
        <v>5</v>
      </c>
      <c r="C5" s="21" cm="1">
        <f t="array" ref="C5">INDEX(C6:C16,$B$5)</f>
        <v>11262</v>
      </c>
      <c r="D5" s="21" cm="1">
        <f t="array" ref="D5">INDEX(D6:D16,$B$5)</f>
        <v>2252.4</v>
      </c>
      <c r="E5" s="22" cm="1">
        <f t="array" ref="E5">INDEX(E6:E16,$B$5)</f>
        <v>4</v>
      </c>
      <c r="F5" s="23" cm="1">
        <f t="array" ref="F5">INDEX(F6:F16,$B$5)</f>
        <v>0.3</v>
      </c>
      <c r="G5" s="32" cm="1">
        <f t="array" ref="G5">INDEX(G6:G16,$B$5)</f>
        <v>48</v>
      </c>
      <c r="H5" s="22" cm="1">
        <f t="array" ref="H5">INDEX(H6:H16,$B$5)</f>
        <v>2</v>
      </c>
      <c r="I5" s="22" cm="1">
        <f t="array" ref="I5">INDEX(I6:I16,$B$5)</f>
        <v>24</v>
      </c>
      <c r="J5" s="22" cm="1">
        <f t="array" ref="J5">INDEX(J6:J16,$B$5)</f>
        <v>15</v>
      </c>
      <c r="K5" s="22"/>
      <c r="L5" s="49" cm="1">
        <f t="array" ref="L5">INDEX(L6:L16,$B$5)</f>
        <v>0.75</v>
      </c>
    </row>
    <row r="6" spans="1:28" outlineLevel="2" x14ac:dyDescent="0.3">
      <c r="A6" s="47" t="s">
        <v>154</v>
      </c>
      <c r="B6" s="13">
        <v>0</v>
      </c>
      <c r="C6" s="127">
        <v>8000</v>
      </c>
      <c r="D6" s="127">
        <f>C6*0.2</f>
        <v>1600</v>
      </c>
      <c r="E6" s="30">
        <v>4</v>
      </c>
      <c r="F6" s="128">
        <v>0.3</v>
      </c>
      <c r="G6" s="15">
        <f>H6*I6</f>
        <v>16</v>
      </c>
      <c r="H6" s="30">
        <v>2</v>
      </c>
      <c r="I6" s="30">
        <v>8</v>
      </c>
      <c r="J6" s="51">
        <v>30</v>
      </c>
      <c r="K6" s="51"/>
      <c r="L6" s="137">
        <v>0.5</v>
      </c>
    </row>
    <row r="7" spans="1:28" outlineLevel="2" x14ac:dyDescent="0.3">
      <c r="A7" s="47" t="s">
        <v>153</v>
      </c>
      <c r="B7" s="13">
        <v>0</v>
      </c>
      <c r="C7" s="127">
        <v>10000</v>
      </c>
      <c r="D7" s="127">
        <f>C7*0.2</f>
        <v>2000</v>
      </c>
      <c r="E7" s="30">
        <v>4</v>
      </c>
      <c r="F7" s="128">
        <v>0.3</v>
      </c>
      <c r="G7" s="15">
        <f>H7*I7</f>
        <v>20</v>
      </c>
      <c r="H7" s="30">
        <v>2</v>
      </c>
      <c r="I7" s="30">
        <v>10</v>
      </c>
      <c r="J7" s="51">
        <v>30</v>
      </c>
      <c r="K7" s="51"/>
      <c r="L7" s="137">
        <v>0.6</v>
      </c>
    </row>
    <row r="8" spans="1:28" outlineLevel="2" x14ac:dyDescent="0.3">
      <c r="A8" s="47" t="s">
        <v>173</v>
      </c>
      <c r="B8" s="13">
        <v>0</v>
      </c>
      <c r="C8" s="127">
        <v>12000</v>
      </c>
      <c r="D8" s="127">
        <f>C8*0.2</f>
        <v>2400</v>
      </c>
      <c r="E8" s="30">
        <v>4</v>
      </c>
      <c r="F8" s="128">
        <v>0.3</v>
      </c>
      <c r="G8" s="15">
        <f>H8*I8</f>
        <v>24</v>
      </c>
      <c r="H8" s="30">
        <v>2</v>
      </c>
      <c r="I8" s="30">
        <v>12</v>
      </c>
      <c r="J8" s="51">
        <v>15</v>
      </c>
      <c r="K8" s="51"/>
      <c r="L8" s="137">
        <v>1.2</v>
      </c>
    </row>
    <row r="9" spans="1:28" outlineLevel="2" x14ac:dyDescent="0.3">
      <c r="A9" s="47" t="s">
        <v>152</v>
      </c>
      <c r="B9" s="13">
        <v>0</v>
      </c>
      <c r="C9" s="127">
        <v>24000</v>
      </c>
      <c r="D9" s="127">
        <f>C9*0.2</f>
        <v>4800</v>
      </c>
      <c r="E9" s="30">
        <v>4</v>
      </c>
      <c r="F9" s="128">
        <v>0.3</v>
      </c>
      <c r="G9" s="15">
        <f>H9*I9</f>
        <v>48</v>
      </c>
      <c r="H9" s="30">
        <v>4</v>
      </c>
      <c r="I9" s="30">
        <v>12</v>
      </c>
      <c r="J9" s="51">
        <v>15</v>
      </c>
      <c r="K9" s="51"/>
      <c r="L9" s="137">
        <v>1.2</v>
      </c>
    </row>
    <row r="10" spans="1:28" ht="28.8" outlineLevel="2" x14ac:dyDescent="0.3">
      <c r="A10" s="207" t="s">
        <v>183</v>
      </c>
      <c r="B10" s="13" t="s">
        <v>262</v>
      </c>
      <c r="C10" s="26">
        <v>11262</v>
      </c>
      <c r="D10" s="26">
        <f>C10*0.2</f>
        <v>2252.4</v>
      </c>
      <c r="E10" s="16">
        <v>4</v>
      </c>
      <c r="F10" s="17">
        <v>0.3</v>
      </c>
      <c r="G10" s="15">
        <f t="shared" ref="G10:G16" si="0">H10*I10</f>
        <v>48</v>
      </c>
      <c r="H10" s="16">
        <v>2</v>
      </c>
      <c r="I10" s="16">
        <v>24</v>
      </c>
      <c r="J10" s="51">
        <v>15</v>
      </c>
      <c r="K10" s="51"/>
      <c r="L10" s="133">
        <v>0.75</v>
      </c>
    </row>
    <row r="11" spans="1:28" outlineLevel="2" x14ac:dyDescent="0.3">
      <c r="A11" s="12"/>
      <c r="B11" s="13">
        <v>0</v>
      </c>
      <c r="C11" s="26"/>
      <c r="D11" s="26"/>
      <c r="E11" s="16"/>
      <c r="F11" s="17"/>
      <c r="G11" s="15">
        <f t="shared" si="0"/>
        <v>0</v>
      </c>
      <c r="H11" s="16"/>
      <c r="I11" s="16"/>
      <c r="J11" s="51"/>
      <c r="K11" s="51"/>
      <c r="L11" s="133"/>
    </row>
    <row r="12" spans="1:28" outlineLevel="2" x14ac:dyDescent="0.3">
      <c r="A12" s="165"/>
      <c r="B12" s="13">
        <v>0</v>
      </c>
      <c r="C12" s="26"/>
      <c r="D12" s="26"/>
      <c r="E12" s="16"/>
      <c r="F12" s="17"/>
      <c r="G12" s="15">
        <f t="shared" si="0"/>
        <v>0</v>
      </c>
      <c r="H12" s="16"/>
      <c r="I12" s="16"/>
      <c r="J12" s="51"/>
      <c r="K12" s="51"/>
      <c r="L12" s="133"/>
    </row>
    <row r="13" spans="1:28" outlineLevel="2" x14ac:dyDescent="0.3">
      <c r="A13" s="12"/>
      <c r="B13" s="13">
        <v>0</v>
      </c>
      <c r="C13" s="26"/>
      <c r="D13" s="26"/>
      <c r="E13" s="16"/>
      <c r="F13" s="17"/>
      <c r="G13" s="15">
        <f t="shared" si="0"/>
        <v>0</v>
      </c>
      <c r="H13" s="16"/>
      <c r="I13" s="16"/>
      <c r="J13" s="51"/>
      <c r="K13" s="51"/>
      <c r="L13" s="133"/>
    </row>
    <row r="14" spans="1:28" outlineLevel="2" x14ac:dyDescent="0.3">
      <c r="A14" s="12"/>
      <c r="B14" s="13">
        <v>0</v>
      </c>
      <c r="C14" s="26"/>
      <c r="D14" s="26"/>
      <c r="E14" s="16"/>
      <c r="F14" s="17"/>
      <c r="G14" s="15">
        <f t="shared" si="0"/>
        <v>0</v>
      </c>
      <c r="H14" s="16"/>
      <c r="I14" s="16"/>
      <c r="J14" s="51"/>
      <c r="K14" s="51"/>
      <c r="L14" s="133"/>
    </row>
    <row r="15" spans="1:28" outlineLevel="2" x14ac:dyDescent="0.3">
      <c r="A15" s="12"/>
      <c r="B15" s="13">
        <v>0</v>
      </c>
      <c r="C15" s="26"/>
      <c r="D15" s="26"/>
      <c r="E15" s="16"/>
      <c r="F15" s="17"/>
      <c r="G15" s="15">
        <f t="shared" si="0"/>
        <v>0</v>
      </c>
      <c r="H15" s="16"/>
      <c r="I15" s="16"/>
      <c r="J15" s="51"/>
      <c r="K15" s="51"/>
      <c r="L15" s="133"/>
    </row>
    <row r="16" spans="1:28" outlineLevel="2" x14ac:dyDescent="0.3">
      <c r="A16" s="12"/>
      <c r="B16" s="13">
        <v>0</v>
      </c>
      <c r="C16" s="26" t="s">
        <v>69</v>
      </c>
      <c r="D16" s="26"/>
      <c r="E16" s="16"/>
      <c r="F16" s="17"/>
      <c r="G16" s="15">
        <f t="shared" si="0"/>
        <v>0</v>
      </c>
      <c r="H16" s="16"/>
      <c r="I16" s="16"/>
      <c r="J16" s="51"/>
      <c r="K16" s="51"/>
      <c r="L16" s="133"/>
    </row>
    <row r="17" spans="1:29" ht="15" outlineLevel="1" thickBot="1" x14ac:dyDescent="0.35"/>
    <row r="18" spans="1:29" s="10" customFormat="1" ht="43.8" outlineLevel="1" thickBot="1" x14ac:dyDescent="0.35">
      <c r="A18" s="10" t="s">
        <v>68</v>
      </c>
      <c r="C18" s="94" t="s">
        <v>85</v>
      </c>
      <c r="D18" s="96" t="s">
        <v>87</v>
      </c>
      <c r="E18" s="95" t="s">
        <v>86</v>
      </c>
      <c r="F18" s="73" t="s">
        <v>88</v>
      </c>
      <c r="G18" s="74" t="s">
        <v>92</v>
      </c>
      <c r="H18" s="73" t="s">
        <v>90</v>
      </c>
      <c r="I18" s="73" t="s">
        <v>89</v>
      </c>
      <c r="J18" s="73" t="s">
        <v>91</v>
      </c>
      <c r="K18" s="74" t="s">
        <v>93</v>
      </c>
      <c r="O18" s="83" t="s">
        <v>17</v>
      </c>
      <c r="P18" s="83" t="s">
        <v>25</v>
      </c>
      <c r="Q18" s="83" t="s">
        <v>26</v>
      </c>
      <c r="R18" s="53">
        <v>1</v>
      </c>
      <c r="S18" s="54">
        <v>2</v>
      </c>
      <c r="T18" s="54">
        <v>3</v>
      </c>
      <c r="U18" s="54">
        <v>4</v>
      </c>
      <c r="V18" s="55">
        <v>5</v>
      </c>
      <c r="W18" s="53">
        <v>1</v>
      </c>
      <c r="X18" s="54">
        <v>2</v>
      </c>
      <c r="Y18" s="54">
        <v>3</v>
      </c>
      <c r="Z18" s="54">
        <v>4</v>
      </c>
      <c r="AA18" s="55">
        <v>5</v>
      </c>
      <c r="AB18" s="57" t="s">
        <v>19</v>
      </c>
    </row>
    <row r="19" spans="1:29" outlineLevel="1" x14ac:dyDescent="0.3">
      <c r="A19" s="14" t="s">
        <v>6</v>
      </c>
      <c r="B19" s="14"/>
      <c r="C19" s="10">
        <f>sizing!D4</f>
        <v>100</v>
      </c>
      <c r="D19" s="1" t="s">
        <v>135</v>
      </c>
      <c r="E19" s="92">
        <f>sizing!F4</f>
        <v>196</v>
      </c>
      <c r="F19" s="75">
        <f>$G$5</f>
        <v>48</v>
      </c>
      <c r="G19" s="72">
        <f>ROUNDUP(E19/F19,0)</f>
        <v>5</v>
      </c>
      <c r="H19" s="76">
        <f>F19*G19</f>
        <v>240</v>
      </c>
      <c r="I19" s="76">
        <f>H19-E19</f>
        <v>44</v>
      </c>
      <c r="J19" s="77">
        <f t="shared" ref="J19:J24" si="1">I19/H19</f>
        <v>0.18333333333333332</v>
      </c>
      <c r="K19" s="72">
        <f>ROUNDUP(E19/$I$5,0)</f>
        <v>9</v>
      </c>
      <c r="N19" s="14" t="s">
        <v>6</v>
      </c>
      <c r="O19" s="84">
        <f>G19</f>
        <v>5</v>
      </c>
      <c r="P19" s="84">
        <f>K19</f>
        <v>9</v>
      </c>
      <c r="Q19" s="84">
        <f>E19</f>
        <v>196</v>
      </c>
      <c r="R19" s="52">
        <f>$O19*$C$5*(1-$F$5)</f>
        <v>39417</v>
      </c>
      <c r="S19" s="52"/>
      <c r="T19" s="52"/>
      <c r="U19" s="52"/>
      <c r="V19" s="52"/>
      <c r="W19" s="52">
        <f t="shared" ref="W19:AA23" si="2">IF(W$18&lt;$E$5,0,$O19*$D$5)*(1-$F$5)</f>
        <v>0</v>
      </c>
      <c r="X19" s="52">
        <f t="shared" si="2"/>
        <v>0</v>
      </c>
      <c r="Y19" s="52">
        <f t="shared" si="2"/>
        <v>0</v>
      </c>
      <c r="Z19" s="52">
        <f t="shared" si="2"/>
        <v>7883.4</v>
      </c>
      <c r="AA19" s="52">
        <f t="shared" si="2"/>
        <v>7883.4</v>
      </c>
      <c r="AB19" s="56">
        <f>SUM(R19:AA19)</f>
        <v>55183.8</v>
      </c>
      <c r="AC19" s="1" t="s">
        <v>6</v>
      </c>
    </row>
    <row r="20" spans="1:29" outlineLevel="1" x14ac:dyDescent="0.3">
      <c r="A20" s="14" t="s">
        <v>7</v>
      </c>
      <c r="B20" s="14"/>
      <c r="D20" s="111">
        <f>sizing!H4</f>
        <v>0.5</v>
      </c>
      <c r="E20" s="92">
        <f>sizing!I4</f>
        <v>50</v>
      </c>
      <c r="F20" s="75">
        <f>$G$5</f>
        <v>48</v>
      </c>
      <c r="G20" s="72">
        <f>ROUNDUP(E20/F20,0)</f>
        <v>2</v>
      </c>
      <c r="H20" s="76">
        <f>F20*G20</f>
        <v>96</v>
      </c>
      <c r="I20" s="76">
        <f>H20-E20</f>
        <v>46</v>
      </c>
      <c r="J20" s="77">
        <f t="shared" si="1"/>
        <v>0.47916666666666669</v>
      </c>
      <c r="K20" s="72">
        <f>ROUNDUP(E20/$I$5,0)</f>
        <v>3</v>
      </c>
      <c r="N20" s="14" t="s">
        <v>7</v>
      </c>
      <c r="O20" s="84">
        <f>G20</f>
        <v>2</v>
      </c>
      <c r="P20" s="84">
        <f>K20</f>
        <v>3</v>
      </c>
      <c r="Q20" s="84">
        <f>E20</f>
        <v>50</v>
      </c>
      <c r="R20" s="19">
        <f>$O20*$C$5*(1-$F$5)</f>
        <v>15766.8</v>
      </c>
      <c r="S20" s="19"/>
      <c r="T20" s="19"/>
      <c r="U20" s="19"/>
      <c r="V20" s="19"/>
      <c r="W20" s="19">
        <f t="shared" si="2"/>
        <v>0</v>
      </c>
      <c r="X20" s="19">
        <f t="shared" si="2"/>
        <v>0</v>
      </c>
      <c r="Y20" s="19">
        <f t="shared" si="2"/>
        <v>0</v>
      </c>
      <c r="Z20" s="19">
        <f t="shared" si="2"/>
        <v>3153.36</v>
      </c>
      <c r="AA20" s="19">
        <f t="shared" si="2"/>
        <v>3153.36</v>
      </c>
      <c r="AB20" s="20">
        <f>SUM(R20:AA20)</f>
        <v>22073.52</v>
      </c>
      <c r="AC20" s="1" t="s">
        <v>7</v>
      </c>
    </row>
    <row r="21" spans="1:29" outlineLevel="1" x14ac:dyDescent="0.3">
      <c r="A21" s="14" t="s">
        <v>8</v>
      </c>
      <c r="B21" s="14"/>
      <c r="D21" s="111">
        <f>sizing!J4</f>
        <v>0.5</v>
      </c>
      <c r="E21" s="92">
        <f>sizing!K4</f>
        <v>50</v>
      </c>
      <c r="F21" s="75">
        <f>$G$5</f>
        <v>48</v>
      </c>
      <c r="G21" s="72">
        <f>ROUNDUP(E21/F21,0)</f>
        <v>2</v>
      </c>
      <c r="H21" s="76">
        <f>F21*G21</f>
        <v>96</v>
      </c>
      <c r="I21" s="76">
        <f>H21-E21</f>
        <v>46</v>
      </c>
      <c r="J21" s="77">
        <f t="shared" si="1"/>
        <v>0.47916666666666669</v>
      </c>
      <c r="K21" s="72">
        <f>ROUNDUP(E21/$I$5,0)</f>
        <v>3</v>
      </c>
      <c r="N21" s="14" t="s">
        <v>8</v>
      </c>
      <c r="O21" s="84">
        <f>G21</f>
        <v>2</v>
      </c>
      <c r="P21" s="84">
        <f>K21</f>
        <v>3</v>
      </c>
      <c r="Q21" s="84">
        <f>E21</f>
        <v>50</v>
      </c>
      <c r="R21" s="19">
        <f>$O21*$C$5*(1-$F$5)</f>
        <v>15766.8</v>
      </c>
      <c r="S21" s="19"/>
      <c r="T21" s="19"/>
      <c r="U21" s="19"/>
      <c r="V21" s="19"/>
      <c r="W21" s="19">
        <f t="shared" si="2"/>
        <v>0</v>
      </c>
      <c r="X21" s="19">
        <f t="shared" si="2"/>
        <v>0</v>
      </c>
      <c r="Y21" s="19">
        <f t="shared" si="2"/>
        <v>0</v>
      </c>
      <c r="Z21" s="19">
        <f t="shared" si="2"/>
        <v>3153.36</v>
      </c>
      <c r="AA21" s="19">
        <f t="shared" si="2"/>
        <v>3153.36</v>
      </c>
      <c r="AB21" s="20">
        <f>SUM(R21:AA21)</f>
        <v>22073.52</v>
      </c>
      <c r="AC21" s="1" t="s">
        <v>8</v>
      </c>
    </row>
    <row r="22" spans="1:29" ht="15" outlineLevel="1" thickBot="1" x14ac:dyDescent="0.35">
      <c r="A22" s="14" t="s">
        <v>134</v>
      </c>
      <c r="B22" s="14"/>
      <c r="D22" s="112">
        <f>sizing!L4</f>
        <v>1</v>
      </c>
      <c r="E22" s="92">
        <f>sizing!M4</f>
        <v>100</v>
      </c>
      <c r="F22" s="75">
        <f>$G$5</f>
        <v>48</v>
      </c>
      <c r="G22" s="72">
        <f>ROUNDUP(E22/F22,0)</f>
        <v>3</v>
      </c>
      <c r="H22" s="76">
        <f>F22*G22</f>
        <v>144</v>
      </c>
      <c r="I22" s="76">
        <f>H22-E22</f>
        <v>44</v>
      </c>
      <c r="J22" s="77">
        <f t="shared" si="1"/>
        <v>0.30555555555555558</v>
      </c>
      <c r="K22" s="72">
        <f>ROUNDUP(E22/$I$5,0)</f>
        <v>5</v>
      </c>
      <c r="N22" s="14" t="s">
        <v>134</v>
      </c>
      <c r="O22" s="84">
        <f>G22</f>
        <v>3</v>
      </c>
      <c r="P22" s="84">
        <f>K22</f>
        <v>5</v>
      </c>
      <c r="Q22" s="84">
        <f>E22</f>
        <v>100</v>
      </c>
      <c r="R22" s="19">
        <f>$O22*$C$5*(1-$F$5)</f>
        <v>23650.199999999997</v>
      </c>
      <c r="S22" s="19"/>
      <c r="T22" s="19"/>
      <c r="U22" s="19"/>
      <c r="V22" s="19"/>
      <c r="W22" s="19">
        <f t="shared" si="2"/>
        <v>0</v>
      </c>
      <c r="X22" s="19">
        <f t="shared" si="2"/>
        <v>0</v>
      </c>
      <c r="Y22" s="19">
        <f t="shared" si="2"/>
        <v>0</v>
      </c>
      <c r="Z22" s="19">
        <f t="shared" si="2"/>
        <v>4730.04</v>
      </c>
      <c r="AA22" s="19">
        <f t="shared" si="2"/>
        <v>4730.04</v>
      </c>
      <c r="AB22" s="20">
        <f>SUM(R22:AA22)</f>
        <v>33110.28</v>
      </c>
      <c r="AC22" s="1" t="s">
        <v>9</v>
      </c>
    </row>
    <row r="23" spans="1:29" ht="15" outlineLevel="1" thickBot="1" x14ac:dyDescent="0.35">
      <c r="A23" s="14" t="s">
        <v>10</v>
      </c>
      <c r="B23" s="14"/>
      <c r="C23" s="163"/>
      <c r="D23" s="113">
        <f>sizing!N4</f>
        <v>1</v>
      </c>
      <c r="E23" s="92">
        <f>sizing!O4</f>
        <v>296</v>
      </c>
      <c r="F23" s="75">
        <f>$G$5</f>
        <v>48</v>
      </c>
      <c r="G23" s="72">
        <f>G19+G22+(G20+G21)*0.5</f>
        <v>10</v>
      </c>
      <c r="H23" s="76">
        <f>F23*G23</f>
        <v>480</v>
      </c>
      <c r="I23" s="76">
        <f>H23-E23</f>
        <v>184</v>
      </c>
      <c r="J23" s="77">
        <f t="shared" si="1"/>
        <v>0.38333333333333336</v>
      </c>
      <c r="K23" s="72">
        <f>ROUNDUP(E23/$I$5,0)</f>
        <v>13</v>
      </c>
      <c r="N23" s="14" t="s">
        <v>10</v>
      </c>
      <c r="O23" s="84">
        <f>G23</f>
        <v>10</v>
      </c>
      <c r="P23" s="84">
        <f>K23</f>
        <v>13</v>
      </c>
      <c r="Q23" s="84">
        <f>E23</f>
        <v>296</v>
      </c>
      <c r="R23" s="19">
        <f>$O23*$C$5*(1-$F$5)</f>
        <v>78834</v>
      </c>
      <c r="S23" s="19"/>
      <c r="T23" s="19"/>
      <c r="U23" s="19"/>
      <c r="V23" s="19"/>
      <c r="W23" s="19">
        <f t="shared" si="2"/>
        <v>0</v>
      </c>
      <c r="X23" s="19">
        <f t="shared" si="2"/>
        <v>0</v>
      </c>
      <c r="Y23" s="19">
        <f t="shared" si="2"/>
        <v>0</v>
      </c>
      <c r="Z23" s="19">
        <f t="shared" si="2"/>
        <v>15766.8</v>
      </c>
      <c r="AA23" s="19">
        <f t="shared" si="2"/>
        <v>15766.8</v>
      </c>
      <c r="AB23" s="20">
        <f>SUM(R23:AA23)</f>
        <v>110367.6</v>
      </c>
      <c r="AC23" s="1" t="s">
        <v>10</v>
      </c>
    </row>
    <row r="24" spans="1:29" x14ac:dyDescent="0.3">
      <c r="A24" s="64" t="s">
        <v>19</v>
      </c>
      <c r="B24" s="64"/>
      <c r="C24" s="39"/>
      <c r="D24" s="93"/>
      <c r="E24" s="78">
        <f>SUM(E19:E23)</f>
        <v>692</v>
      </c>
      <c r="F24" s="79"/>
      <c r="G24" s="80">
        <f>SUM(G19:G23)</f>
        <v>22</v>
      </c>
      <c r="H24" s="81">
        <f>SUM(H19:H23)</f>
        <v>1056</v>
      </c>
      <c r="I24" s="81">
        <f>SUM(I19:I23)</f>
        <v>364</v>
      </c>
      <c r="J24" s="82">
        <f t="shared" si="1"/>
        <v>0.34469696969696972</v>
      </c>
      <c r="K24" s="80">
        <f>SUM(K19:K23)</f>
        <v>33</v>
      </c>
      <c r="N24" s="5"/>
      <c r="O24" s="50">
        <f>SUM(O19:O23)</f>
        <v>22</v>
      </c>
      <c r="P24" s="50">
        <f>SUM(P19:P23)</f>
        <v>33</v>
      </c>
      <c r="Q24" s="50">
        <f>SUM(Q19:Q23)</f>
        <v>692</v>
      </c>
      <c r="R24" s="71">
        <f t="shared" ref="R24:AA24" si="3">SUM(R19:R23)</f>
        <v>173434.8</v>
      </c>
      <c r="S24" s="71">
        <f t="shared" si="3"/>
        <v>0</v>
      </c>
      <c r="T24" s="71">
        <f t="shared" si="3"/>
        <v>0</v>
      </c>
      <c r="U24" s="71">
        <f t="shared" si="3"/>
        <v>0</v>
      </c>
      <c r="V24" s="71">
        <f t="shared" si="3"/>
        <v>0</v>
      </c>
      <c r="W24" s="71">
        <f t="shared" si="3"/>
        <v>0</v>
      </c>
      <c r="X24" s="71">
        <f t="shared" si="3"/>
        <v>0</v>
      </c>
      <c r="Y24" s="71">
        <f t="shared" si="3"/>
        <v>0</v>
      </c>
      <c r="Z24" s="71">
        <f>SUM(Z19:Z23)</f>
        <v>34686.959999999999</v>
      </c>
      <c r="AA24" s="71">
        <f t="shared" si="3"/>
        <v>34686.959999999999</v>
      </c>
      <c r="AB24" s="71">
        <f>SUM(AB19:AB23)</f>
        <v>242808.72</v>
      </c>
      <c r="AC24" s="5" t="s">
        <v>19</v>
      </c>
    </row>
    <row r="25" spans="1:29" ht="28.8" x14ac:dyDescent="0.3">
      <c r="O25" s="18" t="s">
        <v>17</v>
      </c>
      <c r="P25" s="18" t="s">
        <v>25</v>
      </c>
      <c r="Q25" s="18" t="s">
        <v>26</v>
      </c>
    </row>
    <row r="26" spans="1:29" s="60" customFormat="1" ht="28.5" customHeight="1" thickBot="1" x14ac:dyDescent="0.35">
      <c r="A26" s="58" t="s">
        <v>31</v>
      </c>
      <c r="B26" s="58"/>
      <c r="R26" s="59"/>
      <c r="S26" s="59"/>
      <c r="T26" s="59"/>
      <c r="U26" s="59"/>
      <c r="V26" s="59"/>
      <c r="W26" s="59"/>
      <c r="X26" s="59"/>
      <c r="Y26" s="59"/>
      <c r="Z26" s="59"/>
      <c r="AA26" s="59"/>
      <c r="AB26" s="59"/>
      <c r="AC26" s="59"/>
    </row>
    <row r="27" spans="1:29" ht="38.25" customHeight="1" outlineLevel="1" thickBot="1" x14ac:dyDescent="0.35">
      <c r="A27" s="48" t="s">
        <v>70</v>
      </c>
      <c r="C27" s="11" t="s">
        <v>64</v>
      </c>
      <c r="D27" s="11" t="s">
        <v>21</v>
      </c>
      <c r="E27" s="11" t="s">
        <v>163</v>
      </c>
      <c r="F27" s="11" t="s">
        <v>22</v>
      </c>
      <c r="G27" s="11" t="s">
        <v>65</v>
      </c>
      <c r="H27" s="131" t="s">
        <v>94</v>
      </c>
      <c r="I27" s="83" t="s">
        <v>95</v>
      </c>
      <c r="J27" s="83" t="s">
        <v>34</v>
      </c>
      <c r="K27" s="83" t="s">
        <v>32</v>
      </c>
      <c r="L27" s="83" t="s">
        <v>33</v>
      </c>
      <c r="O27" s="5" t="s">
        <v>97</v>
      </c>
      <c r="P27" s="11" t="s">
        <v>65</v>
      </c>
      <c r="Q27" s="10" t="s">
        <v>66</v>
      </c>
      <c r="R27" s="53">
        <v>1</v>
      </c>
      <c r="S27" s="54">
        <v>2</v>
      </c>
      <c r="T27" s="54">
        <v>3</v>
      </c>
      <c r="U27" s="54">
        <v>4</v>
      </c>
      <c r="V27" s="55">
        <v>5</v>
      </c>
      <c r="W27" s="53">
        <v>1</v>
      </c>
      <c r="X27" s="54">
        <v>2</v>
      </c>
      <c r="Y27" s="54">
        <v>3</v>
      </c>
      <c r="Z27" s="54">
        <v>4</v>
      </c>
      <c r="AA27" s="55">
        <v>5</v>
      </c>
      <c r="AB27" s="57" t="s">
        <v>19</v>
      </c>
      <c r="AC27" s="10"/>
    </row>
    <row r="28" spans="1:29" outlineLevel="2" x14ac:dyDescent="0.3">
      <c r="A28" s="12" t="s">
        <v>30</v>
      </c>
      <c r="B28" s="12"/>
      <c r="C28" s="26"/>
      <c r="D28" s="26">
        <v>2000</v>
      </c>
      <c r="E28" s="16">
        <v>1</v>
      </c>
      <c r="F28" s="17">
        <v>0.2</v>
      </c>
      <c r="G28" s="85" t="s">
        <v>32</v>
      </c>
      <c r="H28" s="132" t="s">
        <v>32</v>
      </c>
      <c r="I28" s="85">
        <v>1</v>
      </c>
      <c r="J28" s="36">
        <f>$O$19</f>
        <v>5</v>
      </c>
      <c r="K28" s="36">
        <f>$P$19</f>
        <v>9</v>
      </c>
      <c r="L28" s="36">
        <f>$Q$19</f>
        <v>196</v>
      </c>
      <c r="O28">
        <f>_xlfn.XLOOKUP($H28,$J$27:$L$27,$J28:$L28)</f>
        <v>9</v>
      </c>
      <c r="P28" s="10" t="s">
        <v>32</v>
      </c>
      <c r="Q28" s="86">
        <f>I28*O28</f>
        <v>9</v>
      </c>
      <c r="R28" s="19">
        <f t="shared" ref="R28:R34" si="4">$Q28*$C28*(1-$F28)</f>
        <v>0</v>
      </c>
      <c r="S28" s="19"/>
      <c r="T28" s="19"/>
      <c r="U28" s="19"/>
      <c r="V28" s="19"/>
      <c r="W28" s="19">
        <f t="shared" ref="W28:AA34" si="5">IF(W$18&lt;$E28,0,$Q28*$D28)*(1-$F28)</f>
        <v>14400</v>
      </c>
      <c r="X28" s="19">
        <f t="shared" si="5"/>
        <v>14400</v>
      </c>
      <c r="Y28" s="19">
        <f t="shared" si="5"/>
        <v>14400</v>
      </c>
      <c r="Z28" s="19">
        <f t="shared" si="5"/>
        <v>14400</v>
      </c>
      <c r="AA28" s="19">
        <f t="shared" si="5"/>
        <v>14400</v>
      </c>
      <c r="AB28" s="20">
        <f t="shared" ref="AB28:AB34" si="6">SUM(R28:AA28)</f>
        <v>72000</v>
      </c>
    </row>
    <row r="29" spans="1:29" outlineLevel="2" x14ac:dyDescent="0.3">
      <c r="A29" s="12" t="s">
        <v>28</v>
      </c>
      <c r="B29" s="12"/>
      <c r="C29" s="26">
        <v>0</v>
      </c>
      <c r="D29" s="210">
        <f>C29*0.2</f>
        <v>0</v>
      </c>
      <c r="E29" s="16">
        <v>2</v>
      </c>
      <c r="F29" s="17">
        <v>0.2</v>
      </c>
      <c r="G29" s="85" t="s">
        <v>32</v>
      </c>
      <c r="H29" s="132" t="s">
        <v>32</v>
      </c>
      <c r="I29" s="85">
        <v>1</v>
      </c>
      <c r="J29" s="1">
        <f t="shared" ref="J29:L34" si="7">J28</f>
        <v>5</v>
      </c>
      <c r="K29" s="1">
        <f t="shared" si="7"/>
        <v>9</v>
      </c>
      <c r="L29" s="1">
        <f t="shared" si="7"/>
        <v>196</v>
      </c>
      <c r="O29">
        <f t="shared" ref="O29:O31" si="8">_xlfn.SINGLE(_xlfn.XLOOKUP($H29,$J$27:$L$27,$J29:$L29))</f>
        <v>9</v>
      </c>
      <c r="P29" s="10" t="s">
        <v>32</v>
      </c>
      <c r="Q29" s="86">
        <f t="shared" ref="Q29:Q34" si="9">I29*O29</f>
        <v>9</v>
      </c>
      <c r="R29" s="19">
        <f t="shared" si="4"/>
        <v>0</v>
      </c>
      <c r="S29" s="19"/>
      <c r="T29" s="19"/>
      <c r="U29" s="19"/>
      <c r="V29" s="19"/>
      <c r="W29" s="19">
        <f t="shared" si="5"/>
        <v>0</v>
      </c>
      <c r="X29" s="19">
        <f t="shared" si="5"/>
        <v>0</v>
      </c>
      <c r="Y29" s="19">
        <f t="shared" si="5"/>
        <v>0</v>
      </c>
      <c r="Z29" s="19">
        <f t="shared" si="5"/>
        <v>0</v>
      </c>
      <c r="AA29" s="19">
        <f t="shared" si="5"/>
        <v>0</v>
      </c>
      <c r="AB29" s="20">
        <f t="shared" si="6"/>
        <v>0</v>
      </c>
    </row>
    <row r="30" spans="1:29" outlineLevel="2" x14ac:dyDescent="0.3">
      <c r="A30" s="12" t="s">
        <v>29</v>
      </c>
      <c r="B30" s="12"/>
      <c r="C30" s="26">
        <v>12000</v>
      </c>
      <c r="D30" s="210">
        <f>C30*0.2</f>
        <v>2400</v>
      </c>
      <c r="E30" s="16">
        <v>2</v>
      </c>
      <c r="F30" s="138">
        <v>0.75</v>
      </c>
      <c r="G30" s="85" t="s">
        <v>33</v>
      </c>
      <c r="H30" s="132" t="s">
        <v>33</v>
      </c>
      <c r="I30" s="139">
        <f>1/16</f>
        <v>6.25E-2</v>
      </c>
      <c r="J30" s="1">
        <f t="shared" si="7"/>
        <v>5</v>
      </c>
      <c r="K30" s="1">
        <f t="shared" si="7"/>
        <v>9</v>
      </c>
      <c r="L30" s="1">
        <f t="shared" si="7"/>
        <v>196</v>
      </c>
      <c r="O30">
        <f t="shared" si="8"/>
        <v>196</v>
      </c>
      <c r="P30" s="10" t="s">
        <v>33</v>
      </c>
      <c r="Q30" s="86">
        <f t="shared" si="9"/>
        <v>12.25</v>
      </c>
      <c r="R30" s="19">
        <f t="shared" si="4"/>
        <v>36750</v>
      </c>
      <c r="S30" s="19"/>
      <c r="T30" s="19"/>
      <c r="U30" s="19"/>
      <c r="V30" s="19"/>
      <c r="W30" s="19">
        <f t="shared" si="5"/>
        <v>0</v>
      </c>
      <c r="X30" s="19">
        <f t="shared" si="5"/>
        <v>7350</v>
      </c>
      <c r="Y30" s="19">
        <f t="shared" si="5"/>
        <v>7350</v>
      </c>
      <c r="Z30" s="19">
        <f t="shared" si="5"/>
        <v>7350</v>
      </c>
      <c r="AA30" s="19">
        <f t="shared" si="5"/>
        <v>7350</v>
      </c>
      <c r="AB30" s="20">
        <f t="shared" si="6"/>
        <v>66150</v>
      </c>
    </row>
    <row r="31" spans="1:29" outlineLevel="2" x14ac:dyDescent="0.3">
      <c r="A31" s="12" t="s">
        <v>27</v>
      </c>
      <c r="B31" s="12"/>
      <c r="C31" s="26">
        <v>47500</v>
      </c>
      <c r="D31" s="27">
        <v>10450</v>
      </c>
      <c r="E31" s="16">
        <v>2</v>
      </c>
      <c r="F31" s="138">
        <v>0.75</v>
      </c>
      <c r="G31" s="85" t="s">
        <v>33</v>
      </c>
      <c r="H31" s="132" t="s">
        <v>33</v>
      </c>
      <c r="I31" s="139">
        <v>0.5</v>
      </c>
      <c r="J31" s="1">
        <f t="shared" si="7"/>
        <v>5</v>
      </c>
      <c r="K31" s="1">
        <f t="shared" si="7"/>
        <v>9</v>
      </c>
      <c r="L31" s="1">
        <f t="shared" si="7"/>
        <v>196</v>
      </c>
      <c r="O31">
        <f t="shared" si="8"/>
        <v>196</v>
      </c>
      <c r="P31" s="10" t="s">
        <v>34</v>
      </c>
      <c r="Q31" s="86">
        <f>I31*O31</f>
        <v>98</v>
      </c>
      <c r="R31" s="19">
        <f t="shared" si="4"/>
        <v>1163750</v>
      </c>
      <c r="S31" s="19"/>
      <c r="T31" s="19"/>
      <c r="U31" s="19"/>
      <c r="V31" s="19"/>
      <c r="W31" s="19">
        <f t="shared" si="5"/>
        <v>0</v>
      </c>
      <c r="X31" s="19">
        <f t="shared" si="5"/>
        <v>256025</v>
      </c>
      <c r="Y31" s="19">
        <f t="shared" si="5"/>
        <v>256025</v>
      </c>
      <c r="Z31" s="19">
        <f t="shared" si="5"/>
        <v>256025</v>
      </c>
      <c r="AA31" s="19">
        <f t="shared" si="5"/>
        <v>256025</v>
      </c>
      <c r="AB31" s="20">
        <f t="shared" si="6"/>
        <v>2187850</v>
      </c>
    </row>
    <row r="32" spans="1:29" outlineLevel="2" x14ac:dyDescent="0.3">
      <c r="A32" s="12" t="s">
        <v>111</v>
      </c>
      <c r="B32" s="12"/>
      <c r="C32" s="26">
        <v>24625</v>
      </c>
      <c r="D32" s="26">
        <v>5866</v>
      </c>
      <c r="E32" s="16">
        <v>2</v>
      </c>
      <c r="F32" s="138">
        <v>0.1</v>
      </c>
      <c r="G32" s="85" t="s">
        <v>28</v>
      </c>
      <c r="H32" s="132" t="s">
        <v>28</v>
      </c>
      <c r="I32" s="139">
        <f>1/25</f>
        <v>0.04</v>
      </c>
      <c r="J32" s="1">
        <f t="shared" si="7"/>
        <v>5</v>
      </c>
      <c r="K32" s="1">
        <f t="shared" si="7"/>
        <v>9</v>
      </c>
      <c r="L32" s="1">
        <f t="shared" si="7"/>
        <v>196</v>
      </c>
      <c r="O32">
        <v>50</v>
      </c>
      <c r="P32" s="10" t="s">
        <v>28</v>
      </c>
      <c r="Q32" s="86">
        <f t="shared" si="9"/>
        <v>2</v>
      </c>
      <c r="R32" s="19">
        <f t="shared" si="4"/>
        <v>44325</v>
      </c>
      <c r="S32" s="19"/>
      <c r="T32" s="19"/>
      <c r="U32" s="19"/>
      <c r="V32" s="19"/>
      <c r="W32" s="19">
        <f t="shared" si="5"/>
        <v>0</v>
      </c>
      <c r="X32" s="19">
        <f t="shared" si="5"/>
        <v>10558.800000000001</v>
      </c>
      <c r="Y32" s="19">
        <f t="shared" si="5"/>
        <v>10558.800000000001</v>
      </c>
      <c r="Z32" s="19">
        <f t="shared" si="5"/>
        <v>10558.800000000001</v>
      </c>
      <c r="AA32" s="19">
        <f t="shared" si="5"/>
        <v>10558.800000000001</v>
      </c>
      <c r="AB32" s="20">
        <f t="shared" si="6"/>
        <v>86560.200000000012</v>
      </c>
    </row>
    <row r="33" spans="1:29" outlineLevel="2" x14ac:dyDescent="0.3">
      <c r="A33" s="12" t="s">
        <v>127</v>
      </c>
      <c r="B33" s="12"/>
      <c r="C33" s="26">
        <v>3495</v>
      </c>
      <c r="D33" s="27">
        <v>2575</v>
      </c>
      <c r="E33" s="16">
        <v>2</v>
      </c>
      <c r="F33" s="17">
        <v>0.1</v>
      </c>
      <c r="G33" s="85" t="s">
        <v>270</v>
      </c>
      <c r="H33" s="132" t="s">
        <v>270</v>
      </c>
      <c r="I33" s="85">
        <v>1</v>
      </c>
      <c r="J33" s="1">
        <f t="shared" si="7"/>
        <v>5</v>
      </c>
      <c r="K33" s="1">
        <f t="shared" si="7"/>
        <v>9</v>
      </c>
      <c r="L33" s="1">
        <f t="shared" si="7"/>
        <v>196</v>
      </c>
      <c r="O33">
        <v>1</v>
      </c>
      <c r="P33" s="10" t="s">
        <v>270</v>
      </c>
      <c r="Q33" s="86">
        <f t="shared" si="9"/>
        <v>1</v>
      </c>
      <c r="R33" s="19">
        <f t="shared" si="4"/>
        <v>3145.5</v>
      </c>
      <c r="S33" s="19"/>
      <c r="T33" s="19"/>
      <c r="U33" s="19"/>
      <c r="V33" s="19"/>
      <c r="W33" s="19">
        <f t="shared" si="5"/>
        <v>0</v>
      </c>
      <c r="X33" s="19">
        <f t="shared" si="5"/>
        <v>2317.5</v>
      </c>
      <c r="Y33" s="19">
        <f t="shared" si="5"/>
        <v>2317.5</v>
      </c>
      <c r="Z33" s="19">
        <f t="shared" si="5"/>
        <v>2317.5</v>
      </c>
      <c r="AA33" s="19">
        <f t="shared" si="5"/>
        <v>2317.5</v>
      </c>
      <c r="AB33" s="20">
        <f t="shared" si="6"/>
        <v>12415.5</v>
      </c>
    </row>
    <row r="34" spans="1:29" outlineLevel="2" x14ac:dyDescent="0.3">
      <c r="A34" s="12" t="s">
        <v>128</v>
      </c>
      <c r="B34" s="12"/>
      <c r="C34" s="26">
        <v>17775</v>
      </c>
      <c r="D34" s="210" t="s">
        <v>271</v>
      </c>
      <c r="E34" s="16" t="s">
        <v>271</v>
      </c>
      <c r="F34" s="17">
        <v>0.2</v>
      </c>
      <c r="G34" s="16" t="s">
        <v>272</v>
      </c>
      <c r="H34" s="16" t="s">
        <v>272</v>
      </c>
      <c r="I34" s="85">
        <v>1</v>
      </c>
      <c r="J34" s="1">
        <f t="shared" si="7"/>
        <v>5</v>
      </c>
      <c r="K34" s="1">
        <f t="shared" si="7"/>
        <v>9</v>
      </c>
      <c r="L34" s="1">
        <f t="shared" si="7"/>
        <v>196</v>
      </c>
      <c r="O34">
        <v>1</v>
      </c>
      <c r="P34" s="10" t="s">
        <v>272</v>
      </c>
      <c r="Q34" s="86">
        <f t="shared" si="9"/>
        <v>1</v>
      </c>
      <c r="R34" s="19">
        <f t="shared" si="4"/>
        <v>14220</v>
      </c>
      <c r="S34" s="19"/>
      <c r="T34" s="19"/>
      <c r="U34" s="19"/>
      <c r="V34" s="19"/>
      <c r="W34" s="19">
        <f t="shared" si="5"/>
        <v>0</v>
      </c>
      <c r="X34" s="19">
        <f t="shared" si="5"/>
        <v>0</v>
      </c>
      <c r="Y34" s="19">
        <f t="shared" si="5"/>
        <v>0</v>
      </c>
      <c r="Z34" s="19">
        <f t="shared" si="5"/>
        <v>0</v>
      </c>
      <c r="AA34" s="19">
        <f t="shared" si="5"/>
        <v>0</v>
      </c>
      <c r="AB34" s="20">
        <f t="shared" si="6"/>
        <v>14220</v>
      </c>
    </row>
    <row r="35" spans="1:29" s="39" customFormat="1" outlineLevel="1" x14ac:dyDescent="0.3">
      <c r="Q35" s="64" t="s">
        <v>98</v>
      </c>
      <c r="R35" s="61">
        <f>SUM(R28:R34)</f>
        <v>1262190.5</v>
      </c>
      <c r="S35" s="61">
        <f t="shared" ref="S35:AB35" si="10">SUM(S28:S34)</f>
        <v>0</v>
      </c>
      <c r="T35" s="61">
        <f t="shared" si="10"/>
        <v>0</v>
      </c>
      <c r="U35" s="61">
        <f t="shared" si="10"/>
        <v>0</v>
      </c>
      <c r="V35" s="61">
        <f t="shared" si="10"/>
        <v>0</v>
      </c>
      <c r="W35" s="61">
        <f t="shared" si="10"/>
        <v>14400</v>
      </c>
      <c r="X35" s="61">
        <f t="shared" si="10"/>
        <v>290651.3</v>
      </c>
      <c r="Y35" s="61">
        <f t="shared" si="10"/>
        <v>290651.3</v>
      </c>
      <c r="Z35" s="61">
        <f t="shared" si="10"/>
        <v>290651.3</v>
      </c>
      <c r="AA35" s="61">
        <f t="shared" si="10"/>
        <v>290651.3</v>
      </c>
      <c r="AB35" s="62">
        <f t="shared" si="10"/>
        <v>2439195.7000000002</v>
      </c>
    </row>
    <row r="36" spans="1:29" ht="15" outlineLevel="1" thickBot="1" x14ac:dyDescent="0.35"/>
    <row r="37" spans="1:29" ht="42" customHeight="1" outlineLevel="1" thickBot="1" x14ac:dyDescent="0.35">
      <c r="A37" s="48" t="s">
        <v>7</v>
      </c>
      <c r="C37" s="11" t="s">
        <v>64</v>
      </c>
      <c r="D37" s="11" t="s">
        <v>21</v>
      </c>
      <c r="E37" s="11" t="str">
        <f>E27</f>
        <v>Starting Year of yearly charges</v>
      </c>
      <c r="F37" s="11" t="s">
        <v>22</v>
      </c>
      <c r="G37" s="11" t="s">
        <v>65</v>
      </c>
      <c r="H37" s="11" t="s">
        <v>94</v>
      </c>
      <c r="I37" s="83" t="s">
        <v>95</v>
      </c>
      <c r="J37" s="83" t="s">
        <v>34</v>
      </c>
      <c r="K37" s="83" t="s">
        <v>32</v>
      </c>
      <c r="L37" s="83" t="s">
        <v>33</v>
      </c>
      <c r="O37" s="5" t="s">
        <v>97</v>
      </c>
      <c r="P37" s="11" t="s">
        <v>65</v>
      </c>
      <c r="Q37" s="10" t="s">
        <v>66</v>
      </c>
      <c r="R37" s="53">
        <v>1</v>
      </c>
      <c r="S37" s="54">
        <v>2</v>
      </c>
      <c r="T37" s="54">
        <v>3</v>
      </c>
      <c r="U37" s="54">
        <v>4</v>
      </c>
      <c r="V37" s="55">
        <v>5</v>
      </c>
      <c r="W37" s="53">
        <v>1</v>
      </c>
      <c r="X37" s="54">
        <v>2</v>
      </c>
      <c r="Y37" s="54">
        <v>3</v>
      </c>
      <c r="Z37" s="54">
        <v>4</v>
      </c>
      <c r="AA37" s="55">
        <v>5</v>
      </c>
      <c r="AB37" s="57" t="s">
        <v>19</v>
      </c>
      <c r="AC37" s="10"/>
    </row>
    <row r="38" spans="1:29" outlineLevel="2" x14ac:dyDescent="0.3">
      <c r="A38" s="24" t="str">
        <f t="shared" ref="A38:A44" si="11">A28</f>
        <v>OS</v>
      </c>
      <c r="B38" s="24"/>
      <c r="C38" s="27">
        <f t="shared" ref="C38:I38" si="12">C28</f>
        <v>0</v>
      </c>
      <c r="D38" s="27">
        <f t="shared" si="12"/>
        <v>2000</v>
      </c>
      <c r="E38" s="28">
        <f t="shared" si="12"/>
        <v>1</v>
      </c>
      <c r="F38" s="29">
        <f t="shared" si="12"/>
        <v>0.2</v>
      </c>
      <c r="G38" s="87" t="str">
        <f t="shared" si="12"/>
        <v>socket</v>
      </c>
      <c r="H38" s="87" t="str">
        <f t="shared" si="12"/>
        <v>socket</v>
      </c>
      <c r="I38" s="85">
        <f t="shared" si="12"/>
        <v>1</v>
      </c>
      <c r="J38" s="36">
        <f>$O$20</f>
        <v>2</v>
      </c>
      <c r="K38" s="36">
        <f>$P$20</f>
        <v>3</v>
      </c>
      <c r="L38" s="36">
        <f>$Q$20</f>
        <v>50</v>
      </c>
      <c r="O38">
        <f>_xlfn.XLOOKUP($H38,$J$27:$L$27,$J38:$L38)</f>
        <v>3</v>
      </c>
      <c r="P38" s="10" t="s">
        <v>32</v>
      </c>
      <c r="Q38" s="86">
        <f>I38*O38</f>
        <v>3</v>
      </c>
      <c r="R38" s="19">
        <f t="shared" ref="R38:R44" si="13">$Q38*$C38*(1-$F38)</f>
        <v>0</v>
      </c>
      <c r="S38" s="19"/>
      <c r="T38" s="19"/>
      <c r="U38" s="19"/>
      <c r="V38" s="19"/>
      <c r="W38" s="19">
        <f t="shared" ref="W38:AA44" si="14">IF(W$18&lt;$E38,0,$Q38*$D38)*(1-$F38)</f>
        <v>4800</v>
      </c>
      <c r="X38" s="19">
        <f t="shared" si="14"/>
        <v>4800</v>
      </c>
      <c r="Y38" s="19">
        <f t="shared" si="14"/>
        <v>4800</v>
      </c>
      <c r="Z38" s="19">
        <f t="shared" si="14"/>
        <v>4800</v>
      </c>
      <c r="AA38" s="19">
        <f t="shared" si="14"/>
        <v>4800</v>
      </c>
      <c r="AB38" s="20">
        <f t="shared" ref="AB38:AB44" si="15">SUM(R38:AA38)</f>
        <v>24000</v>
      </c>
    </row>
    <row r="39" spans="1:29" outlineLevel="2" x14ac:dyDescent="0.3">
      <c r="A39" s="24" t="str">
        <f t="shared" si="11"/>
        <v>VM</v>
      </c>
      <c r="B39" s="24"/>
      <c r="C39" s="27">
        <f>C29</f>
        <v>0</v>
      </c>
      <c r="D39" s="27">
        <f t="shared" ref="C39:F44" si="16">D29</f>
        <v>0</v>
      </c>
      <c r="E39" s="28">
        <f t="shared" si="16"/>
        <v>2</v>
      </c>
      <c r="F39" s="29">
        <f t="shared" si="16"/>
        <v>0.2</v>
      </c>
      <c r="G39" s="87" t="str">
        <f t="shared" ref="G39:I44" si="17">G29</f>
        <v>socket</v>
      </c>
      <c r="H39" s="87" t="str">
        <f t="shared" si="17"/>
        <v>socket</v>
      </c>
      <c r="I39" s="85">
        <f t="shared" si="17"/>
        <v>1</v>
      </c>
      <c r="J39" s="1">
        <f t="shared" ref="J39:J44" si="18">J38</f>
        <v>2</v>
      </c>
      <c r="K39" s="1">
        <f t="shared" ref="K39:K44" si="19">K38</f>
        <v>3</v>
      </c>
      <c r="L39" s="1">
        <f t="shared" ref="L39:L44" si="20">L38</f>
        <v>50</v>
      </c>
      <c r="O39">
        <f t="shared" ref="O39:O41" si="21">_xlfn.SINGLE(_xlfn.XLOOKUP($H39,$J$27:$L$27,$J39:$L39))</f>
        <v>3</v>
      </c>
      <c r="P39" s="10" t="s">
        <v>32</v>
      </c>
      <c r="Q39" s="86">
        <f t="shared" ref="Q39:Q44" si="22">I39*O39</f>
        <v>3</v>
      </c>
      <c r="R39" s="19">
        <f t="shared" si="13"/>
        <v>0</v>
      </c>
      <c r="S39" s="19"/>
      <c r="T39" s="19"/>
      <c r="U39" s="19"/>
      <c r="V39" s="19"/>
      <c r="W39" s="19">
        <f t="shared" si="14"/>
        <v>0</v>
      </c>
      <c r="X39" s="19">
        <f t="shared" si="14"/>
        <v>0</v>
      </c>
      <c r="Y39" s="19">
        <f t="shared" si="14"/>
        <v>0</v>
      </c>
      <c r="Z39" s="19">
        <f t="shared" si="14"/>
        <v>0</v>
      </c>
      <c r="AA39" s="19">
        <f t="shared" si="14"/>
        <v>0</v>
      </c>
      <c r="AB39" s="20">
        <f t="shared" si="15"/>
        <v>0</v>
      </c>
    </row>
    <row r="40" spans="1:29" outlineLevel="2" x14ac:dyDescent="0.3">
      <c r="A40" s="24" t="str">
        <f t="shared" si="11"/>
        <v>Application Server</v>
      </c>
      <c r="B40" s="24"/>
      <c r="C40" s="27">
        <f>C30</f>
        <v>12000</v>
      </c>
      <c r="D40" s="27">
        <f>D30</f>
        <v>2400</v>
      </c>
      <c r="E40" s="28">
        <f>E30</f>
        <v>2</v>
      </c>
      <c r="F40" s="29">
        <f t="shared" si="16"/>
        <v>0.75</v>
      </c>
      <c r="G40" s="87" t="str">
        <f t="shared" si="17"/>
        <v>core</v>
      </c>
      <c r="H40" s="87" t="str">
        <f t="shared" si="17"/>
        <v>core</v>
      </c>
      <c r="I40" s="85">
        <f t="shared" si="17"/>
        <v>6.25E-2</v>
      </c>
      <c r="J40" s="1">
        <f t="shared" si="18"/>
        <v>2</v>
      </c>
      <c r="K40" s="1">
        <f t="shared" si="19"/>
        <v>3</v>
      </c>
      <c r="L40" s="1">
        <f t="shared" si="20"/>
        <v>50</v>
      </c>
      <c r="O40">
        <f t="shared" si="21"/>
        <v>50</v>
      </c>
      <c r="P40" s="10" t="s">
        <v>96</v>
      </c>
      <c r="Q40" s="86">
        <f t="shared" si="22"/>
        <v>3.125</v>
      </c>
      <c r="R40" s="19">
        <f t="shared" si="13"/>
        <v>9375</v>
      </c>
      <c r="S40" s="19"/>
      <c r="T40" s="19"/>
      <c r="U40" s="19"/>
      <c r="V40" s="19"/>
      <c r="W40" s="19">
        <f t="shared" si="14"/>
        <v>0</v>
      </c>
      <c r="X40" s="19">
        <f t="shared" si="14"/>
        <v>1875</v>
      </c>
      <c r="Y40" s="19">
        <f t="shared" si="14"/>
        <v>1875</v>
      </c>
      <c r="Z40" s="19">
        <f t="shared" si="14"/>
        <v>1875</v>
      </c>
      <c r="AA40" s="19">
        <f t="shared" si="14"/>
        <v>1875</v>
      </c>
      <c r="AB40" s="20">
        <f t="shared" si="15"/>
        <v>16875</v>
      </c>
    </row>
    <row r="41" spans="1:29" outlineLevel="2" x14ac:dyDescent="0.3">
      <c r="A41" s="24" t="str">
        <f t="shared" si="11"/>
        <v>DB</v>
      </c>
      <c r="B41" s="24"/>
      <c r="C41" s="27">
        <f t="shared" si="16"/>
        <v>47500</v>
      </c>
      <c r="D41" s="27">
        <f>D31</f>
        <v>10450</v>
      </c>
      <c r="E41" s="28">
        <f t="shared" si="16"/>
        <v>2</v>
      </c>
      <c r="F41" s="29">
        <f t="shared" si="16"/>
        <v>0.75</v>
      </c>
      <c r="G41" s="87" t="str">
        <f t="shared" si="17"/>
        <v>core</v>
      </c>
      <c r="H41" s="87" t="str">
        <f t="shared" si="17"/>
        <v>core</v>
      </c>
      <c r="I41" s="85">
        <f t="shared" si="17"/>
        <v>0.5</v>
      </c>
      <c r="J41" s="1">
        <f t="shared" si="18"/>
        <v>2</v>
      </c>
      <c r="K41" s="1">
        <f t="shared" si="19"/>
        <v>3</v>
      </c>
      <c r="L41" s="1">
        <f t="shared" si="20"/>
        <v>50</v>
      </c>
      <c r="O41">
        <f t="shared" si="21"/>
        <v>50</v>
      </c>
      <c r="P41" s="10" t="s">
        <v>33</v>
      </c>
      <c r="Q41" s="86">
        <f t="shared" si="22"/>
        <v>25</v>
      </c>
      <c r="R41" s="19">
        <f t="shared" si="13"/>
        <v>296875</v>
      </c>
      <c r="S41" s="19"/>
      <c r="T41" s="19"/>
      <c r="U41" s="19"/>
      <c r="V41" s="19"/>
      <c r="W41" s="19">
        <f t="shared" si="14"/>
        <v>0</v>
      </c>
      <c r="X41" s="19">
        <f t="shared" si="14"/>
        <v>65312.5</v>
      </c>
      <c r="Y41" s="19">
        <f t="shared" si="14"/>
        <v>65312.5</v>
      </c>
      <c r="Z41" s="19">
        <f t="shared" si="14"/>
        <v>65312.5</v>
      </c>
      <c r="AA41" s="19">
        <f t="shared" si="14"/>
        <v>65312.5</v>
      </c>
      <c r="AB41" s="20">
        <f t="shared" si="15"/>
        <v>558125</v>
      </c>
    </row>
    <row r="42" spans="1:29" outlineLevel="2" x14ac:dyDescent="0.3">
      <c r="A42" s="24" t="str">
        <f t="shared" si="11"/>
        <v>Data Replication Tools</v>
      </c>
      <c r="B42" s="24"/>
      <c r="C42" s="27">
        <f t="shared" si="16"/>
        <v>24625</v>
      </c>
      <c r="D42" s="27">
        <f t="shared" si="16"/>
        <v>5866</v>
      </c>
      <c r="E42" s="28">
        <f t="shared" si="16"/>
        <v>2</v>
      </c>
      <c r="F42" s="29">
        <f t="shared" si="16"/>
        <v>0.1</v>
      </c>
      <c r="G42" s="87" t="str">
        <f t="shared" si="17"/>
        <v>VM</v>
      </c>
      <c r="H42" s="87" t="str">
        <f t="shared" si="17"/>
        <v>VM</v>
      </c>
      <c r="I42" s="85">
        <f t="shared" si="17"/>
        <v>0.04</v>
      </c>
      <c r="J42" s="1">
        <f t="shared" si="18"/>
        <v>2</v>
      </c>
      <c r="K42" s="1">
        <f t="shared" si="19"/>
        <v>3</v>
      </c>
      <c r="L42" s="1">
        <f t="shared" si="20"/>
        <v>50</v>
      </c>
      <c r="O42">
        <f t="shared" ref="O42:P44" si="23">O32</f>
        <v>50</v>
      </c>
      <c r="P42" s="10" t="str">
        <f t="shared" si="23"/>
        <v>VM</v>
      </c>
      <c r="Q42" s="86">
        <f t="shared" si="22"/>
        <v>2</v>
      </c>
      <c r="R42" s="19">
        <f t="shared" si="13"/>
        <v>44325</v>
      </c>
      <c r="S42" s="19"/>
      <c r="T42" s="19"/>
      <c r="U42" s="19"/>
      <c r="V42" s="19"/>
      <c r="W42" s="19">
        <f t="shared" si="14"/>
        <v>0</v>
      </c>
      <c r="X42" s="19">
        <f t="shared" si="14"/>
        <v>10558.800000000001</v>
      </c>
      <c r="Y42" s="19">
        <f t="shared" si="14"/>
        <v>10558.800000000001</v>
      </c>
      <c r="Z42" s="19">
        <f t="shared" si="14"/>
        <v>10558.800000000001</v>
      </c>
      <c r="AA42" s="19">
        <f t="shared" si="14"/>
        <v>10558.800000000001</v>
      </c>
      <c r="AB42" s="20">
        <f t="shared" si="15"/>
        <v>86560.200000000012</v>
      </c>
    </row>
    <row r="43" spans="1:29" outlineLevel="2" x14ac:dyDescent="0.3">
      <c r="A43" s="24" t="str">
        <f t="shared" si="11"/>
        <v>Monitoring Tools</v>
      </c>
      <c r="B43" s="24"/>
      <c r="C43" s="27">
        <v>0</v>
      </c>
      <c r="D43" s="210">
        <v>0</v>
      </c>
      <c r="E43" s="28">
        <f t="shared" si="16"/>
        <v>2</v>
      </c>
      <c r="F43" s="29">
        <f t="shared" si="16"/>
        <v>0.1</v>
      </c>
      <c r="G43" s="87" t="str">
        <f t="shared" si="17"/>
        <v>nodes</v>
      </c>
      <c r="H43" s="87" t="str">
        <f t="shared" si="17"/>
        <v>nodes</v>
      </c>
      <c r="I43" s="85">
        <f t="shared" si="17"/>
        <v>1</v>
      </c>
      <c r="J43" s="1">
        <f t="shared" si="18"/>
        <v>2</v>
      </c>
      <c r="K43" s="1">
        <f t="shared" si="19"/>
        <v>3</v>
      </c>
      <c r="L43" s="1">
        <f t="shared" si="20"/>
        <v>50</v>
      </c>
      <c r="O43">
        <f t="shared" si="23"/>
        <v>1</v>
      </c>
      <c r="P43" s="10" t="str">
        <f t="shared" si="23"/>
        <v>nodes</v>
      </c>
      <c r="Q43" s="86">
        <f t="shared" si="22"/>
        <v>1</v>
      </c>
      <c r="R43" s="19">
        <f t="shared" si="13"/>
        <v>0</v>
      </c>
      <c r="S43" s="19"/>
      <c r="T43" s="19"/>
      <c r="U43" s="19"/>
      <c r="V43" s="19"/>
      <c r="W43" s="19">
        <f t="shared" si="14"/>
        <v>0</v>
      </c>
      <c r="X43" s="19">
        <f t="shared" si="14"/>
        <v>0</v>
      </c>
      <c r="Y43" s="19">
        <f t="shared" si="14"/>
        <v>0</v>
      </c>
      <c r="Z43" s="19">
        <f t="shared" si="14"/>
        <v>0</v>
      </c>
      <c r="AA43" s="19">
        <f t="shared" si="14"/>
        <v>0</v>
      </c>
      <c r="AB43" s="20">
        <f t="shared" si="15"/>
        <v>0</v>
      </c>
    </row>
    <row r="44" spans="1:29" outlineLevel="2" x14ac:dyDescent="0.3">
      <c r="A44" s="24" t="str">
        <f t="shared" si="11"/>
        <v>Security Tools</v>
      </c>
      <c r="B44" s="24"/>
      <c r="C44" s="27">
        <v>0</v>
      </c>
      <c r="D44" s="210" t="str">
        <f t="shared" si="16"/>
        <v>-</v>
      </c>
      <c r="E44" s="28" t="str">
        <f t="shared" si="16"/>
        <v>-</v>
      </c>
      <c r="F44" s="29">
        <f t="shared" si="16"/>
        <v>0.2</v>
      </c>
      <c r="G44" s="87" t="str">
        <f t="shared" si="17"/>
        <v>n/a</v>
      </c>
      <c r="H44" s="87" t="str">
        <f t="shared" si="17"/>
        <v>n/a</v>
      </c>
      <c r="I44" s="85">
        <f t="shared" si="17"/>
        <v>1</v>
      </c>
      <c r="J44" s="1">
        <f t="shared" si="18"/>
        <v>2</v>
      </c>
      <c r="K44" s="1">
        <f t="shared" si="19"/>
        <v>3</v>
      </c>
      <c r="L44" s="1">
        <f t="shared" si="20"/>
        <v>50</v>
      </c>
      <c r="O44">
        <f t="shared" si="23"/>
        <v>1</v>
      </c>
      <c r="P44" s="10" t="str">
        <f t="shared" si="23"/>
        <v>n/a</v>
      </c>
      <c r="Q44" s="86">
        <f t="shared" si="22"/>
        <v>1</v>
      </c>
      <c r="R44" s="19">
        <f t="shared" si="13"/>
        <v>0</v>
      </c>
      <c r="S44" s="19"/>
      <c r="T44" s="19"/>
      <c r="U44" s="19"/>
      <c r="V44" s="19"/>
      <c r="W44" s="19">
        <f t="shared" si="14"/>
        <v>0</v>
      </c>
      <c r="X44" s="19">
        <f t="shared" si="14"/>
        <v>0</v>
      </c>
      <c r="Y44" s="19">
        <f t="shared" si="14"/>
        <v>0</v>
      </c>
      <c r="Z44" s="19">
        <f t="shared" si="14"/>
        <v>0</v>
      </c>
      <c r="AA44" s="19">
        <f t="shared" si="14"/>
        <v>0</v>
      </c>
      <c r="AB44" s="20">
        <f t="shared" si="15"/>
        <v>0</v>
      </c>
    </row>
    <row r="45" spans="1:29" s="39" customFormat="1" outlineLevel="1" x14ac:dyDescent="0.3">
      <c r="Q45" s="64" t="s">
        <v>99</v>
      </c>
      <c r="R45" s="61">
        <f t="shared" ref="R45:AB45" si="24">SUM(R38:R44)</f>
        <v>350575</v>
      </c>
      <c r="S45" s="61">
        <f t="shared" si="24"/>
        <v>0</v>
      </c>
      <c r="T45" s="61">
        <f t="shared" si="24"/>
        <v>0</v>
      </c>
      <c r="U45" s="61">
        <f t="shared" si="24"/>
        <v>0</v>
      </c>
      <c r="V45" s="61">
        <f t="shared" si="24"/>
        <v>0</v>
      </c>
      <c r="W45" s="61">
        <f t="shared" si="24"/>
        <v>4800</v>
      </c>
      <c r="X45" s="61">
        <f t="shared" si="24"/>
        <v>82546.3</v>
      </c>
      <c r="Y45" s="61">
        <f t="shared" si="24"/>
        <v>82546.3</v>
      </c>
      <c r="Z45" s="61">
        <f t="shared" si="24"/>
        <v>82546.3</v>
      </c>
      <c r="AA45" s="61">
        <f t="shared" si="24"/>
        <v>82546.3</v>
      </c>
      <c r="AB45" s="62">
        <f t="shared" si="24"/>
        <v>685560.2</v>
      </c>
    </row>
    <row r="46" spans="1:29" ht="15" outlineLevel="1" thickBot="1" x14ac:dyDescent="0.35"/>
    <row r="47" spans="1:29" ht="37.5" customHeight="1" outlineLevel="1" thickBot="1" x14ac:dyDescent="0.35">
      <c r="A47" s="48" t="s">
        <v>8</v>
      </c>
      <c r="C47" s="11" t="s">
        <v>64</v>
      </c>
      <c r="D47" s="11" t="s">
        <v>21</v>
      </c>
      <c r="E47" s="11" t="str">
        <f>E37</f>
        <v>Starting Year of yearly charges</v>
      </c>
      <c r="F47" s="11" t="s">
        <v>22</v>
      </c>
      <c r="G47" s="11" t="s">
        <v>65</v>
      </c>
      <c r="H47" s="11" t="s">
        <v>94</v>
      </c>
      <c r="I47" s="83" t="s">
        <v>95</v>
      </c>
      <c r="J47" s="83" t="s">
        <v>34</v>
      </c>
      <c r="K47" s="83" t="s">
        <v>32</v>
      </c>
      <c r="L47" s="83" t="s">
        <v>33</v>
      </c>
      <c r="O47" s="5" t="s">
        <v>97</v>
      </c>
      <c r="P47" s="11" t="s">
        <v>65</v>
      </c>
      <c r="Q47" s="10" t="s">
        <v>66</v>
      </c>
      <c r="R47" s="53">
        <v>1</v>
      </c>
      <c r="S47" s="54">
        <v>2</v>
      </c>
      <c r="T47" s="54">
        <v>3</v>
      </c>
      <c r="U47" s="54">
        <v>4</v>
      </c>
      <c r="V47" s="55">
        <v>5</v>
      </c>
      <c r="W47" s="53">
        <v>1</v>
      </c>
      <c r="X47" s="54">
        <v>2</v>
      </c>
      <c r="Y47" s="54">
        <v>3</v>
      </c>
      <c r="Z47" s="54">
        <v>4</v>
      </c>
      <c r="AA47" s="55">
        <v>5</v>
      </c>
      <c r="AB47" s="57" t="s">
        <v>19</v>
      </c>
      <c r="AC47" s="10"/>
    </row>
    <row r="48" spans="1:29" outlineLevel="2" x14ac:dyDescent="0.3">
      <c r="A48" s="24" t="str">
        <f t="shared" ref="A48:A54" si="25">A28</f>
        <v>OS</v>
      </c>
      <c r="B48" s="24"/>
      <c r="C48" s="27">
        <f t="shared" ref="C48:F54" si="26">C28</f>
        <v>0</v>
      </c>
      <c r="D48" s="27">
        <f t="shared" si="26"/>
        <v>2000</v>
      </c>
      <c r="E48" s="28">
        <f t="shared" si="26"/>
        <v>1</v>
      </c>
      <c r="F48" s="29">
        <f t="shared" si="26"/>
        <v>0.2</v>
      </c>
      <c r="G48" s="87" t="str">
        <f t="shared" ref="G48:I54" si="27">G38</f>
        <v>socket</v>
      </c>
      <c r="H48" s="87" t="str">
        <f t="shared" si="27"/>
        <v>socket</v>
      </c>
      <c r="I48" s="87">
        <f t="shared" si="27"/>
        <v>1</v>
      </c>
      <c r="J48" s="36">
        <f>$O$21</f>
        <v>2</v>
      </c>
      <c r="K48" s="36">
        <f>$P$21</f>
        <v>3</v>
      </c>
      <c r="L48" s="36">
        <f>$Q$21</f>
        <v>50</v>
      </c>
      <c r="O48">
        <f>_xlfn.XLOOKUP($H48,$J$27:$L$27,$J48:$L48)</f>
        <v>3</v>
      </c>
      <c r="P48" s="10" t="s">
        <v>32</v>
      </c>
      <c r="Q48" s="86">
        <f>I48*O48</f>
        <v>3</v>
      </c>
      <c r="R48" s="19">
        <f t="shared" ref="R48:R54" si="28">$Q48*$C48*(1-$F48)</f>
        <v>0</v>
      </c>
      <c r="S48" s="19"/>
      <c r="T48" s="19"/>
      <c r="U48" s="19"/>
      <c r="V48" s="19"/>
      <c r="W48" s="19">
        <f t="shared" ref="W48:AA54" si="29">IF(W$18&lt;$E48,0,$Q48*$D48)*(1-$F48)</f>
        <v>4800</v>
      </c>
      <c r="X48" s="19">
        <f t="shared" si="29"/>
        <v>4800</v>
      </c>
      <c r="Y48" s="19">
        <f t="shared" si="29"/>
        <v>4800</v>
      </c>
      <c r="Z48" s="19">
        <f t="shared" si="29"/>
        <v>4800</v>
      </c>
      <c r="AA48" s="19">
        <f t="shared" si="29"/>
        <v>4800</v>
      </c>
      <c r="AB48" s="20">
        <f t="shared" ref="AB48:AB54" si="30">SUM(R48:AA48)</f>
        <v>24000</v>
      </c>
    </row>
    <row r="49" spans="1:29" outlineLevel="2" x14ac:dyDescent="0.3">
      <c r="A49" s="24" t="str">
        <f t="shared" si="25"/>
        <v>VM</v>
      </c>
      <c r="B49" s="24"/>
      <c r="C49" s="27">
        <f t="shared" si="26"/>
        <v>0</v>
      </c>
      <c r="D49" s="27">
        <f t="shared" si="26"/>
        <v>0</v>
      </c>
      <c r="E49" s="28">
        <f t="shared" si="26"/>
        <v>2</v>
      </c>
      <c r="F49" s="29">
        <f t="shared" si="26"/>
        <v>0.2</v>
      </c>
      <c r="G49" s="87" t="str">
        <f t="shared" si="27"/>
        <v>socket</v>
      </c>
      <c r="H49" s="87" t="str">
        <f t="shared" si="27"/>
        <v>socket</v>
      </c>
      <c r="I49" s="87">
        <f t="shared" si="27"/>
        <v>1</v>
      </c>
      <c r="J49" s="1">
        <f t="shared" ref="J49:J54" si="31">J48</f>
        <v>2</v>
      </c>
      <c r="K49" s="1">
        <f t="shared" ref="K49:K54" si="32">K48</f>
        <v>3</v>
      </c>
      <c r="L49" s="1">
        <f t="shared" ref="L49:L54" si="33">L48</f>
        <v>50</v>
      </c>
      <c r="O49">
        <f t="shared" ref="O49:O51" si="34">_xlfn.SINGLE(_xlfn.XLOOKUP($H49,$J$27:$L$27,$J49:$L49))</f>
        <v>3</v>
      </c>
      <c r="P49" s="10" t="s">
        <v>32</v>
      </c>
      <c r="Q49" s="86">
        <f t="shared" ref="Q49:Q54" si="35">I49*O49</f>
        <v>3</v>
      </c>
      <c r="R49" s="19">
        <f t="shared" si="28"/>
        <v>0</v>
      </c>
      <c r="S49" s="19"/>
      <c r="T49" s="19"/>
      <c r="U49" s="19"/>
      <c r="V49" s="19"/>
      <c r="W49" s="19">
        <f t="shared" si="29"/>
        <v>0</v>
      </c>
      <c r="X49" s="19">
        <f t="shared" si="29"/>
        <v>0</v>
      </c>
      <c r="Y49" s="19">
        <f t="shared" si="29"/>
        <v>0</v>
      </c>
      <c r="Z49" s="19">
        <f t="shared" si="29"/>
        <v>0</v>
      </c>
      <c r="AA49" s="19">
        <f t="shared" si="29"/>
        <v>0</v>
      </c>
      <c r="AB49" s="20">
        <f t="shared" si="30"/>
        <v>0</v>
      </c>
    </row>
    <row r="50" spans="1:29" outlineLevel="2" x14ac:dyDescent="0.3">
      <c r="A50" s="24" t="str">
        <f t="shared" si="25"/>
        <v>Application Server</v>
      </c>
      <c r="B50" s="24"/>
      <c r="C50" s="27">
        <f t="shared" si="26"/>
        <v>12000</v>
      </c>
      <c r="D50" s="27">
        <f t="shared" si="26"/>
        <v>2400</v>
      </c>
      <c r="E50" s="28">
        <f t="shared" si="26"/>
        <v>2</v>
      </c>
      <c r="F50" s="29">
        <f t="shared" si="26"/>
        <v>0.75</v>
      </c>
      <c r="G50" s="87" t="str">
        <f t="shared" si="27"/>
        <v>core</v>
      </c>
      <c r="H50" s="87" t="str">
        <f t="shared" si="27"/>
        <v>core</v>
      </c>
      <c r="I50" s="87">
        <f t="shared" si="27"/>
        <v>6.25E-2</v>
      </c>
      <c r="J50" s="1">
        <f t="shared" si="31"/>
        <v>2</v>
      </c>
      <c r="K50" s="1">
        <f t="shared" si="32"/>
        <v>3</v>
      </c>
      <c r="L50" s="1">
        <f t="shared" si="33"/>
        <v>50</v>
      </c>
      <c r="O50">
        <f t="shared" si="34"/>
        <v>50</v>
      </c>
      <c r="P50" s="10" t="s">
        <v>96</v>
      </c>
      <c r="Q50" s="86">
        <f t="shared" si="35"/>
        <v>3.125</v>
      </c>
      <c r="R50" s="19">
        <f t="shared" si="28"/>
        <v>9375</v>
      </c>
      <c r="S50" s="19"/>
      <c r="T50" s="19"/>
      <c r="U50" s="19"/>
      <c r="V50" s="19"/>
      <c r="W50" s="19">
        <f t="shared" si="29"/>
        <v>0</v>
      </c>
      <c r="X50" s="19">
        <f t="shared" si="29"/>
        <v>1875</v>
      </c>
      <c r="Y50" s="19">
        <f t="shared" si="29"/>
        <v>1875</v>
      </c>
      <c r="Z50" s="19">
        <f t="shared" si="29"/>
        <v>1875</v>
      </c>
      <c r="AA50" s="19">
        <f t="shared" si="29"/>
        <v>1875</v>
      </c>
      <c r="AB50" s="20">
        <f t="shared" si="30"/>
        <v>16875</v>
      </c>
    </row>
    <row r="51" spans="1:29" outlineLevel="2" x14ac:dyDescent="0.3">
      <c r="A51" s="24" t="str">
        <f t="shared" si="25"/>
        <v>DB</v>
      </c>
      <c r="B51" s="24"/>
      <c r="C51" s="27">
        <f t="shared" si="26"/>
        <v>47500</v>
      </c>
      <c r="D51" s="27">
        <f t="shared" si="26"/>
        <v>10450</v>
      </c>
      <c r="E51" s="28">
        <f t="shared" si="26"/>
        <v>2</v>
      </c>
      <c r="F51" s="29">
        <f t="shared" si="26"/>
        <v>0.75</v>
      </c>
      <c r="G51" s="87" t="str">
        <f t="shared" si="27"/>
        <v>core</v>
      </c>
      <c r="H51" s="87" t="str">
        <f t="shared" si="27"/>
        <v>core</v>
      </c>
      <c r="I51" s="87">
        <f t="shared" si="27"/>
        <v>0.5</v>
      </c>
      <c r="J51" s="1">
        <f t="shared" si="31"/>
        <v>2</v>
      </c>
      <c r="K51" s="1">
        <f t="shared" si="32"/>
        <v>3</v>
      </c>
      <c r="L51" s="1">
        <f t="shared" si="33"/>
        <v>50</v>
      </c>
      <c r="O51">
        <f t="shared" si="34"/>
        <v>50</v>
      </c>
      <c r="P51" s="10" t="s">
        <v>33</v>
      </c>
      <c r="Q51" s="86">
        <f t="shared" si="35"/>
        <v>25</v>
      </c>
      <c r="R51" s="19">
        <f t="shared" si="28"/>
        <v>296875</v>
      </c>
      <c r="S51" s="19"/>
      <c r="T51" s="19"/>
      <c r="U51" s="19"/>
      <c r="V51" s="19"/>
      <c r="W51" s="19">
        <f t="shared" si="29"/>
        <v>0</v>
      </c>
      <c r="X51" s="19">
        <f t="shared" si="29"/>
        <v>65312.5</v>
      </c>
      <c r="Y51" s="19">
        <f t="shared" si="29"/>
        <v>65312.5</v>
      </c>
      <c r="Z51" s="19">
        <f t="shared" si="29"/>
        <v>65312.5</v>
      </c>
      <c r="AA51" s="19">
        <f t="shared" si="29"/>
        <v>65312.5</v>
      </c>
      <c r="AB51" s="20">
        <f t="shared" si="30"/>
        <v>558125</v>
      </c>
    </row>
    <row r="52" spans="1:29" outlineLevel="2" x14ac:dyDescent="0.3">
      <c r="A52" s="24" t="str">
        <f t="shared" si="25"/>
        <v>Data Replication Tools</v>
      </c>
      <c r="B52" s="24"/>
      <c r="C52" s="27">
        <f t="shared" si="26"/>
        <v>24625</v>
      </c>
      <c r="D52" s="27">
        <f t="shared" si="26"/>
        <v>5866</v>
      </c>
      <c r="E52" s="28">
        <f t="shared" si="26"/>
        <v>2</v>
      </c>
      <c r="F52" s="29">
        <f t="shared" si="26"/>
        <v>0.1</v>
      </c>
      <c r="G52" s="87" t="str">
        <f t="shared" si="27"/>
        <v>VM</v>
      </c>
      <c r="H52" s="87" t="str">
        <f t="shared" si="27"/>
        <v>VM</v>
      </c>
      <c r="I52" s="87">
        <f t="shared" si="27"/>
        <v>0.04</v>
      </c>
      <c r="J52" s="1">
        <f t="shared" si="31"/>
        <v>2</v>
      </c>
      <c r="K52" s="1">
        <f t="shared" si="32"/>
        <v>3</v>
      </c>
      <c r="L52" s="1">
        <f t="shared" si="33"/>
        <v>50</v>
      </c>
      <c r="O52">
        <f t="shared" ref="O52:P54" si="36">O32</f>
        <v>50</v>
      </c>
      <c r="P52" s="10" t="str">
        <f t="shared" si="36"/>
        <v>VM</v>
      </c>
      <c r="Q52" s="86">
        <f t="shared" si="35"/>
        <v>2</v>
      </c>
      <c r="R52" s="19">
        <f t="shared" si="28"/>
        <v>44325</v>
      </c>
      <c r="S52" s="19"/>
      <c r="T52" s="19"/>
      <c r="U52" s="19"/>
      <c r="V52" s="19"/>
      <c r="W52" s="19">
        <f t="shared" si="29"/>
        <v>0</v>
      </c>
      <c r="X52" s="19">
        <f t="shared" si="29"/>
        <v>10558.800000000001</v>
      </c>
      <c r="Y52" s="19">
        <f t="shared" si="29"/>
        <v>10558.800000000001</v>
      </c>
      <c r="Z52" s="19">
        <f t="shared" si="29"/>
        <v>10558.800000000001</v>
      </c>
      <c r="AA52" s="19">
        <f t="shared" si="29"/>
        <v>10558.800000000001</v>
      </c>
      <c r="AB52" s="20">
        <f t="shared" si="30"/>
        <v>86560.200000000012</v>
      </c>
    </row>
    <row r="53" spans="1:29" outlineLevel="2" x14ac:dyDescent="0.3">
      <c r="A53" s="24" t="str">
        <f t="shared" si="25"/>
        <v>Monitoring Tools</v>
      </c>
      <c r="B53" s="24"/>
      <c r="C53" s="27">
        <v>0</v>
      </c>
      <c r="D53" s="27">
        <v>0</v>
      </c>
      <c r="E53" s="28">
        <f t="shared" si="26"/>
        <v>2</v>
      </c>
      <c r="F53" s="29">
        <f t="shared" si="26"/>
        <v>0.1</v>
      </c>
      <c r="G53" s="87" t="str">
        <f t="shared" si="27"/>
        <v>nodes</v>
      </c>
      <c r="H53" s="87" t="str">
        <f t="shared" si="27"/>
        <v>nodes</v>
      </c>
      <c r="I53" s="87">
        <f t="shared" si="27"/>
        <v>1</v>
      </c>
      <c r="J53" s="1">
        <f t="shared" si="31"/>
        <v>2</v>
      </c>
      <c r="K53" s="1">
        <f t="shared" si="32"/>
        <v>3</v>
      </c>
      <c r="L53" s="1">
        <f t="shared" si="33"/>
        <v>50</v>
      </c>
      <c r="O53">
        <f t="shared" si="36"/>
        <v>1</v>
      </c>
      <c r="P53" s="10" t="str">
        <f t="shared" si="36"/>
        <v>nodes</v>
      </c>
      <c r="Q53" s="86">
        <f t="shared" si="35"/>
        <v>1</v>
      </c>
      <c r="R53" s="19">
        <f t="shared" si="28"/>
        <v>0</v>
      </c>
      <c r="S53" s="19"/>
      <c r="T53" s="19"/>
      <c r="U53" s="19"/>
      <c r="V53" s="19"/>
      <c r="W53" s="19">
        <f t="shared" si="29"/>
        <v>0</v>
      </c>
      <c r="X53" s="19">
        <f t="shared" si="29"/>
        <v>0</v>
      </c>
      <c r="Y53" s="19">
        <f t="shared" si="29"/>
        <v>0</v>
      </c>
      <c r="Z53" s="19">
        <f t="shared" si="29"/>
        <v>0</v>
      </c>
      <c r="AA53" s="19">
        <f t="shared" si="29"/>
        <v>0</v>
      </c>
      <c r="AB53" s="20">
        <f t="shared" si="30"/>
        <v>0</v>
      </c>
    </row>
    <row r="54" spans="1:29" outlineLevel="2" x14ac:dyDescent="0.3">
      <c r="A54" s="24" t="str">
        <f t="shared" si="25"/>
        <v>Security Tools</v>
      </c>
      <c r="B54" s="24"/>
      <c r="C54" s="27">
        <v>0</v>
      </c>
      <c r="D54" s="27" t="str">
        <f t="shared" si="26"/>
        <v>-</v>
      </c>
      <c r="E54" s="28" t="str">
        <f t="shared" si="26"/>
        <v>-</v>
      </c>
      <c r="F54" s="29">
        <f t="shared" si="26"/>
        <v>0.2</v>
      </c>
      <c r="G54" s="87" t="str">
        <f t="shared" si="27"/>
        <v>n/a</v>
      </c>
      <c r="H54" s="87" t="str">
        <f t="shared" si="27"/>
        <v>n/a</v>
      </c>
      <c r="I54" s="87">
        <f t="shared" si="27"/>
        <v>1</v>
      </c>
      <c r="J54" s="1">
        <f t="shared" si="31"/>
        <v>2</v>
      </c>
      <c r="K54" s="1">
        <f t="shared" si="32"/>
        <v>3</v>
      </c>
      <c r="L54" s="1">
        <f t="shared" si="33"/>
        <v>50</v>
      </c>
      <c r="O54">
        <f t="shared" si="36"/>
        <v>1</v>
      </c>
      <c r="P54" s="10" t="str">
        <f t="shared" si="36"/>
        <v>n/a</v>
      </c>
      <c r="Q54" s="86">
        <f t="shared" si="35"/>
        <v>1</v>
      </c>
      <c r="R54" s="19">
        <f t="shared" si="28"/>
        <v>0</v>
      </c>
      <c r="S54" s="19"/>
      <c r="T54" s="19"/>
      <c r="U54" s="19"/>
      <c r="V54" s="19"/>
      <c r="W54" s="19">
        <f t="shared" si="29"/>
        <v>0</v>
      </c>
      <c r="X54" s="19">
        <f t="shared" si="29"/>
        <v>0</v>
      </c>
      <c r="Y54" s="19">
        <f t="shared" si="29"/>
        <v>0</v>
      </c>
      <c r="Z54" s="19">
        <f t="shared" si="29"/>
        <v>0</v>
      </c>
      <c r="AA54" s="19">
        <f t="shared" si="29"/>
        <v>0</v>
      </c>
      <c r="AB54" s="20">
        <f t="shared" si="30"/>
        <v>0</v>
      </c>
    </row>
    <row r="55" spans="1:29" s="39" customFormat="1" outlineLevel="1" x14ac:dyDescent="0.3">
      <c r="Q55" s="64" t="s">
        <v>8</v>
      </c>
      <c r="R55" s="61">
        <f t="shared" ref="R55:AB55" si="37">SUM(R48:R54)</f>
        <v>350575</v>
      </c>
      <c r="S55" s="61">
        <f t="shared" si="37"/>
        <v>0</v>
      </c>
      <c r="T55" s="61">
        <f t="shared" si="37"/>
        <v>0</v>
      </c>
      <c r="U55" s="61">
        <f t="shared" si="37"/>
        <v>0</v>
      </c>
      <c r="V55" s="61">
        <f t="shared" si="37"/>
        <v>0</v>
      </c>
      <c r="W55" s="61">
        <f t="shared" si="37"/>
        <v>4800</v>
      </c>
      <c r="X55" s="61">
        <f t="shared" si="37"/>
        <v>82546.3</v>
      </c>
      <c r="Y55" s="61">
        <f t="shared" si="37"/>
        <v>82546.3</v>
      </c>
      <c r="Z55" s="61">
        <f t="shared" si="37"/>
        <v>82546.3</v>
      </c>
      <c r="AA55" s="61">
        <f t="shared" si="37"/>
        <v>82546.3</v>
      </c>
      <c r="AB55" s="62">
        <f t="shared" si="37"/>
        <v>685560.2</v>
      </c>
    </row>
    <row r="56" spans="1:29" ht="15" outlineLevel="1" thickBot="1" x14ac:dyDescent="0.35"/>
    <row r="57" spans="1:29" ht="38.25" customHeight="1" outlineLevel="1" thickBot="1" x14ac:dyDescent="0.35">
      <c r="A57" s="48" t="s">
        <v>71</v>
      </c>
      <c r="C57" s="11" t="s">
        <v>64</v>
      </c>
      <c r="D57" s="11" t="s">
        <v>21</v>
      </c>
      <c r="E57" s="11" t="str">
        <f>E47</f>
        <v>Starting Year of yearly charges</v>
      </c>
      <c r="F57" s="11" t="s">
        <v>22</v>
      </c>
      <c r="G57" s="11" t="s">
        <v>65</v>
      </c>
      <c r="H57" s="11" t="s">
        <v>94</v>
      </c>
      <c r="I57" s="83" t="s">
        <v>95</v>
      </c>
      <c r="J57" s="83" t="s">
        <v>34</v>
      </c>
      <c r="K57" s="83" t="s">
        <v>32</v>
      </c>
      <c r="L57" s="83" t="s">
        <v>33</v>
      </c>
      <c r="O57" s="5" t="s">
        <v>97</v>
      </c>
      <c r="P57" s="11" t="s">
        <v>65</v>
      </c>
      <c r="Q57" s="10" t="s">
        <v>66</v>
      </c>
      <c r="R57" s="53">
        <v>1</v>
      </c>
      <c r="S57" s="54">
        <v>2</v>
      </c>
      <c r="T57" s="54">
        <v>3</v>
      </c>
      <c r="U57" s="54">
        <v>4</v>
      </c>
      <c r="V57" s="55">
        <v>5</v>
      </c>
      <c r="W57" s="53">
        <v>1</v>
      </c>
      <c r="X57" s="54">
        <v>2</v>
      </c>
      <c r="Y57" s="54">
        <v>3</v>
      </c>
      <c r="Z57" s="54">
        <v>4</v>
      </c>
      <c r="AA57" s="55">
        <v>5</v>
      </c>
      <c r="AB57" s="57" t="s">
        <v>19</v>
      </c>
      <c r="AC57" s="10"/>
    </row>
    <row r="58" spans="1:29" outlineLevel="2" x14ac:dyDescent="0.3">
      <c r="A58" s="24" t="str">
        <f t="shared" ref="A58:A64" si="38">A28</f>
        <v>OS</v>
      </c>
      <c r="B58" s="24"/>
      <c r="C58" s="27">
        <f t="shared" ref="C58:F64" si="39">C28</f>
        <v>0</v>
      </c>
      <c r="D58" s="27">
        <f t="shared" si="39"/>
        <v>2000</v>
      </c>
      <c r="E58" s="28">
        <f t="shared" si="39"/>
        <v>1</v>
      </c>
      <c r="F58" s="29">
        <f t="shared" si="39"/>
        <v>0.2</v>
      </c>
      <c r="G58" s="87" t="str">
        <f t="shared" ref="G58:I64" si="40">G48</f>
        <v>socket</v>
      </c>
      <c r="H58" s="87" t="str">
        <f t="shared" si="40"/>
        <v>socket</v>
      </c>
      <c r="I58" s="87">
        <f t="shared" si="40"/>
        <v>1</v>
      </c>
      <c r="J58" s="36">
        <f>$O$22</f>
        <v>3</v>
      </c>
      <c r="K58" s="36">
        <f>$P$22</f>
        <v>5</v>
      </c>
      <c r="L58" s="36">
        <f>$Q$22</f>
        <v>100</v>
      </c>
      <c r="O58">
        <f>_xlfn.XLOOKUP($H58,$J$27:$L$27,$J58:$L58)</f>
        <v>5</v>
      </c>
      <c r="P58" s="10" t="s">
        <v>32</v>
      </c>
      <c r="Q58" s="86">
        <f>I58*O58</f>
        <v>5</v>
      </c>
      <c r="R58" s="19">
        <f t="shared" ref="R58:R64" si="41">$Q58*$C58*(1-$F58)</f>
        <v>0</v>
      </c>
      <c r="S58" s="19"/>
      <c r="T58" s="19"/>
      <c r="U58" s="19"/>
      <c r="V58" s="19"/>
      <c r="W58" s="19">
        <f t="shared" ref="W58:AA64" si="42">IF(W$18&lt;$E58,0,$Q58*$D58)*(1-$F58)</f>
        <v>8000</v>
      </c>
      <c r="X58" s="19">
        <f t="shared" si="42"/>
        <v>8000</v>
      </c>
      <c r="Y58" s="19">
        <f t="shared" si="42"/>
        <v>8000</v>
      </c>
      <c r="Z58" s="19">
        <f t="shared" si="42"/>
        <v>8000</v>
      </c>
      <c r="AA58" s="19">
        <f t="shared" si="42"/>
        <v>8000</v>
      </c>
      <c r="AB58" s="20">
        <f t="shared" ref="AB58:AB64" si="43">SUM(R58:AA58)</f>
        <v>40000</v>
      </c>
    </row>
    <row r="59" spans="1:29" outlineLevel="2" x14ac:dyDescent="0.3">
      <c r="A59" s="24" t="str">
        <f t="shared" si="38"/>
        <v>VM</v>
      </c>
      <c r="B59" s="24"/>
      <c r="C59" s="27">
        <f>C29</f>
        <v>0</v>
      </c>
      <c r="D59" s="27">
        <f t="shared" si="39"/>
        <v>0</v>
      </c>
      <c r="E59" s="28">
        <f t="shared" si="39"/>
        <v>2</v>
      </c>
      <c r="F59" s="29">
        <f t="shared" si="39"/>
        <v>0.2</v>
      </c>
      <c r="G59" s="87" t="str">
        <f t="shared" si="40"/>
        <v>socket</v>
      </c>
      <c r="H59" s="87" t="str">
        <f t="shared" si="40"/>
        <v>socket</v>
      </c>
      <c r="I59" s="87">
        <f t="shared" si="40"/>
        <v>1</v>
      </c>
      <c r="J59" s="1">
        <f t="shared" ref="J59:J64" si="44">J58</f>
        <v>3</v>
      </c>
      <c r="K59" s="1">
        <f t="shared" ref="K59:K64" si="45">K58</f>
        <v>5</v>
      </c>
      <c r="L59" s="1">
        <f t="shared" ref="L59:L64" si="46">L58</f>
        <v>100</v>
      </c>
      <c r="O59">
        <f t="shared" ref="O59:O61" si="47">_xlfn.SINGLE(_xlfn.XLOOKUP($H59,$J$27:$L$27,$J59:$L59))</f>
        <v>5</v>
      </c>
      <c r="P59" s="10" t="s">
        <v>32</v>
      </c>
      <c r="Q59" s="86">
        <f t="shared" ref="Q59:Q64" si="48">I59*O59</f>
        <v>5</v>
      </c>
      <c r="R59" s="19">
        <f t="shared" si="41"/>
        <v>0</v>
      </c>
      <c r="S59" s="19"/>
      <c r="T59" s="19"/>
      <c r="U59" s="19"/>
      <c r="V59" s="19"/>
      <c r="W59" s="19">
        <f t="shared" si="42"/>
        <v>0</v>
      </c>
      <c r="X59" s="19">
        <f t="shared" si="42"/>
        <v>0</v>
      </c>
      <c r="Y59" s="19">
        <f t="shared" si="42"/>
        <v>0</v>
      </c>
      <c r="Z59" s="19">
        <f t="shared" si="42"/>
        <v>0</v>
      </c>
      <c r="AA59" s="19">
        <f t="shared" si="42"/>
        <v>0</v>
      </c>
      <c r="AB59" s="20">
        <f t="shared" si="43"/>
        <v>0</v>
      </c>
    </row>
    <row r="60" spans="1:29" outlineLevel="2" x14ac:dyDescent="0.3">
      <c r="A60" s="24" t="str">
        <f t="shared" si="38"/>
        <v>Application Server</v>
      </c>
      <c r="B60" s="24"/>
      <c r="C60" s="27">
        <f t="shared" si="39"/>
        <v>12000</v>
      </c>
      <c r="D60" s="27">
        <f t="shared" si="39"/>
        <v>2400</v>
      </c>
      <c r="E60" s="28">
        <f t="shared" si="39"/>
        <v>2</v>
      </c>
      <c r="F60" s="29">
        <f t="shared" si="39"/>
        <v>0.75</v>
      </c>
      <c r="G60" s="87" t="str">
        <f t="shared" si="40"/>
        <v>core</v>
      </c>
      <c r="H60" s="87" t="str">
        <f t="shared" si="40"/>
        <v>core</v>
      </c>
      <c r="I60" s="87">
        <f t="shared" si="40"/>
        <v>6.25E-2</v>
      </c>
      <c r="J60" s="1">
        <f t="shared" si="44"/>
        <v>3</v>
      </c>
      <c r="K60" s="1">
        <f t="shared" si="45"/>
        <v>5</v>
      </c>
      <c r="L60" s="1">
        <f t="shared" si="46"/>
        <v>100</v>
      </c>
      <c r="O60">
        <f t="shared" si="47"/>
        <v>100</v>
      </c>
      <c r="P60" s="10" t="s">
        <v>96</v>
      </c>
      <c r="Q60" s="86">
        <f t="shared" si="48"/>
        <v>6.25</v>
      </c>
      <c r="R60" s="19">
        <f t="shared" si="41"/>
        <v>18750</v>
      </c>
      <c r="S60" s="19"/>
      <c r="T60" s="19"/>
      <c r="U60" s="19"/>
      <c r="V60" s="19"/>
      <c r="W60" s="19">
        <f t="shared" si="42"/>
        <v>0</v>
      </c>
      <c r="X60" s="19">
        <f t="shared" si="42"/>
        <v>3750</v>
      </c>
      <c r="Y60" s="19">
        <f t="shared" si="42"/>
        <v>3750</v>
      </c>
      <c r="Z60" s="19">
        <f t="shared" si="42"/>
        <v>3750</v>
      </c>
      <c r="AA60" s="19">
        <f t="shared" si="42"/>
        <v>3750</v>
      </c>
      <c r="AB60" s="20">
        <f t="shared" si="43"/>
        <v>33750</v>
      </c>
    </row>
    <row r="61" spans="1:29" outlineLevel="2" x14ac:dyDescent="0.3">
      <c r="A61" s="24" t="str">
        <f t="shared" si="38"/>
        <v>DB</v>
      </c>
      <c r="B61" s="24"/>
      <c r="C61" s="27">
        <f t="shared" si="39"/>
        <v>47500</v>
      </c>
      <c r="D61" s="27">
        <f t="shared" si="39"/>
        <v>10450</v>
      </c>
      <c r="E61" s="28">
        <f t="shared" si="39"/>
        <v>2</v>
      </c>
      <c r="F61" s="29">
        <f t="shared" si="39"/>
        <v>0.75</v>
      </c>
      <c r="G61" s="87" t="str">
        <f t="shared" si="40"/>
        <v>core</v>
      </c>
      <c r="H61" s="87" t="str">
        <f t="shared" si="40"/>
        <v>core</v>
      </c>
      <c r="I61" s="87">
        <f t="shared" si="40"/>
        <v>0.5</v>
      </c>
      <c r="J61" s="1">
        <f t="shared" si="44"/>
        <v>3</v>
      </c>
      <c r="K61" s="1">
        <f t="shared" si="45"/>
        <v>5</v>
      </c>
      <c r="L61" s="1">
        <f t="shared" si="46"/>
        <v>100</v>
      </c>
      <c r="O61">
        <f t="shared" si="47"/>
        <v>100</v>
      </c>
      <c r="P61" s="10" t="s">
        <v>33</v>
      </c>
      <c r="Q61" s="86">
        <f t="shared" si="48"/>
        <v>50</v>
      </c>
      <c r="R61" s="19">
        <f t="shared" si="41"/>
        <v>593750</v>
      </c>
      <c r="S61" s="19"/>
      <c r="T61" s="19"/>
      <c r="U61" s="19"/>
      <c r="V61" s="19"/>
      <c r="W61" s="19">
        <f t="shared" si="42"/>
        <v>0</v>
      </c>
      <c r="X61" s="19">
        <f t="shared" si="42"/>
        <v>130625</v>
      </c>
      <c r="Y61" s="19">
        <f t="shared" si="42"/>
        <v>130625</v>
      </c>
      <c r="Z61" s="19">
        <f t="shared" si="42"/>
        <v>130625</v>
      </c>
      <c r="AA61" s="19">
        <f t="shared" si="42"/>
        <v>130625</v>
      </c>
      <c r="AB61" s="20">
        <f t="shared" si="43"/>
        <v>1116250</v>
      </c>
    </row>
    <row r="62" spans="1:29" outlineLevel="2" x14ac:dyDescent="0.3">
      <c r="A62" s="24" t="str">
        <f t="shared" si="38"/>
        <v>Data Replication Tools</v>
      </c>
      <c r="B62" s="24"/>
      <c r="C62" s="27">
        <f t="shared" si="39"/>
        <v>24625</v>
      </c>
      <c r="D62" s="27">
        <f t="shared" si="39"/>
        <v>5866</v>
      </c>
      <c r="E62" s="28">
        <f t="shared" si="39"/>
        <v>2</v>
      </c>
      <c r="F62" s="29">
        <f t="shared" si="39"/>
        <v>0.1</v>
      </c>
      <c r="G62" s="87" t="str">
        <f t="shared" si="40"/>
        <v>VM</v>
      </c>
      <c r="H62" s="87" t="str">
        <f t="shared" si="40"/>
        <v>VM</v>
      </c>
      <c r="I62" s="87">
        <f t="shared" si="40"/>
        <v>0.04</v>
      </c>
      <c r="J62" s="1">
        <f t="shared" si="44"/>
        <v>3</v>
      </c>
      <c r="K62" s="1">
        <f t="shared" si="45"/>
        <v>5</v>
      </c>
      <c r="L62" s="1">
        <f t="shared" si="46"/>
        <v>100</v>
      </c>
      <c r="O62">
        <f t="shared" ref="O62:P64" si="49">O32</f>
        <v>50</v>
      </c>
      <c r="P62" s="10" t="str">
        <f t="shared" si="49"/>
        <v>VM</v>
      </c>
      <c r="Q62" s="86">
        <f t="shared" si="48"/>
        <v>2</v>
      </c>
      <c r="R62" s="19">
        <f t="shared" si="41"/>
        <v>44325</v>
      </c>
      <c r="S62" s="19"/>
      <c r="T62" s="19"/>
      <c r="U62" s="19"/>
      <c r="V62" s="19"/>
      <c r="W62" s="19">
        <f t="shared" si="42"/>
        <v>0</v>
      </c>
      <c r="X62" s="19">
        <f t="shared" si="42"/>
        <v>10558.800000000001</v>
      </c>
      <c r="Y62" s="19">
        <f t="shared" si="42"/>
        <v>10558.800000000001</v>
      </c>
      <c r="Z62" s="19">
        <f t="shared" si="42"/>
        <v>10558.800000000001</v>
      </c>
      <c r="AA62" s="19">
        <f t="shared" si="42"/>
        <v>10558.800000000001</v>
      </c>
      <c r="AB62" s="20">
        <f t="shared" si="43"/>
        <v>86560.200000000012</v>
      </c>
    </row>
    <row r="63" spans="1:29" outlineLevel="2" x14ac:dyDescent="0.3">
      <c r="A63" s="24" t="str">
        <f t="shared" si="38"/>
        <v>Monitoring Tools</v>
      </c>
      <c r="B63" s="24"/>
      <c r="C63" s="27">
        <v>0</v>
      </c>
      <c r="D63" s="27">
        <v>0</v>
      </c>
      <c r="E63" s="28">
        <f t="shared" si="39"/>
        <v>2</v>
      </c>
      <c r="F63" s="29">
        <f t="shared" si="39"/>
        <v>0.1</v>
      </c>
      <c r="G63" s="87" t="str">
        <f t="shared" si="40"/>
        <v>nodes</v>
      </c>
      <c r="H63" s="87" t="str">
        <f t="shared" si="40"/>
        <v>nodes</v>
      </c>
      <c r="I63" s="87">
        <f t="shared" si="40"/>
        <v>1</v>
      </c>
      <c r="J63" s="1">
        <f t="shared" si="44"/>
        <v>3</v>
      </c>
      <c r="K63" s="1">
        <f t="shared" si="45"/>
        <v>5</v>
      </c>
      <c r="L63" s="1">
        <f t="shared" si="46"/>
        <v>100</v>
      </c>
      <c r="O63">
        <f t="shared" si="49"/>
        <v>1</v>
      </c>
      <c r="P63" s="10" t="str">
        <f t="shared" si="49"/>
        <v>nodes</v>
      </c>
      <c r="Q63" s="86">
        <f t="shared" si="48"/>
        <v>1</v>
      </c>
      <c r="R63" s="19">
        <f t="shared" si="41"/>
        <v>0</v>
      </c>
      <c r="S63" s="19"/>
      <c r="T63" s="19"/>
      <c r="U63" s="19"/>
      <c r="V63" s="19"/>
      <c r="W63" s="19">
        <f t="shared" si="42"/>
        <v>0</v>
      </c>
      <c r="X63" s="19">
        <f t="shared" si="42"/>
        <v>0</v>
      </c>
      <c r="Y63" s="19">
        <f t="shared" si="42"/>
        <v>0</v>
      </c>
      <c r="Z63" s="19">
        <f t="shared" si="42"/>
        <v>0</v>
      </c>
      <c r="AA63" s="19">
        <f t="shared" si="42"/>
        <v>0</v>
      </c>
      <c r="AB63" s="20">
        <f t="shared" si="43"/>
        <v>0</v>
      </c>
    </row>
    <row r="64" spans="1:29" outlineLevel="2" x14ac:dyDescent="0.3">
      <c r="A64" s="24" t="str">
        <f t="shared" si="38"/>
        <v>Security Tools</v>
      </c>
      <c r="B64" s="24"/>
      <c r="C64" s="27">
        <v>0</v>
      </c>
      <c r="D64" s="27" t="str">
        <f t="shared" si="39"/>
        <v>-</v>
      </c>
      <c r="E64" s="28" t="str">
        <f t="shared" si="39"/>
        <v>-</v>
      </c>
      <c r="F64" s="29">
        <f t="shared" si="39"/>
        <v>0.2</v>
      </c>
      <c r="G64" s="87" t="str">
        <f t="shared" si="40"/>
        <v>n/a</v>
      </c>
      <c r="H64" s="87" t="str">
        <f t="shared" si="40"/>
        <v>n/a</v>
      </c>
      <c r="I64" s="87">
        <f t="shared" si="40"/>
        <v>1</v>
      </c>
      <c r="J64" s="1">
        <f t="shared" si="44"/>
        <v>3</v>
      </c>
      <c r="K64" s="1">
        <f t="shared" si="45"/>
        <v>5</v>
      </c>
      <c r="L64" s="1">
        <f t="shared" si="46"/>
        <v>100</v>
      </c>
      <c r="O64">
        <f t="shared" si="49"/>
        <v>1</v>
      </c>
      <c r="P64" s="10" t="str">
        <f t="shared" si="49"/>
        <v>n/a</v>
      </c>
      <c r="Q64" s="86">
        <f t="shared" si="48"/>
        <v>1</v>
      </c>
      <c r="R64" s="19">
        <f t="shared" si="41"/>
        <v>0</v>
      </c>
      <c r="S64" s="19"/>
      <c r="T64" s="19"/>
      <c r="U64" s="19"/>
      <c r="V64" s="19"/>
      <c r="W64" s="19">
        <f t="shared" si="42"/>
        <v>0</v>
      </c>
      <c r="X64" s="19">
        <f t="shared" si="42"/>
        <v>0</v>
      </c>
      <c r="Y64" s="19">
        <f t="shared" si="42"/>
        <v>0</v>
      </c>
      <c r="Z64" s="19">
        <f t="shared" si="42"/>
        <v>0</v>
      </c>
      <c r="AA64" s="19">
        <f t="shared" si="42"/>
        <v>0</v>
      </c>
      <c r="AB64" s="20">
        <f t="shared" si="43"/>
        <v>0</v>
      </c>
    </row>
    <row r="65" spans="1:29" s="39" customFormat="1" outlineLevel="1" x14ac:dyDescent="0.3">
      <c r="Q65" s="64" t="s">
        <v>100</v>
      </c>
      <c r="R65" s="61">
        <f t="shared" ref="R65:AB65" si="50">SUM(R58:R64)</f>
        <v>656825</v>
      </c>
      <c r="S65" s="61">
        <f t="shared" si="50"/>
        <v>0</v>
      </c>
      <c r="T65" s="61">
        <f t="shared" si="50"/>
        <v>0</v>
      </c>
      <c r="U65" s="61">
        <f t="shared" si="50"/>
        <v>0</v>
      </c>
      <c r="V65" s="61">
        <f t="shared" si="50"/>
        <v>0</v>
      </c>
      <c r="W65" s="61">
        <f t="shared" si="50"/>
        <v>8000</v>
      </c>
      <c r="X65" s="61">
        <f t="shared" si="50"/>
        <v>152933.79999999999</v>
      </c>
      <c r="Y65" s="61">
        <f t="shared" si="50"/>
        <v>152933.79999999999</v>
      </c>
      <c r="Z65" s="61">
        <f t="shared" si="50"/>
        <v>152933.79999999999</v>
      </c>
      <c r="AA65" s="61">
        <f t="shared" si="50"/>
        <v>152933.79999999999</v>
      </c>
      <c r="AB65" s="62">
        <f t="shared" si="50"/>
        <v>1276560.2</v>
      </c>
    </row>
    <row r="66" spans="1:29" ht="15" outlineLevel="1" thickBot="1" x14ac:dyDescent="0.35"/>
    <row r="67" spans="1:29" ht="41.25" customHeight="1" outlineLevel="1" thickBot="1" x14ac:dyDescent="0.35">
      <c r="A67" s="48" t="s">
        <v>10</v>
      </c>
      <c r="C67" s="11" t="s">
        <v>64</v>
      </c>
      <c r="D67" s="11" t="s">
        <v>21</v>
      </c>
      <c r="E67" s="11" t="str">
        <f>E57</f>
        <v>Starting Year of yearly charges</v>
      </c>
      <c r="F67" s="11" t="s">
        <v>22</v>
      </c>
      <c r="G67" s="11" t="s">
        <v>65</v>
      </c>
      <c r="H67" s="11" t="s">
        <v>94</v>
      </c>
      <c r="I67" s="83" t="s">
        <v>95</v>
      </c>
      <c r="J67" s="83" t="s">
        <v>34</v>
      </c>
      <c r="K67" s="83" t="s">
        <v>32</v>
      </c>
      <c r="L67" s="83" t="s">
        <v>33</v>
      </c>
      <c r="O67" s="5" t="s">
        <v>97</v>
      </c>
      <c r="P67" s="11" t="s">
        <v>65</v>
      </c>
      <c r="Q67" s="10" t="s">
        <v>66</v>
      </c>
      <c r="R67" s="53">
        <v>1</v>
      </c>
      <c r="S67" s="54">
        <v>2</v>
      </c>
      <c r="T67" s="54">
        <v>3</v>
      </c>
      <c r="U67" s="54">
        <v>4</v>
      </c>
      <c r="V67" s="55">
        <v>5</v>
      </c>
      <c r="W67" s="53">
        <v>1</v>
      </c>
      <c r="X67" s="54">
        <v>2</v>
      </c>
      <c r="Y67" s="54">
        <v>3</v>
      </c>
      <c r="Z67" s="54">
        <v>4</v>
      </c>
      <c r="AA67" s="55">
        <v>5</v>
      </c>
      <c r="AB67" s="57" t="s">
        <v>19</v>
      </c>
      <c r="AC67" s="10"/>
    </row>
    <row r="68" spans="1:29" outlineLevel="2" x14ac:dyDescent="0.3">
      <c r="A68" s="24" t="str">
        <f t="shared" ref="A68:A74" si="51">A28</f>
        <v>OS</v>
      </c>
      <c r="B68" s="24"/>
      <c r="C68" s="27">
        <f t="shared" ref="C68:F74" si="52">C28</f>
        <v>0</v>
      </c>
      <c r="D68" s="27">
        <f t="shared" si="52"/>
        <v>2000</v>
      </c>
      <c r="E68" s="28">
        <f t="shared" si="52"/>
        <v>1</v>
      </c>
      <c r="F68" s="29">
        <f t="shared" si="52"/>
        <v>0.2</v>
      </c>
      <c r="G68" s="87" t="str">
        <f t="shared" ref="G68:I74" si="53">G58</f>
        <v>socket</v>
      </c>
      <c r="H68" s="87" t="str">
        <f t="shared" si="53"/>
        <v>socket</v>
      </c>
      <c r="I68" s="87">
        <f t="shared" si="53"/>
        <v>1</v>
      </c>
      <c r="J68" s="36">
        <f>$O$23</f>
        <v>10</v>
      </c>
      <c r="K68" s="36">
        <f>$P$23</f>
        <v>13</v>
      </c>
      <c r="L68" s="36">
        <f>$Q$23</f>
        <v>296</v>
      </c>
      <c r="O68">
        <f>_xlfn.XLOOKUP($H68,$J$27:$L$27,$J68:$L68)</f>
        <v>13</v>
      </c>
      <c r="P68" s="10" t="s">
        <v>32</v>
      </c>
      <c r="Q68" s="86">
        <f>I68*O68</f>
        <v>13</v>
      </c>
      <c r="R68" s="19">
        <f t="shared" ref="R68:R74" si="54">$Q68*$C68*(1-$F68)</f>
        <v>0</v>
      </c>
      <c r="S68" s="19"/>
      <c r="T68" s="19"/>
      <c r="U68" s="19"/>
      <c r="V68" s="19"/>
      <c r="W68" s="19">
        <f t="shared" ref="W68:AA74" si="55">IF(W$18&lt;$E68,0,$Q68*$D68)*(1-$F68)</f>
        <v>20800</v>
      </c>
      <c r="X68" s="19">
        <f t="shared" si="55"/>
        <v>20800</v>
      </c>
      <c r="Y68" s="19">
        <f t="shared" si="55"/>
        <v>20800</v>
      </c>
      <c r="Z68" s="19">
        <f t="shared" si="55"/>
        <v>20800</v>
      </c>
      <c r="AA68" s="19">
        <f t="shared" si="55"/>
        <v>20800</v>
      </c>
      <c r="AB68" s="20">
        <f t="shared" ref="AB68:AB74" si="56">SUM(R68:AA68)</f>
        <v>104000</v>
      </c>
    </row>
    <row r="69" spans="1:29" outlineLevel="2" x14ac:dyDescent="0.3">
      <c r="A69" s="24" t="str">
        <f t="shared" si="51"/>
        <v>VM</v>
      </c>
      <c r="B69" s="24"/>
      <c r="C69" s="27">
        <f t="shared" si="52"/>
        <v>0</v>
      </c>
      <c r="D69" s="27">
        <f t="shared" si="52"/>
        <v>0</v>
      </c>
      <c r="E69" s="28">
        <f t="shared" si="52"/>
        <v>2</v>
      </c>
      <c r="F69" s="29">
        <f t="shared" si="52"/>
        <v>0.2</v>
      </c>
      <c r="G69" s="87" t="str">
        <f t="shared" si="53"/>
        <v>socket</v>
      </c>
      <c r="H69" s="87" t="str">
        <f t="shared" si="53"/>
        <v>socket</v>
      </c>
      <c r="I69" s="87">
        <f t="shared" si="53"/>
        <v>1</v>
      </c>
      <c r="J69" s="1">
        <f t="shared" ref="J69:J74" si="57">J68</f>
        <v>10</v>
      </c>
      <c r="K69" s="1">
        <f t="shared" ref="K69:K74" si="58">K68</f>
        <v>13</v>
      </c>
      <c r="L69" s="1">
        <f t="shared" ref="L69:L74" si="59">L68</f>
        <v>296</v>
      </c>
      <c r="O69">
        <f t="shared" ref="O69:O71" si="60">_xlfn.SINGLE(_xlfn.XLOOKUP($H69,$J$27:$L$27,$J69:$L69))</f>
        <v>13</v>
      </c>
      <c r="P69" s="10" t="s">
        <v>32</v>
      </c>
      <c r="Q69" s="86">
        <f t="shared" ref="Q69:Q74" si="61">I69*O69</f>
        <v>13</v>
      </c>
      <c r="R69" s="19">
        <f t="shared" si="54"/>
        <v>0</v>
      </c>
      <c r="S69" s="19"/>
      <c r="T69" s="19"/>
      <c r="U69" s="19"/>
      <c r="V69" s="19"/>
      <c r="W69" s="19">
        <f t="shared" si="55"/>
        <v>0</v>
      </c>
      <c r="X69" s="19">
        <f t="shared" si="55"/>
        <v>0</v>
      </c>
      <c r="Y69" s="19">
        <f t="shared" si="55"/>
        <v>0</v>
      </c>
      <c r="Z69" s="19">
        <f t="shared" si="55"/>
        <v>0</v>
      </c>
      <c r="AA69" s="19">
        <f t="shared" si="55"/>
        <v>0</v>
      </c>
      <c r="AB69" s="20">
        <f t="shared" si="56"/>
        <v>0</v>
      </c>
    </row>
    <row r="70" spans="1:29" outlineLevel="2" x14ac:dyDescent="0.3">
      <c r="A70" s="24" t="str">
        <f t="shared" si="51"/>
        <v>Application Server</v>
      </c>
      <c r="B70" s="24"/>
      <c r="C70" s="27">
        <f t="shared" si="52"/>
        <v>12000</v>
      </c>
      <c r="D70" s="27">
        <f t="shared" si="52"/>
        <v>2400</v>
      </c>
      <c r="E70" s="28">
        <f t="shared" si="52"/>
        <v>2</v>
      </c>
      <c r="F70" s="29">
        <f t="shared" si="52"/>
        <v>0.75</v>
      </c>
      <c r="G70" s="87" t="str">
        <f t="shared" si="53"/>
        <v>core</v>
      </c>
      <c r="H70" s="87" t="str">
        <f t="shared" si="53"/>
        <v>core</v>
      </c>
      <c r="I70" s="87">
        <f t="shared" si="53"/>
        <v>6.25E-2</v>
      </c>
      <c r="J70" s="1">
        <f t="shared" si="57"/>
        <v>10</v>
      </c>
      <c r="K70" s="1">
        <f t="shared" si="58"/>
        <v>13</v>
      </c>
      <c r="L70" s="1">
        <f t="shared" si="59"/>
        <v>296</v>
      </c>
      <c r="O70">
        <f t="shared" si="60"/>
        <v>296</v>
      </c>
      <c r="P70" s="10" t="s">
        <v>96</v>
      </c>
      <c r="Q70" s="86">
        <f t="shared" si="61"/>
        <v>18.5</v>
      </c>
      <c r="R70" s="19">
        <f t="shared" si="54"/>
        <v>55500</v>
      </c>
      <c r="S70" s="19"/>
      <c r="T70" s="19"/>
      <c r="U70" s="19"/>
      <c r="V70" s="19"/>
      <c r="W70" s="19">
        <f t="shared" si="55"/>
        <v>0</v>
      </c>
      <c r="X70" s="19">
        <f t="shared" si="55"/>
        <v>11100</v>
      </c>
      <c r="Y70" s="19">
        <f t="shared" si="55"/>
        <v>11100</v>
      </c>
      <c r="Z70" s="19">
        <f t="shared" si="55"/>
        <v>11100</v>
      </c>
      <c r="AA70" s="19">
        <f t="shared" si="55"/>
        <v>11100</v>
      </c>
      <c r="AB70" s="20">
        <f t="shared" si="56"/>
        <v>99900</v>
      </c>
    </row>
    <row r="71" spans="1:29" outlineLevel="2" x14ac:dyDescent="0.3">
      <c r="A71" s="24" t="str">
        <f t="shared" si="51"/>
        <v>DB</v>
      </c>
      <c r="B71" s="24"/>
      <c r="C71" s="27">
        <f t="shared" si="52"/>
        <v>47500</v>
      </c>
      <c r="D71" s="27">
        <f t="shared" si="52"/>
        <v>10450</v>
      </c>
      <c r="E71" s="28">
        <f t="shared" si="52"/>
        <v>2</v>
      </c>
      <c r="F71" s="29">
        <f t="shared" si="52"/>
        <v>0.75</v>
      </c>
      <c r="G71" s="87" t="str">
        <f t="shared" si="53"/>
        <v>core</v>
      </c>
      <c r="H71" s="87" t="str">
        <f t="shared" si="53"/>
        <v>core</v>
      </c>
      <c r="I71" s="87">
        <f t="shared" si="53"/>
        <v>0.5</v>
      </c>
      <c r="J71" s="1">
        <f t="shared" si="57"/>
        <v>10</v>
      </c>
      <c r="K71" s="1">
        <f t="shared" si="58"/>
        <v>13</v>
      </c>
      <c r="L71" s="1">
        <f t="shared" si="59"/>
        <v>296</v>
      </c>
      <c r="O71">
        <f t="shared" si="60"/>
        <v>296</v>
      </c>
      <c r="P71" s="10" t="s">
        <v>33</v>
      </c>
      <c r="Q71" s="86">
        <f t="shared" si="61"/>
        <v>148</v>
      </c>
      <c r="R71" s="19">
        <f t="shared" si="54"/>
        <v>1757500</v>
      </c>
      <c r="S71" s="19"/>
      <c r="T71" s="19"/>
      <c r="U71" s="19"/>
      <c r="V71" s="19"/>
      <c r="W71" s="19">
        <f t="shared" si="55"/>
        <v>0</v>
      </c>
      <c r="X71" s="19">
        <f t="shared" si="55"/>
        <v>386650</v>
      </c>
      <c r="Y71" s="19">
        <f t="shared" si="55"/>
        <v>386650</v>
      </c>
      <c r="Z71" s="19">
        <f t="shared" si="55"/>
        <v>386650</v>
      </c>
      <c r="AA71" s="19">
        <f t="shared" si="55"/>
        <v>386650</v>
      </c>
      <c r="AB71" s="20">
        <f t="shared" si="56"/>
        <v>3304100</v>
      </c>
    </row>
    <row r="72" spans="1:29" outlineLevel="2" x14ac:dyDescent="0.3">
      <c r="A72" s="24" t="str">
        <f t="shared" si="51"/>
        <v>Data Replication Tools</v>
      </c>
      <c r="B72" s="24"/>
      <c r="C72" s="27">
        <f t="shared" si="52"/>
        <v>24625</v>
      </c>
      <c r="D72" s="27">
        <f t="shared" si="52"/>
        <v>5866</v>
      </c>
      <c r="E72" s="28">
        <f t="shared" si="52"/>
        <v>2</v>
      </c>
      <c r="F72" s="29">
        <f t="shared" si="52"/>
        <v>0.1</v>
      </c>
      <c r="G72" s="87" t="str">
        <f t="shared" si="53"/>
        <v>VM</v>
      </c>
      <c r="H72" s="87" t="str">
        <f t="shared" si="53"/>
        <v>VM</v>
      </c>
      <c r="I72" s="87">
        <f t="shared" si="53"/>
        <v>0.04</v>
      </c>
      <c r="J72" s="1">
        <f t="shared" si="57"/>
        <v>10</v>
      </c>
      <c r="K72" s="1">
        <f t="shared" si="58"/>
        <v>13</v>
      </c>
      <c r="L72" s="1">
        <f t="shared" si="59"/>
        <v>296</v>
      </c>
      <c r="O72">
        <f>O42</f>
        <v>50</v>
      </c>
      <c r="P72" s="10" t="str">
        <f>P32</f>
        <v>VM</v>
      </c>
      <c r="Q72" s="86">
        <f t="shared" si="61"/>
        <v>2</v>
      </c>
      <c r="R72" s="19">
        <f t="shared" si="54"/>
        <v>44325</v>
      </c>
      <c r="S72" s="19"/>
      <c r="T72" s="19"/>
      <c r="U72" s="19"/>
      <c r="V72" s="19"/>
      <c r="W72" s="19">
        <f t="shared" si="55"/>
        <v>0</v>
      </c>
      <c r="X72" s="19">
        <f t="shared" si="55"/>
        <v>10558.800000000001</v>
      </c>
      <c r="Y72" s="19">
        <f t="shared" si="55"/>
        <v>10558.800000000001</v>
      </c>
      <c r="Z72" s="19">
        <f t="shared" si="55"/>
        <v>10558.800000000001</v>
      </c>
      <c r="AA72" s="19">
        <f t="shared" si="55"/>
        <v>10558.800000000001</v>
      </c>
      <c r="AB72" s="20">
        <f t="shared" si="56"/>
        <v>86560.200000000012</v>
      </c>
    </row>
    <row r="73" spans="1:29" outlineLevel="2" x14ac:dyDescent="0.3">
      <c r="A73" s="24" t="str">
        <f t="shared" si="51"/>
        <v>Monitoring Tools</v>
      </c>
      <c r="B73" s="24"/>
      <c r="C73" s="27">
        <f t="shared" si="52"/>
        <v>3495</v>
      </c>
      <c r="D73" s="27">
        <f t="shared" si="52"/>
        <v>2575</v>
      </c>
      <c r="E73" s="28">
        <f t="shared" si="52"/>
        <v>2</v>
      </c>
      <c r="F73" s="29">
        <f t="shared" si="52"/>
        <v>0.1</v>
      </c>
      <c r="G73" s="87" t="str">
        <f t="shared" si="53"/>
        <v>nodes</v>
      </c>
      <c r="H73" s="87" t="str">
        <f t="shared" si="53"/>
        <v>nodes</v>
      </c>
      <c r="I73" s="87">
        <f t="shared" si="53"/>
        <v>1</v>
      </c>
      <c r="J73" s="1">
        <f t="shared" si="57"/>
        <v>10</v>
      </c>
      <c r="K73" s="1">
        <f t="shared" si="58"/>
        <v>13</v>
      </c>
      <c r="L73" s="1">
        <f t="shared" si="59"/>
        <v>296</v>
      </c>
      <c r="O73">
        <f>O33</f>
        <v>1</v>
      </c>
      <c r="P73" s="10" t="str">
        <f>P33</f>
        <v>nodes</v>
      </c>
      <c r="Q73" s="86">
        <f t="shared" si="61"/>
        <v>1</v>
      </c>
      <c r="R73" s="19">
        <f t="shared" si="54"/>
        <v>3145.5</v>
      </c>
      <c r="S73" s="19"/>
      <c r="T73" s="19"/>
      <c r="U73" s="19"/>
      <c r="V73" s="19"/>
      <c r="W73" s="19">
        <f t="shared" si="55"/>
        <v>0</v>
      </c>
      <c r="X73" s="19">
        <f t="shared" si="55"/>
        <v>2317.5</v>
      </c>
      <c r="Y73" s="19">
        <f t="shared" si="55"/>
        <v>2317.5</v>
      </c>
      <c r="Z73" s="19">
        <f t="shared" si="55"/>
        <v>2317.5</v>
      </c>
      <c r="AA73" s="19">
        <f t="shared" si="55"/>
        <v>2317.5</v>
      </c>
      <c r="AB73" s="20">
        <f t="shared" si="56"/>
        <v>12415.5</v>
      </c>
    </row>
    <row r="74" spans="1:29" outlineLevel="2" x14ac:dyDescent="0.3">
      <c r="A74" s="24" t="str">
        <f t="shared" si="51"/>
        <v>Security Tools</v>
      </c>
      <c r="B74" s="24"/>
      <c r="C74" s="27">
        <f t="shared" si="52"/>
        <v>17775</v>
      </c>
      <c r="D74" s="27" t="str">
        <f t="shared" si="52"/>
        <v>-</v>
      </c>
      <c r="E74" s="28" t="str">
        <f t="shared" si="52"/>
        <v>-</v>
      </c>
      <c r="F74" s="29">
        <f t="shared" si="52"/>
        <v>0.2</v>
      </c>
      <c r="G74" s="87" t="str">
        <f t="shared" si="53"/>
        <v>n/a</v>
      </c>
      <c r="H74" s="87" t="str">
        <f t="shared" si="53"/>
        <v>n/a</v>
      </c>
      <c r="I74" s="87">
        <f t="shared" si="53"/>
        <v>1</v>
      </c>
      <c r="J74" s="1">
        <f t="shared" si="57"/>
        <v>10</v>
      </c>
      <c r="K74" s="1">
        <f t="shared" si="58"/>
        <v>13</v>
      </c>
      <c r="L74" s="1">
        <f t="shared" si="59"/>
        <v>296</v>
      </c>
      <c r="O74">
        <f>O34</f>
        <v>1</v>
      </c>
      <c r="P74" s="10" t="str">
        <f>P34</f>
        <v>n/a</v>
      </c>
      <c r="Q74" s="86">
        <f t="shared" si="61"/>
        <v>1</v>
      </c>
      <c r="R74" s="19">
        <f t="shared" si="54"/>
        <v>14220</v>
      </c>
      <c r="S74" s="19"/>
      <c r="T74" s="19"/>
      <c r="U74" s="19"/>
      <c r="V74" s="19"/>
      <c r="W74" s="19">
        <f t="shared" si="55"/>
        <v>0</v>
      </c>
      <c r="X74" s="19">
        <f t="shared" si="55"/>
        <v>0</v>
      </c>
      <c r="Y74" s="19">
        <f t="shared" si="55"/>
        <v>0</v>
      </c>
      <c r="Z74" s="19">
        <f t="shared" si="55"/>
        <v>0</v>
      </c>
      <c r="AA74" s="19">
        <f t="shared" si="55"/>
        <v>0</v>
      </c>
      <c r="AB74" s="20">
        <f t="shared" si="56"/>
        <v>14220</v>
      </c>
    </row>
    <row r="75" spans="1:29" s="39" customFormat="1" outlineLevel="1" x14ac:dyDescent="0.3">
      <c r="Q75" s="64" t="s">
        <v>10</v>
      </c>
      <c r="R75" s="61">
        <f t="shared" ref="R75:AB75" si="62">SUM(R68:R74)</f>
        <v>1874690.5</v>
      </c>
      <c r="S75" s="61">
        <f t="shared" si="62"/>
        <v>0</v>
      </c>
      <c r="T75" s="61">
        <f t="shared" si="62"/>
        <v>0</v>
      </c>
      <c r="U75" s="61">
        <f t="shared" si="62"/>
        <v>0</v>
      </c>
      <c r="V75" s="61">
        <f t="shared" si="62"/>
        <v>0</v>
      </c>
      <c r="W75" s="61">
        <f t="shared" si="62"/>
        <v>20800</v>
      </c>
      <c r="X75" s="61">
        <f t="shared" si="62"/>
        <v>431426.3</v>
      </c>
      <c r="Y75" s="61">
        <f t="shared" si="62"/>
        <v>431426.3</v>
      </c>
      <c r="Z75" s="61">
        <f t="shared" si="62"/>
        <v>431426.3</v>
      </c>
      <c r="AA75" s="61">
        <f t="shared" si="62"/>
        <v>431426.3</v>
      </c>
      <c r="AB75" s="62">
        <f t="shared" si="62"/>
        <v>3621195.7</v>
      </c>
    </row>
    <row r="76" spans="1:29" outlineLevel="1" x14ac:dyDescent="0.3"/>
    <row r="77" spans="1:29" x14ac:dyDescent="0.3">
      <c r="O77" s="64" t="s">
        <v>72</v>
      </c>
      <c r="P77" s="8"/>
      <c r="R77" s="62">
        <f>R35+R45+R55+R65+R75</f>
        <v>4494856</v>
      </c>
      <c r="S77" s="62">
        <f t="shared" ref="S77:AB77" si="63">S35+S45+S55+S65+S75</f>
        <v>0</v>
      </c>
      <c r="T77" s="62">
        <f t="shared" si="63"/>
        <v>0</v>
      </c>
      <c r="U77" s="62">
        <f t="shared" si="63"/>
        <v>0</v>
      </c>
      <c r="V77" s="62">
        <f t="shared" si="63"/>
        <v>0</v>
      </c>
      <c r="W77" s="62">
        <f t="shared" si="63"/>
        <v>52800</v>
      </c>
      <c r="X77" s="62">
        <f t="shared" si="63"/>
        <v>1040104</v>
      </c>
      <c r="Y77" s="62">
        <f t="shared" si="63"/>
        <v>1040104</v>
      </c>
      <c r="Z77" s="62">
        <f t="shared" si="63"/>
        <v>1040104</v>
      </c>
      <c r="AA77" s="62">
        <f t="shared" si="63"/>
        <v>1040104</v>
      </c>
      <c r="AB77" s="62">
        <f t="shared" si="63"/>
        <v>8708072</v>
      </c>
      <c r="AC77" s="5" t="s">
        <v>19</v>
      </c>
    </row>
    <row r="79" spans="1:29" s="60" customFormat="1" ht="28.5" customHeight="1" thickBot="1" x14ac:dyDescent="0.35">
      <c r="A79" s="58" t="s">
        <v>3</v>
      </c>
      <c r="B79" s="58"/>
      <c r="R79" s="59"/>
      <c r="S79" s="59"/>
      <c r="T79" s="59"/>
      <c r="U79" s="59"/>
      <c r="V79" s="59"/>
      <c r="W79" s="59"/>
      <c r="X79" s="59"/>
      <c r="Y79" s="59"/>
      <c r="Z79" s="59"/>
      <c r="AA79" s="59"/>
      <c r="AB79" s="59"/>
      <c r="AC79" s="59"/>
    </row>
    <row r="80" spans="1:29" ht="29.4" outlineLevel="1" thickBot="1" x14ac:dyDescent="0.35">
      <c r="A80" s="5" t="s">
        <v>3</v>
      </c>
      <c r="B80" s="5"/>
      <c r="N80" s="10"/>
      <c r="O80" s="18" t="s">
        <v>17</v>
      </c>
      <c r="P80" s="7" t="s">
        <v>78</v>
      </c>
      <c r="R80" s="53">
        <v>1</v>
      </c>
      <c r="S80" s="54">
        <v>2</v>
      </c>
      <c r="T80" s="54">
        <v>3</v>
      </c>
      <c r="U80" s="54">
        <v>4</v>
      </c>
      <c r="V80" s="55">
        <v>5</v>
      </c>
      <c r="W80" s="53">
        <v>1</v>
      </c>
      <c r="X80" s="54">
        <v>2</v>
      </c>
      <c r="Y80" s="54">
        <v>3</v>
      </c>
      <c r="Z80" s="54">
        <v>4</v>
      </c>
      <c r="AA80" s="55">
        <v>5</v>
      </c>
      <c r="AB80" s="57" t="s">
        <v>19</v>
      </c>
    </row>
    <row r="81" spans="1:29" outlineLevel="1" x14ac:dyDescent="0.3">
      <c r="A81" t="s">
        <v>80</v>
      </c>
      <c r="D81" s="13">
        <v>30</v>
      </c>
      <c r="E81" t="s">
        <v>73</v>
      </c>
      <c r="N81" s="14" t="s">
        <v>6</v>
      </c>
      <c r="O81" s="33">
        <f>$O$19</f>
        <v>5</v>
      </c>
      <c r="P81" s="9">
        <f>$O81/$D$81</f>
        <v>0.16666666666666666</v>
      </c>
      <c r="R81" s="19"/>
      <c r="S81" s="19"/>
      <c r="T81" s="19"/>
      <c r="U81" s="19"/>
      <c r="V81" s="19"/>
      <c r="W81" s="19">
        <f>$D$82*$P81</f>
        <v>16666.666666666664</v>
      </c>
      <c r="X81" s="19">
        <f t="shared" ref="X81:AA85" si="64">$D$82*$P81</f>
        <v>16666.666666666664</v>
      </c>
      <c r="Y81" s="19">
        <f t="shared" si="64"/>
        <v>16666.666666666664</v>
      </c>
      <c r="Z81" s="19">
        <f t="shared" si="64"/>
        <v>16666.666666666664</v>
      </c>
      <c r="AA81" s="19">
        <f t="shared" si="64"/>
        <v>16666.666666666664</v>
      </c>
      <c r="AB81" s="20">
        <f>SUM(R81:AA81)</f>
        <v>83333.333333333314</v>
      </c>
      <c r="AC81" s="1" t="s">
        <v>6</v>
      </c>
    </row>
    <row r="82" spans="1:29" outlineLevel="1" x14ac:dyDescent="0.3">
      <c r="A82" t="s">
        <v>35</v>
      </c>
      <c r="D82" s="26">
        <v>100000</v>
      </c>
      <c r="N82" s="14" t="s">
        <v>7</v>
      </c>
      <c r="O82" s="33">
        <f>$O$20</f>
        <v>2</v>
      </c>
      <c r="P82" s="9">
        <f>$O82/$D$81</f>
        <v>6.6666666666666666E-2</v>
      </c>
      <c r="R82" s="19"/>
      <c r="S82" s="19"/>
      <c r="T82" s="19"/>
      <c r="U82" s="19"/>
      <c r="V82" s="19"/>
      <c r="W82" s="19">
        <f>$D$82*$P82</f>
        <v>6666.666666666667</v>
      </c>
      <c r="X82" s="19">
        <f t="shared" si="64"/>
        <v>6666.666666666667</v>
      </c>
      <c r="Y82" s="19">
        <f t="shared" si="64"/>
        <v>6666.666666666667</v>
      </c>
      <c r="Z82" s="19">
        <f t="shared" si="64"/>
        <v>6666.666666666667</v>
      </c>
      <c r="AA82" s="19">
        <f t="shared" si="64"/>
        <v>6666.666666666667</v>
      </c>
      <c r="AB82" s="20">
        <f>SUM(R82:AA82)</f>
        <v>33333.333333333336</v>
      </c>
      <c r="AC82" s="1" t="s">
        <v>7</v>
      </c>
    </row>
    <row r="83" spans="1:29" outlineLevel="1" x14ac:dyDescent="0.3">
      <c r="J83" s="63"/>
      <c r="N83" s="14" t="s">
        <v>8</v>
      </c>
      <c r="O83" s="33">
        <f>$O$21</f>
        <v>2</v>
      </c>
      <c r="P83" s="9">
        <f>$O83/$D$81</f>
        <v>6.6666666666666666E-2</v>
      </c>
      <c r="R83" s="19"/>
      <c r="S83" s="19"/>
      <c r="T83" s="19"/>
      <c r="U83" s="19"/>
      <c r="V83" s="19"/>
      <c r="W83" s="19">
        <f>$D$82*$P83</f>
        <v>6666.666666666667</v>
      </c>
      <c r="X83" s="19">
        <f t="shared" si="64"/>
        <v>6666.666666666667</v>
      </c>
      <c r="Y83" s="19">
        <f t="shared" si="64"/>
        <v>6666.666666666667</v>
      </c>
      <c r="Z83" s="19">
        <f t="shared" si="64"/>
        <v>6666.666666666667</v>
      </c>
      <c r="AA83" s="19">
        <f t="shared" si="64"/>
        <v>6666.666666666667</v>
      </c>
      <c r="AB83" s="20">
        <f>SUM(R83:AA83)</f>
        <v>33333.333333333336</v>
      </c>
      <c r="AC83" s="1" t="s">
        <v>8</v>
      </c>
    </row>
    <row r="84" spans="1:29" outlineLevel="1" x14ac:dyDescent="0.3">
      <c r="N84" s="14" t="s">
        <v>9</v>
      </c>
      <c r="O84" s="33">
        <f>$O$22</f>
        <v>3</v>
      </c>
      <c r="P84" s="9">
        <f>$O84/$D$81</f>
        <v>0.1</v>
      </c>
      <c r="R84" s="19"/>
      <c r="S84" s="19"/>
      <c r="T84" s="19"/>
      <c r="U84" s="19"/>
      <c r="V84" s="19"/>
      <c r="W84" s="19">
        <f>$D$82*$P84</f>
        <v>10000</v>
      </c>
      <c r="X84" s="19">
        <f t="shared" si="64"/>
        <v>10000</v>
      </c>
      <c r="Y84" s="19">
        <f t="shared" si="64"/>
        <v>10000</v>
      </c>
      <c r="Z84" s="19">
        <f t="shared" si="64"/>
        <v>10000</v>
      </c>
      <c r="AA84" s="19">
        <f t="shared" si="64"/>
        <v>10000</v>
      </c>
      <c r="AB84" s="20">
        <f>SUM(R84:AA84)</f>
        <v>50000</v>
      </c>
      <c r="AC84" s="1" t="s">
        <v>9</v>
      </c>
    </row>
    <row r="85" spans="1:29" outlineLevel="1" x14ac:dyDescent="0.3">
      <c r="N85" s="14" t="s">
        <v>10</v>
      </c>
      <c r="O85" s="33">
        <f>$O$23</f>
        <v>10</v>
      </c>
      <c r="P85" s="9">
        <f>$O85/$D$81</f>
        <v>0.33333333333333331</v>
      </c>
      <c r="R85" s="19"/>
      <c r="S85" s="19"/>
      <c r="T85" s="19"/>
      <c r="U85" s="19"/>
      <c r="V85" s="19"/>
      <c r="W85" s="19">
        <f>$D$82*$P85</f>
        <v>33333.333333333328</v>
      </c>
      <c r="X85" s="19">
        <f t="shared" si="64"/>
        <v>33333.333333333328</v>
      </c>
      <c r="Y85" s="19">
        <f t="shared" si="64"/>
        <v>33333.333333333328</v>
      </c>
      <c r="Z85" s="19">
        <f t="shared" si="64"/>
        <v>33333.333333333328</v>
      </c>
      <c r="AA85" s="19">
        <f t="shared" si="64"/>
        <v>33333.333333333328</v>
      </c>
      <c r="AB85" s="20">
        <f>SUM(R85:AA85)</f>
        <v>166666.66666666663</v>
      </c>
      <c r="AC85" s="1" t="s">
        <v>10</v>
      </c>
    </row>
    <row r="86" spans="1:29" x14ac:dyDescent="0.3">
      <c r="N86" s="14"/>
      <c r="O86" s="64" t="s">
        <v>79</v>
      </c>
      <c r="P86" s="118">
        <f>SUM(P81:P85)</f>
        <v>0.73333333333333339</v>
      </c>
      <c r="R86" s="62">
        <f>SUM(R81:R85)</f>
        <v>0</v>
      </c>
      <c r="S86" s="62">
        <f t="shared" ref="S86:AB86" si="65">SUM(S81:S85)</f>
        <v>0</v>
      </c>
      <c r="T86" s="62">
        <f t="shared" si="65"/>
        <v>0</v>
      </c>
      <c r="U86" s="62">
        <f t="shared" si="65"/>
        <v>0</v>
      </c>
      <c r="V86" s="62">
        <f t="shared" si="65"/>
        <v>0</v>
      </c>
      <c r="W86" s="62">
        <f t="shared" si="65"/>
        <v>73333.333333333328</v>
      </c>
      <c r="X86" s="62">
        <f t="shared" si="65"/>
        <v>73333.333333333328</v>
      </c>
      <c r="Y86" s="62">
        <f t="shared" si="65"/>
        <v>73333.333333333328</v>
      </c>
      <c r="Z86" s="62">
        <f t="shared" si="65"/>
        <v>73333.333333333328</v>
      </c>
      <c r="AA86" s="62">
        <f t="shared" si="65"/>
        <v>73333.333333333328</v>
      </c>
      <c r="AB86" s="62">
        <f t="shared" si="65"/>
        <v>366666.66666666663</v>
      </c>
      <c r="AC86" s="5" t="s">
        <v>19</v>
      </c>
    </row>
    <row r="88" spans="1:29" s="60" customFormat="1" ht="28.5" customHeight="1" collapsed="1" x14ac:dyDescent="0.3">
      <c r="A88" s="58" t="s">
        <v>4</v>
      </c>
      <c r="B88" s="58"/>
      <c r="R88" s="59"/>
      <c r="S88" s="59"/>
      <c r="T88" s="59"/>
      <c r="U88" s="59"/>
      <c r="V88" s="59"/>
      <c r="W88" s="59"/>
      <c r="X88" s="59"/>
      <c r="Y88" s="59"/>
      <c r="Z88" s="59"/>
      <c r="AA88" s="59"/>
      <c r="AB88" s="59"/>
      <c r="AC88" s="59"/>
    </row>
    <row r="89" spans="1:29" ht="15" hidden="1" outlineLevel="1" thickBot="1" x14ac:dyDescent="0.35">
      <c r="A89" s="5" t="s">
        <v>4</v>
      </c>
      <c r="B89" s="5"/>
      <c r="O89" s="10"/>
      <c r="P89" s="18" t="s">
        <v>17</v>
      </c>
      <c r="R89" s="53">
        <v>1</v>
      </c>
      <c r="S89" s="54">
        <v>2</v>
      </c>
      <c r="T89" s="54">
        <v>3</v>
      </c>
      <c r="U89" s="54">
        <v>4</v>
      </c>
      <c r="V89" s="55">
        <v>5</v>
      </c>
      <c r="W89" s="53">
        <v>1</v>
      </c>
      <c r="X89" s="54">
        <v>2</v>
      </c>
      <c r="Y89" s="54">
        <v>3</v>
      </c>
      <c r="Z89" s="54">
        <v>4</v>
      </c>
      <c r="AA89" s="55">
        <v>5</v>
      </c>
      <c r="AB89" s="57" t="s">
        <v>19</v>
      </c>
    </row>
    <row r="90" spans="1:29" hidden="1" outlineLevel="1" x14ac:dyDescent="0.3">
      <c r="A90" t="s">
        <v>36</v>
      </c>
      <c r="D90" s="26">
        <v>7000</v>
      </c>
      <c r="O90" s="14" t="s">
        <v>6</v>
      </c>
      <c r="P90" s="33">
        <f>$O$19</f>
        <v>5</v>
      </c>
      <c r="R90" s="19">
        <f>$P90*($D$90*(1-$D$91))</f>
        <v>24500</v>
      </c>
      <c r="S90" s="19"/>
      <c r="T90" s="19"/>
      <c r="U90" s="19"/>
      <c r="V90" s="19"/>
      <c r="W90" s="19">
        <f t="shared" ref="W90:AA94" si="66">IF(W$89&gt;=$D$94,$P90*($D$93*(1-$D$91)),0)</f>
        <v>0</v>
      </c>
      <c r="X90" s="19">
        <f t="shared" si="66"/>
        <v>2449.9999999999995</v>
      </c>
      <c r="Y90" s="19">
        <f t="shared" si="66"/>
        <v>2449.9999999999995</v>
      </c>
      <c r="Z90" s="19">
        <f t="shared" si="66"/>
        <v>2449.9999999999995</v>
      </c>
      <c r="AA90" s="19">
        <f t="shared" si="66"/>
        <v>2449.9999999999995</v>
      </c>
      <c r="AB90" s="20">
        <f>SUM(R90:AA90)</f>
        <v>34300</v>
      </c>
      <c r="AC90" s="1" t="s">
        <v>6</v>
      </c>
    </row>
    <row r="91" spans="1:29" hidden="1" outlineLevel="1" x14ac:dyDescent="0.3">
      <c r="A91" t="s">
        <v>74</v>
      </c>
      <c r="D91" s="17">
        <v>0.3</v>
      </c>
      <c r="O91" s="14" t="s">
        <v>7</v>
      </c>
      <c r="P91" s="33">
        <f>$O$20</f>
        <v>2</v>
      </c>
      <c r="R91" s="19">
        <f>$P91*($D$90*(1-$D$91))</f>
        <v>9800</v>
      </c>
      <c r="S91" s="19"/>
      <c r="T91" s="19"/>
      <c r="U91" s="19"/>
      <c r="V91" s="19"/>
      <c r="W91" s="19">
        <f t="shared" si="66"/>
        <v>0</v>
      </c>
      <c r="X91" s="19">
        <f t="shared" si="66"/>
        <v>979.99999999999989</v>
      </c>
      <c r="Y91" s="19">
        <f t="shared" si="66"/>
        <v>979.99999999999989</v>
      </c>
      <c r="Z91" s="19">
        <f t="shared" si="66"/>
        <v>979.99999999999989</v>
      </c>
      <c r="AA91" s="19">
        <f t="shared" si="66"/>
        <v>979.99999999999989</v>
      </c>
      <c r="AB91" s="20">
        <f>SUM(R91:AA91)</f>
        <v>13720</v>
      </c>
      <c r="AC91" s="1" t="s">
        <v>7</v>
      </c>
    </row>
    <row r="92" spans="1:29" hidden="1" outlineLevel="1" x14ac:dyDescent="0.3">
      <c r="A92" t="s">
        <v>75</v>
      </c>
      <c r="D92" s="17">
        <v>0.1</v>
      </c>
      <c r="J92" s="63"/>
      <c r="O92" s="14" t="s">
        <v>8</v>
      </c>
      <c r="P92" s="33">
        <f>$O$21</f>
        <v>2</v>
      </c>
      <c r="R92" s="19">
        <f>$P92*($D$90*(1-$D$91))</f>
        <v>9800</v>
      </c>
      <c r="S92" s="19"/>
      <c r="T92" s="19"/>
      <c r="U92" s="19"/>
      <c r="V92" s="19"/>
      <c r="W92" s="19">
        <f t="shared" si="66"/>
        <v>0</v>
      </c>
      <c r="X92" s="19">
        <f t="shared" si="66"/>
        <v>979.99999999999989</v>
      </c>
      <c r="Y92" s="19">
        <f t="shared" si="66"/>
        <v>979.99999999999989</v>
      </c>
      <c r="Z92" s="19">
        <f t="shared" si="66"/>
        <v>979.99999999999989</v>
      </c>
      <c r="AA92" s="19">
        <f t="shared" si="66"/>
        <v>979.99999999999989</v>
      </c>
      <c r="AB92" s="20">
        <f>SUM(R92:AA92)</f>
        <v>13720</v>
      </c>
      <c r="AC92" s="1" t="s">
        <v>8</v>
      </c>
    </row>
    <row r="93" spans="1:29" hidden="1" outlineLevel="1" x14ac:dyDescent="0.3">
      <c r="A93" t="s">
        <v>76</v>
      </c>
      <c r="D93" s="19">
        <f>D90*D92</f>
        <v>700</v>
      </c>
      <c r="O93" s="14" t="s">
        <v>9</v>
      </c>
      <c r="P93" s="33">
        <f>$O$22</f>
        <v>3</v>
      </c>
      <c r="R93" s="19">
        <f>$P93*($D$90*(1-$D$91))</f>
        <v>14700</v>
      </c>
      <c r="S93" s="19"/>
      <c r="T93" s="19"/>
      <c r="U93" s="19"/>
      <c r="V93" s="19"/>
      <c r="W93" s="19">
        <f t="shared" si="66"/>
        <v>0</v>
      </c>
      <c r="X93" s="19">
        <f t="shared" si="66"/>
        <v>1469.9999999999998</v>
      </c>
      <c r="Y93" s="19">
        <f t="shared" si="66"/>
        <v>1469.9999999999998</v>
      </c>
      <c r="Z93" s="19">
        <f t="shared" si="66"/>
        <v>1469.9999999999998</v>
      </c>
      <c r="AA93" s="19">
        <f t="shared" si="66"/>
        <v>1469.9999999999998</v>
      </c>
      <c r="AB93" s="20">
        <f>SUM(R93:AA93)</f>
        <v>20580</v>
      </c>
      <c r="AC93" s="1" t="s">
        <v>9</v>
      </c>
    </row>
    <row r="94" spans="1:29" hidden="1" outlineLevel="1" x14ac:dyDescent="0.3">
      <c r="A94" t="s">
        <v>15</v>
      </c>
      <c r="D94" s="13">
        <v>2</v>
      </c>
      <c r="O94" s="14" t="s">
        <v>10</v>
      </c>
      <c r="P94" s="33">
        <f>$O$23</f>
        <v>10</v>
      </c>
      <c r="R94" s="19">
        <f>$P94*($D$90*(1-$D$91))</f>
        <v>49000</v>
      </c>
      <c r="S94" s="19"/>
      <c r="T94" s="19"/>
      <c r="U94" s="19"/>
      <c r="V94" s="19"/>
      <c r="W94" s="19">
        <f t="shared" si="66"/>
        <v>0</v>
      </c>
      <c r="X94" s="19">
        <f t="shared" si="66"/>
        <v>4899.9999999999991</v>
      </c>
      <c r="Y94" s="19">
        <f t="shared" si="66"/>
        <v>4899.9999999999991</v>
      </c>
      <c r="Z94" s="19">
        <f t="shared" si="66"/>
        <v>4899.9999999999991</v>
      </c>
      <c r="AA94" s="19">
        <f t="shared" si="66"/>
        <v>4899.9999999999991</v>
      </c>
      <c r="AB94" s="20">
        <f>SUM(R94:AA94)</f>
        <v>68600</v>
      </c>
      <c r="AC94" s="1" t="s">
        <v>10</v>
      </c>
    </row>
    <row r="95" spans="1:29" x14ac:dyDescent="0.3">
      <c r="O95" s="64" t="s">
        <v>77</v>
      </c>
      <c r="P95" s="50">
        <f>SUM(P90:P94)</f>
        <v>22</v>
      </c>
      <c r="R95" s="62">
        <f t="shared" ref="R95:AB95" si="67">SUM(R90:R94)</f>
        <v>107800</v>
      </c>
      <c r="S95" s="62">
        <f t="shared" si="67"/>
        <v>0</v>
      </c>
      <c r="T95" s="62">
        <f t="shared" si="67"/>
        <v>0</v>
      </c>
      <c r="U95" s="62">
        <f t="shared" si="67"/>
        <v>0</v>
      </c>
      <c r="V95" s="62">
        <f t="shared" si="67"/>
        <v>0</v>
      </c>
      <c r="W95" s="62">
        <f t="shared" si="67"/>
        <v>0</v>
      </c>
      <c r="X95" s="62">
        <f t="shared" si="67"/>
        <v>10779.999999999998</v>
      </c>
      <c r="Y95" s="62">
        <f t="shared" si="67"/>
        <v>10779.999999999998</v>
      </c>
      <c r="Z95" s="62">
        <f t="shared" si="67"/>
        <v>10779.999999999998</v>
      </c>
      <c r="AA95" s="62">
        <f t="shared" si="67"/>
        <v>10779.999999999998</v>
      </c>
      <c r="AB95" s="62">
        <f t="shared" si="67"/>
        <v>150920</v>
      </c>
      <c r="AC95" s="5" t="s">
        <v>19</v>
      </c>
    </row>
    <row r="97" spans="1:29" s="60" customFormat="1" ht="28.5" customHeight="1" thickBot="1" x14ac:dyDescent="0.35">
      <c r="A97" s="58" t="s">
        <v>5</v>
      </c>
      <c r="B97" s="58"/>
      <c r="R97" s="59"/>
      <c r="S97" s="59"/>
      <c r="T97" s="59"/>
      <c r="U97" s="59"/>
      <c r="V97" s="59"/>
      <c r="W97" s="59"/>
      <c r="X97" s="59"/>
      <c r="Y97" s="59"/>
      <c r="Z97" s="59"/>
      <c r="AA97" s="59"/>
      <c r="AB97" s="59"/>
      <c r="AC97" s="59"/>
    </row>
    <row r="98" spans="1:29" ht="29.4" outlineLevel="1" thickBot="1" x14ac:dyDescent="0.35">
      <c r="A98" s="5" t="s">
        <v>48</v>
      </c>
      <c r="B98" s="5"/>
      <c r="N98" s="10"/>
      <c r="O98" s="18" t="s">
        <v>17</v>
      </c>
      <c r="P98" s="18" t="s">
        <v>46</v>
      </c>
      <c r="Q98" s="18" t="s">
        <v>47</v>
      </c>
      <c r="R98" s="53">
        <v>1</v>
      </c>
      <c r="S98" s="54">
        <v>2</v>
      </c>
      <c r="T98" s="54">
        <v>3</v>
      </c>
      <c r="U98" s="54">
        <v>4</v>
      </c>
      <c r="V98" s="55">
        <v>5</v>
      </c>
      <c r="W98" s="53">
        <v>1</v>
      </c>
      <c r="X98" s="54">
        <v>2</v>
      </c>
      <c r="Y98" s="54">
        <v>3</v>
      </c>
      <c r="Z98" s="54">
        <v>4</v>
      </c>
      <c r="AA98" s="55">
        <v>5</v>
      </c>
      <c r="AB98" s="57" t="s">
        <v>19</v>
      </c>
    </row>
    <row r="99" spans="1:29" outlineLevel="2" x14ac:dyDescent="0.3">
      <c r="A99" t="s">
        <v>38</v>
      </c>
      <c r="C99" s="1" t="s">
        <v>44</v>
      </c>
      <c r="D99" s="25">
        <v>2.6</v>
      </c>
      <c r="N99" s="14" t="s">
        <v>6</v>
      </c>
      <c r="O99" s="33">
        <f>$O$19</f>
        <v>5</v>
      </c>
      <c r="P99" s="37">
        <f>$O99/$D$100</f>
        <v>0.33333333333333331</v>
      </c>
      <c r="Q99" s="37">
        <f>ROUNDUP($P99*$D$99,0)</f>
        <v>1</v>
      </c>
      <c r="R99" s="19"/>
      <c r="S99" s="19"/>
      <c r="T99" s="19"/>
      <c r="U99" s="19"/>
      <c r="V99" s="19"/>
      <c r="W99" s="19">
        <f>$Q99*$D$101</f>
        <v>2600</v>
      </c>
      <c r="X99" s="19">
        <f>$Q99*$D$101</f>
        <v>2600</v>
      </c>
      <c r="Y99" s="19">
        <f>$Q99*$D$101</f>
        <v>2600</v>
      </c>
      <c r="Z99" s="19">
        <f>$Q99*$D$101</f>
        <v>2600</v>
      </c>
      <c r="AA99" s="19">
        <f>$Q99*$D$101</f>
        <v>2600</v>
      </c>
      <c r="AB99" s="20">
        <f>SUM(R99:AA99)</f>
        <v>13000</v>
      </c>
      <c r="AC99" s="1" t="s">
        <v>6</v>
      </c>
    </row>
    <row r="100" spans="1:29" outlineLevel="2" x14ac:dyDescent="0.3">
      <c r="A100" s="4" t="s">
        <v>37</v>
      </c>
      <c r="B100" s="4"/>
      <c r="C100" s="1"/>
      <c r="D100" s="140">
        <f>$J$5</f>
        <v>15</v>
      </c>
      <c r="N100" s="14" t="s">
        <v>7</v>
      </c>
      <c r="O100" s="33">
        <f>$O$20</f>
        <v>2</v>
      </c>
      <c r="P100" s="37">
        <f>$O100/$D$100</f>
        <v>0.13333333333333333</v>
      </c>
      <c r="Q100" s="37">
        <f>$P100*$D$99</f>
        <v>0.34666666666666668</v>
      </c>
      <c r="R100" s="19"/>
      <c r="S100" s="19"/>
      <c r="T100" s="19"/>
      <c r="U100" s="19"/>
      <c r="V100" s="19"/>
      <c r="W100" s="19">
        <f t="shared" ref="W100:AA103" si="68">$Q100*$D$101</f>
        <v>901.33333333333337</v>
      </c>
      <c r="X100" s="19">
        <f t="shared" si="68"/>
        <v>901.33333333333337</v>
      </c>
      <c r="Y100" s="19">
        <f t="shared" si="68"/>
        <v>901.33333333333337</v>
      </c>
      <c r="Z100" s="19">
        <f t="shared" si="68"/>
        <v>901.33333333333337</v>
      </c>
      <c r="AA100" s="19">
        <f t="shared" si="68"/>
        <v>901.33333333333337</v>
      </c>
      <c r="AB100" s="20">
        <f>SUM(R100:AA100)</f>
        <v>4506.666666666667</v>
      </c>
      <c r="AC100" s="1" t="s">
        <v>7</v>
      </c>
    </row>
    <row r="101" spans="1:29" outlineLevel="2" x14ac:dyDescent="0.3">
      <c r="A101" t="s">
        <v>39</v>
      </c>
      <c r="C101" s="1" t="s">
        <v>43</v>
      </c>
      <c r="D101" s="34">
        <v>2600</v>
      </c>
      <c r="N101" s="14" t="s">
        <v>8</v>
      </c>
      <c r="O101" s="33">
        <f>$O$21</f>
        <v>2</v>
      </c>
      <c r="P101" s="37">
        <f>$O101/$D$100</f>
        <v>0.13333333333333333</v>
      </c>
      <c r="Q101" s="37">
        <f>$P101*$D$99</f>
        <v>0.34666666666666668</v>
      </c>
      <c r="R101" s="19"/>
      <c r="S101" s="19"/>
      <c r="T101" s="19"/>
      <c r="U101" s="19"/>
      <c r="V101" s="19"/>
      <c r="W101" s="19">
        <f t="shared" si="68"/>
        <v>901.33333333333337</v>
      </c>
      <c r="X101" s="19">
        <f t="shared" si="68"/>
        <v>901.33333333333337</v>
      </c>
      <c r="Y101" s="19">
        <f t="shared" si="68"/>
        <v>901.33333333333337</v>
      </c>
      <c r="Z101" s="19">
        <f t="shared" si="68"/>
        <v>901.33333333333337</v>
      </c>
      <c r="AA101" s="19">
        <f t="shared" si="68"/>
        <v>901.33333333333337</v>
      </c>
      <c r="AB101" s="20">
        <f>SUM(R101:AA101)</f>
        <v>4506.666666666667</v>
      </c>
      <c r="AC101" s="1" t="s">
        <v>8</v>
      </c>
    </row>
    <row r="102" spans="1:29" outlineLevel="2" x14ac:dyDescent="0.3">
      <c r="N102" s="14" t="s">
        <v>9</v>
      </c>
      <c r="O102" s="33">
        <f>$O$22</f>
        <v>3</v>
      </c>
      <c r="P102" s="37">
        <f>$O102/$D$100</f>
        <v>0.2</v>
      </c>
      <c r="Q102" s="37">
        <f>$P102*$D$99</f>
        <v>0.52</v>
      </c>
      <c r="R102" s="19"/>
      <c r="S102" s="19"/>
      <c r="T102" s="19"/>
      <c r="U102" s="19"/>
      <c r="V102" s="19"/>
      <c r="W102" s="19">
        <f t="shared" si="68"/>
        <v>1352</v>
      </c>
      <c r="X102" s="19">
        <f t="shared" si="68"/>
        <v>1352</v>
      </c>
      <c r="Y102" s="19">
        <f t="shared" si="68"/>
        <v>1352</v>
      </c>
      <c r="Z102" s="19">
        <f t="shared" si="68"/>
        <v>1352</v>
      </c>
      <c r="AA102" s="19">
        <f t="shared" si="68"/>
        <v>1352</v>
      </c>
      <c r="AB102" s="20">
        <f>SUM(R102:AA102)</f>
        <v>6760</v>
      </c>
      <c r="AC102" s="1" t="s">
        <v>9</v>
      </c>
    </row>
    <row r="103" spans="1:29" outlineLevel="2" x14ac:dyDescent="0.3">
      <c r="N103" s="14" t="s">
        <v>10</v>
      </c>
      <c r="O103" s="33">
        <f>$O$23</f>
        <v>10</v>
      </c>
      <c r="P103" s="37">
        <f>$O103/$D$100</f>
        <v>0.66666666666666663</v>
      </c>
      <c r="Q103" s="37">
        <f>ROUNDUP($P103*$D$99,0)</f>
        <v>2</v>
      </c>
      <c r="R103" s="19"/>
      <c r="S103" s="19"/>
      <c r="T103" s="19"/>
      <c r="U103" s="19"/>
      <c r="V103" s="19"/>
      <c r="W103" s="19">
        <f t="shared" si="68"/>
        <v>5200</v>
      </c>
      <c r="X103" s="19">
        <f t="shared" si="68"/>
        <v>5200</v>
      </c>
      <c r="Y103" s="19">
        <f t="shared" si="68"/>
        <v>5200</v>
      </c>
      <c r="Z103" s="19">
        <f t="shared" si="68"/>
        <v>5200</v>
      </c>
      <c r="AA103" s="19">
        <f t="shared" si="68"/>
        <v>5200</v>
      </c>
      <c r="AB103" s="20">
        <f>SUM(R103:AA103)</f>
        <v>26000</v>
      </c>
      <c r="AC103" s="1" t="s">
        <v>10</v>
      </c>
    </row>
    <row r="104" spans="1:29" outlineLevel="1" x14ac:dyDescent="0.3">
      <c r="N104" s="14"/>
      <c r="O104" s="50">
        <f t="shared" ref="O104:AB104" si="69">SUM(O99:O103)</f>
        <v>22</v>
      </c>
      <c r="P104" s="65">
        <f t="shared" si="69"/>
        <v>1.4666666666666668</v>
      </c>
      <c r="Q104" s="65">
        <f t="shared" si="69"/>
        <v>4.2133333333333329</v>
      </c>
      <c r="R104" s="61">
        <f t="shared" si="69"/>
        <v>0</v>
      </c>
      <c r="S104" s="61">
        <f t="shared" si="69"/>
        <v>0</v>
      </c>
      <c r="T104" s="61">
        <f t="shared" si="69"/>
        <v>0</v>
      </c>
      <c r="U104" s="61">
        <f t="shared" si="69"/>
        <v>0</v>
      </c>
      <c r="V104" s="61">
        <f t="shared" si="69"/>
        <v>0</v>
      </c>
      <c r="W104" s="61">
        <f t="shared" si="69"/>
        <v>10954.666666666668</v>
      </c>
      <c r="X104" s="61">
        <f t="shared" si="69"/>
        <v>10954.666666666668</v>
      </c>
      <c r="Y104" s="61">
        <f t="shared" si="69"/>
        <v>10954.666666666668</v>
      </c>
      <c r="Z104" s="61">
        <f t="shared" si="69"/>
        <v>10954.666666666668</v>
      </c>
      <c r="AA104" s="61">
        <f t="shared" si="69"/>
        <v>10954.666666666668</v>
      </c>
      <c r="AB104" s="62">
        <f t="shared" si="69"/>
        <v>54773.333333333336</v>
      </c>
      <c r="AC104" s="5" t="s">
        <v>19</v>
      </c>
    </row>
    <row r="105" spans="1:29" ht="28.8" outlineLevel="1" x14ac:dyDescent="0.3">
      <c r="O105" s="18" t="s">
        <v>17</v>
      </c>
      <c r="P105" s="18" t="s">
        <v>46</v>
      </c>
      <c r="Q105" s="37">
        <f>ROUNDUP($P104*$D$99,0)</f>
        <v>4</v>
      </c>
      <c r="W105" s="19">
        <f>$Q104*$D$101</f>
        <v>10954.666666666666</v>
      </c>
    </row>
    <row r="106" spans="1:29" ht="15" outlineLevel="1" thickBot="1" x14ac:dyDescent="0.35"/>
    <row r="107" spans="1:29" ht="29.4" outlineLevel="1" thickBot="1" x14ac:dyDescent="0.35">
      <c r="A107" s="5" t="s">
        <v>51</v>
      </c>
      <c r="O107" s="18" t="s">
        <v>45</v>
      </c>
      <c r="P107" s="18" t="s">
        <v>83</v>
      </c>
      <c r="R107" s="53">
        <v>1</v>
      </c>
      <c r="S107" s="54">
        <v>2</v>
      </c>
      <c r="T107" s="54">
        <v>3</v>
      </c>
      <c r="U107" s="54">
        <v>4</v>
      </c>
      <c r="V107" s="55">
        <v>5</v>
      </c>
      <c r="W107" s="53">
        <v>1</v>
      </c>
      <c r="X107" s="54">
        <v>2</v>
      </c>
      <c r="Y107" s="54">
        <v>3</v>
      </c>
      <c r="Z107" s="54">
        <v>4</v>
      </c>
      <c r="AA107" s="55">
        <v>5</v>
      </c>
      <c r="AB107" s="57" t="s">
        <v>19</v>
      </c>
    </row>
    <row r="108" spans="1:29" outlineLevel="2" x14ac:dyDescent="0.3">
      <c r="A108" t="s">
        <v>81</v>
      </c>
      <c r="C108" s="1" t="s">
        <v>42</v>
      </c>
      <c r="D108" s="35">
        <v>0.1</v>
      </c>
      <c r="N108" s="14" t="s">
        <v>6</v>
      </c>
      <c r="O108" s="33">
        <f>$O$19</f>
        <v>5</v>
      </c>
      <c r="P108" s="42">
        <f>$D$111*O108</f>
        <v>32850</v>
      </c>
      <c r="R108" s="19"/>
      <c r="S108" s="19"/>
      <c r="T108" s="19"/>
      <c r="U108" s="19"/>
      <c r="V108" s="19"/>
      <c r="W108" s="19">
        <f>$P108*$D$108</f>
        <v>3285</v>
      </c>
      <c r="X108" s="19">
        <f>$P108*$D$108</f>
        <v>3285</v>
      </c>
      <c r="Y108" s="19">
        <f>$P108*$D$108</f>
        <v>3285</v>
      </c>
      <c r="Z108" s="19">
        <f>$P108*$D$108</f>
        <v>3285</v>
      </c>
      <c r="AA108" s="19">
        <f>$P108*$D$108</f>
        <v>3285</v>
      </c>
      <c r="AB108" s="20">
        <f>SUM(R108:AA108)</f>
        <v>16425</v>
      </c>
      <c r="AC108" s="1" t="s">
        <v>6</v>
      </c>
    </row>
    <row r="109" spans="1:29" outlineLevel="2" x14ac:dyDescent="0.3">
      <c r="A109" t="s">
        <v>40</v>
      </c>
      <c r="C109" s="1" t="s">
        <v>41</v>
      </c>
      <c r="D109" s="17">
        <v>0.66</v>
      </c>
      <c r="N109" s="14" t="s">
        <v>7</v>
      </c>
      <c r="O109" s="33">
        <f>$O$20</f>
        <v>2</v>
      </c>
      <c r="P109" s="42">
        <f>$D$111*O109</f>
        <v>13140</v>
      </c>
      <c r="R109" s="19"/>
      <c r="S109" s="19"/>
      <c r="T109" s="19"/>
      <c r="U109" s="19"/>
      <c r="V109" s="19"/>
      <c r="W109" s="19">
        <f t="shared" ref="W109:AA112" si="70">$P109*$D$108</f>
        <v>1314</v>
      </c>
      <c r="X109" s="19">
        <f t="shared" si="70"/>
        <v>1314</v>
      </c>
      <c r="Y109" s="19">
        <f t="shared" si="70"/>
        <v>1314</v>
      </c>
      <c r="Z109" s="19">
        <f t="shared" si="70"/>
        <v>1314</v>
      </c>
      <c r="AA109" s="19">
        <f t="shared" si="70"/>
        <v>1314</v>
      </c>
      <c r="AB109" s="20">
        <f>SUM(R109:AA109)</f>
        <v>6570</v>
      </c>
      <c r="AC109" s="1" t="s">
        <v>7</v>
      </c>
    </row>
    <row r="110" spans="1:29" outlineLevel="2" x14ac:dyDescent="0.3">
      <c r="A110" t="s">
        <v>49</v>
      </c>
      <c r="C110" s="1" t="s">
        <v>50</v>
      </c>
      <c r="D110" s="101">
        <f>L5</f>
        <v>0.75</v>
      </c>
      <c r="H110" s="38"/>
      <c r="N110" s="14" t="s">
        <v>8</v>
      </c>
      <c r="O110" s="33">
        <f>$O$21</f>
        <v>2</v>
      </c>
      <c r="P110" s="42">
        <f>$D$111*O110</f>
        <v>13140</v>
      </c>
      <c r="R110" s="19"/>
      <c r="S110" s="19"/>
      <c r="T110" s="19"/>
      <c r="U110" s="19"/>
      <c r="V110" s="19"/>
      <c r="W110" s="19">
        <f t="shared" si="70"/>
        <v>1314</v>
      </c>
      <c r="X110" s="19">
        <f t="shared" si="70"/>
        <v>1314</v>
      </c>
      <c r="Y110" s="19">
        <f t="shared" si="70"/>
        <v>1314</v>
      </c>
      <c r="Z110" s="19">
        <f t="shared" si="70"/>
        <v>1314</v>
      </c>
      <c r="AA110" s="19">
        <f t="shared" si="70"/>
        <v>1314</v>
      </c>
      <c r="AB110" s="20">
        <f>SUM(R110:AA110)</f>
        <v>6570</v>
      </c>
      <c r="AC110" s="1" t="s">
        <v>8</v>
      </c>
    </row>
    <row r="111" spans="1:29" outlineLevel="2" x14ac:dyDescent="0.3">
      <c r="A111" t="s">
        <v>82</v>
      </c>
      <c r="C111" s="1" t="s">
        <v>50</v>
      </c>
      <c r="D111" s="37">
        <f>$D$110*24*365</f>
        <v>6570</v>
      </c>
      <c r="H111" s="37"/>
      <c r="N111" s="14" t="s">
        <v>9</v>
      </c>
      <c r="O111" s="33">
        <f>$O$22</f>
        <v>3</v>
      </c>
      <c r="P111" s="42">
        <f>$D$111*O111</f>
        <v>19710</v>
      </c>
      <c r="R111" s="19"/>
      <c r="S111" s="19"/>
      <c r="T111" s="19"/>
      <c r="U111" s="19"/>
      <c r="V111" s="19"/>
      <c r="W111" s="19">
        <f t="shared" si="70"/>
        <v>1971</v>
      </c>
      <c r="X111" s="19">
        <f t="shared" si="70"/>
        <v>1971</v>
      </c>
      <c r="Y111" s="19">
        <f t="shared" si="70"/>
        <v>1971</v>
      </c>
      <c r="Z111" s="19">
        <f t="shared" si="70"/>
        <v>1971</v>
      </c>
      <c r="AA111" s="19">
        <f t="shared" si="70"/>
        <v>1971</v>
      </c>
      <c r="AB111" s="20">
        <f>SUM(R111:AA111)</f>
        <v>9855</v>
      </c>
      <c r="AC111" s="1" t="s">
        <v>9</v>
      </c>
    </row>
    <row r="112" spans="1:29" outlineLevel="2" x14ac:dyDescent="0.3">
      <c r="H112" s="1"/>
      <c r="N112" s="14" t="s">
        <v>10</v>
      </c>
      <c r="O112" s="33">
        <f>$O$23</f>
        <v>10</v>
      </c>
      <c r="P112" s="42">
        <f>$D$111*O112</f>
        <v>65700</v>
      </c>
      <c r="R112" s="19"/>
      <c r="S112" s="19"/>
      <c r="T112" s="19"/>
      <c r="U112" s="19"/>
      <c r="V112" s="19"/>
      <c r="W112" s="19">
        <f t="shared" si="70"/>
        <v>6570</v>
      </c>
      <c r="X112" s="19">
        <f t="shared" si="70"/>
        <v>6570</v>
      </c>
      <c r="Y112" s="19">
        <f t="shared" si="70"/>
        <v>6570</v>
      </c>
      <c r="Z112" s="19">
        <f t="shared" si="70"/>
        <v>6570</v>
      </c>
      <c r="AA112" s="19">
        <f t="shared" si="70"/>
        <v>6570</v>
      </c>
      <c r="AB112" s="20">
        <f>SUM(R112:AA112)</f>
        <v>32850</v>
      </c>
      <c r="AC112" s="1" t="s">
        <v>10</v>
      </c>
    </row>
    <row r="113" spans="1:29" outlineLevel="1" x14ac:dyDescent="0.3">
      <c r="N113" s="14"/>
      <c r="O113" s="50">
        <f>SUM(O108:O112)</f>
        <v>22</v>
      </c>
      <c r="P113" s="66">
        <f>SUM(P108:P112)</f>
        <v>144540</v>
      </c>
      <c r="R113" s="61">
        <f t="shared" ref="R113:AB113" si="71">SUM(R108:R112)</f>
        <v>0</v>
      </c>
      <c r="S113" s="61">
        <f t="shared" si="71"/>
        <v>0</v>
      </c>
      <c r="T113" s="61">
        <f t="shared" si="71"/>
        <v>0</v>
      </c>
      <c r="U113" s="61">
        <f t="shared" si="71"/>
        <v>0</v>
      </c>
      <c r="V113" s="61">
        <f t="shared" si="71"/>
        <v>0</v>
      </c>
      <c r="W113" s="61">
        <f t="shared" si="71"/>
        <v>14454</v>
      </c>
      <c r="X113" s="61">
        <f t="shared" si="71"/>
        <v>14454</v>
      </c>
      <c r="Y113" s="61">
        <f t="shared" si="71"/>
        <v>14454</v>
      </c>
      <c r="Z113" s="61">
        <f t="shared" si="71"/>
        <v>14454</v>
      </c>
      <c r="AA113" s="61">
        <f t="shared" si="71"/>
        <v>14454</v>
      </c>
      <c r="AB113" s="62">
        <f t="shared" si="71"/>
        <v>72270</v>
      </c>
      <c r="AC113" s="5" t="s">
        <v>19</v>
      </c>
    </row>
    <row r="114" spans="1:29" ht="28.8" outlineLevel="1" x14ac:dyDescent="0.3">
      <c r="O114" s="18" t="s">
        <v>45</v>
      </c>
      <c r="P114" s="18" t="s">
        <v>83</v>
      </c>
    </row>
    <row r="115" spans="1:29" outlineLevel="1" x14ac:dyDescent="0.3"/>
    <row r="116" spans="1:29" outlineLevel="1" x14ac:dyDescent="0.3">
      <c r="N116" s="14" t="s">
        <v>6</v>
      </c>
      <c r="R116" s="21">
        <f t="shared" ref="R116:AB116" si="72">R99+R108</f>
        <v>0</v>
      </c>
      <c r="S116" s="21">
        <f t="shared" si="72"/>
        <v>0</v>
      </c>
      <c r="T116" s="21">
        <f t="shared" si="72"/>
        <v>0</v>
      </c>
      <c r="U116" s="21">
        <f t="shared" si="72"/>
        <v>0</v>
      </c>
      <c r="V116" s="21">
        <f t="shared" si="72"/>
        <v>0</v>
      </c>
      <c r="W116" s="21">
        <f t="shared" si="72"/>
        <v>5885</v>
      </c>
      <c r="X116" s="21">
        <f t="shared" si="72"/>
        <v>5885</v>
      </c>
      <c r="Y116" s="21">
        <f t="shared" si="72"/>
        <v>5885</v>
      </c>
      <c r="Z116" s="21">
        <f t="shared" si="72"/>
        <v>5885</v>
      </c>
      <c r="AA116" s="21">
        <f t="shared" si="72"/>
        <v>5885</v>
      </c>
      <c r="AB116" s="20">
        <f t="shared" si="72"/>
        <v>29425</v>
      </c>
      <c r="AC116" s="1" t="s">
        <v>6</v>
      </c>
    </row>
    <row r="117" spans="1:29" outlineLevel="1" x14ac:dyDescent="0.3">
      <c r="N117" s="14" t="s">
        <v>7</v>
      </c>
      <c r="R117" s="21">
        <f t="shared" ref="R117:AB117" si="73">R100+R109</f>
        <v>0</v>
      </c>
      <c r="S117" s="21">
        <f t="shared" si="73"/>
        <v>0</v>
      </c>
      <c r="T117" s="21">
        <f t="shared" si="73"/>
        <v>0</v>
      </c>
      <c r="U117" s="21">
        <f t="shared" si="73"/>
        <v>0</v>
      </c>
      <c r="V117" s="21">
        <f t="shared" si="73"/>
        <v>0</v>
      </c>
      <c r="W117" s="21">
        <f t="shared" si="73"/>
        <v>2215.3333333333335</v>
      </c>
      <c r="X117" s="21">
        <f t="shared" si="73"/>
        <v>2215.3333333333335</v>
      </c>
      <c r="Y117" s="21">
        <f t="shared" si="73"/>
        <v>2215.3333333333335</v>
      </c>
      <c r="Z117" s="21">
        <f t="shared" si="73"/>
        <v>2215.3333333333335</v>
      </c>
      <c r="AA117" s="21">
        <f t="shared" si="73"/>
        <v>2215.3333333333335</v>
      </c>
      <c r="AB117" s="20">
        <f t="shared" si="73"/>
        <v>11076.666666666668</v>
      </c>
      <c r="AC117" s="1" t="s">
        <v>7</v>
      </c>
    </row>
    <row r="118" spans="1:29" outlineLevel="1" x14ac:dyDescent="0.3">
      <c r="N118" s="14" t="s">
        <v>8</v>
      </c>
      <c r="R118" s="21">
        <f t="shared" ref="R118:AB118" si="74">R101+R110</f>
        <v>0</v>
      </c>
      <c r="S118" s="21">
        <f t="shared" si="74"/>
        <v>0</v>
      </c>
      <c r="T118" s="21">
        <f t="shared" si="74"/>
        <v>0</v>
      </c>
      <c r="U118" s="21">
        <f t="shared" si="74"/>
        <v>0</v>
      </c>
      <c r="V118" s="21">
        <f t="shared" si="74"/>
        <v>0</v>
      </c>
      <c r="W118" s="21">
        <f t="shared" si="74"/>
        <v>2215.3333333333335</v>
      </c>
      <c r="X118" s="21">
        <f t="shared" si="74"/>
        <v>2215.3333333333335</v>
      </c>
      <c r="Y118" s="21">
        <f t="shared" si="74"/>
        <v>2215.3333333333335</v>
      </c>
      <c r="Z118" s="21">
        <f t="shared" si="74"/>
        <v>2215.3333333333335</v>
      </c>
      <c r="AA118" s="21">
        <f t="shared" si="74"/>
        <v>2215.3333333333335</v>
      </c>
      <c r="AB118" s="20">
        <f t="shared" si="74"/>
        <v>11076.666666666668</v>
      </c>
      <c r="AC118" s="1" t="s">
        <v>8</v>
      </c>
    </row>
    <row r="119" spans="1:29" outlineLevel="1" x14ac:dyDescent="0.3">
      <c r="N119" s="14" t="s">
        <v>9</v>
      </c>
      <c r="R119" s="21">
        <f t="shared" ref="R119:AB119" si="75">R102+R111</f>
        <v>0</v>
      </c>
      <c r="S119" s="21">
        <f t="shared" si="75"/>
        <v>0</v>
      </c>
      <c r="T119" s="21">
        <f t="shared" si="75"/>
        <v>0</v>
      </c>
      <c r="U119" s="21">
        <f t="shared" si="75"/>
        <v>0</v>
      </c>
      <c r="V119" s="21">
        <f t="shared" si="75"/>
        <v>0</v>
      </c>
      <c r="W119" s="21">
        <f t="shared" si="75"/>
        <v>3323</v>
      </c>
      <c r="X119" s="21">
        <f t="shared" si="75"/>
        <v>3323</v>
      </c>
      <c r="Y119" s="21">
        <f t="shared" si="75"/>
        <v>3323</v>
      </c>
      <c r="Z119" s="21">
        <f t="shared" si="75"/>
        <v>3323</v>
      </c>
      <c r="AA119" s="21">
        <f t="shared" si="75"/>
        <v>3323</v>
      </c>
      <c r="AB119" s="20">
        <f t="shared" si="75"/>
        <v>16615</v>
      </c>
      <c r="AC119" s="1" t="s">
        <v>9</v>
      </c>
    </row>
    <row r="120" spans="1:29" outlineLevel="1" x14ac:dyDescent="0.3">
      <c r="N120" s="14" t="s">
        <v>10</v>
      </c>
      <c r="R120" s="21">
        <f t="shared" ref="R120:AB120" si="76">R103+R112</f>
        <v>0</v>
      </c>
      <c r="S120" s="21">
        <f t="shared" si="76"/>
        <v>0</v>
      </c>
      <c r="T120" s="21">
        <f t="shared" si="76"/>
        <v>0</v>
      </c>
      <c r="U120" s="21">
        <f t="shared" si="76"/>
        <v>0</v>
      </c>
      <c r="V120" s="21">
        <f t="shared" si="76"/>
        <v>0</v>
      </c>
      <c r="W120" s="21">
        <f t="shared" si="76"/>
        <v>11770</v>
      </c>
      <c r="X120" s="21">
        <f t="shared" si="76"/>
        <v>11770</v>
      </c>
      <c r="Y120" s="21">
        <f t="shared" si="76"/>
        <v>11770</v>
      </c>
      <c r="Z120" s="21">
        <f t="shared" si="76"/>
        <v>11770</v>
      </c>
      <c r="AA120" s="21">
        <f t="shared" si="76"/>
        <v>11770</v>
      </c>
      <c r="AB120" s="20">
        <f t="shared" si="76"/>
        <v>58850</v>
      </c>
      <c r="AC120" s="1" t="s">
        <v>10</v>
      </c>
    </row>
    <row r="121" spans="1:29" x14ac:dyDescent="0.3">
      <c r="O121" s="39" t="s">
        <v>84</v>
      </c>
      <c r="R121" s="62">
        <f t="shared" ref="R121:AB121" si="77">R104+R113</f>
        <v>0</v>
      </c>
      <c r="S121" s="62">
        <f t="shared" si="77"/>
        <v>0</v>
      </c>
      <c r="T121" s="62">
        <f t="shared" si="77"/>
        <v>0</v>
      </c>
      <c r="U121" s="62">
        <f t="shared" si="77"/>
        <v>0</v>
      </c>
      <c r="V121" s="62">
        <f t="shared" si="77"/>
        <v>0</v>
      </c>
      <c r="W121" s="62">
        <f t="shared" si="77"/>
        <v>25408.666666666668</v>
      </c>
      <c r="X121" s="62">
        <f t="shared" si="77"/>
        <v>25408.666666666668</v>
      </c>
      <c r="Y121" s="62">
        <f t="shared" si="77"/>
        <v>25408.666666666668</v>
      </c>
      <c r="Z121" s="62">
        <f t="shared" si="77"/>
        <v>25408.666666666668</v>
      </c>
      <c r="AA121" s="62">
        <f t="shared" si="77"/>
        <v>25408.666666666668</v>
      </c>
      <c r="AB121" s="62">
        <f t="shared" si="77"/>
        <v>127043.33333333334</v>
      </c>
      <c r="AC121" s="5" t="s">
        <v>19</v>
      </c>
    </row>
    <row r="123" spans="1:29" s="60" customFormat="1" ht="28.5" customHeight="1" x14ac:dyDescent="0.3">
      <c r="A123" s="58"/>
      <c r="B123" s="58"/>
      <c r="R123" s="59"/>
      <c r="S123" s="59"/>
      <c r="T123" s="59"/>
      <c r="U123" s="59"/>
      <c r="V123" s="59"/>
      <c r="W123" s="59"/>
      <c r="X123" s="59"/>
      <c r="Y123" s="59"/>
      <c r="Z123" s="59"/>
      <c r="AA123" s="59"/>
      <c r="AB123" s="59"/>
      <c r="AC123" s="59"/>
    </row>
    <row r="124" spans="1:29" x14ac:dyDescent="0.3">
      <c r="P124" s="64" t="s">
        <v>108</v>
      </c>
      <c r="R124" s="62">
        <f t="shared" ref="R124:AB124" si="78">R24+R77+R86+R95+R121</f>
        <v>4776090.8</v>
      </c>
      <c r="S124" s="62">
        <f t="shared" si="78"/>
        <v>0</v>
      </c>
      <c r="T124" s="62">
        <f t="shared" si="78"/>
        <v>0</v>
      </c>
      <c r="U124" s="62">
        <f t="shared" si="78"/>
        <v>0</v>
      </c>
      <c r="V124" s="62">
        <f t="shared" si="78"/>
        <v>0</v>
      </c>
      <c r="W124" s="62">
        <f t="shared" si="78"/>
        <v>151542</v>
      </c>
      <c r="X124" s="62">
        <f t="shared" si="78"/>
        <v>1149626</v>
      </c>
      <c r="Y124" s="62">
        <f t="shared" si="78"/>
        <v>1149626</v>
      </c>
      <c r="Z124" s="62">
        <f t="shared" si="78"/>
        <v>1184312.96</v>
      </c>
      <c r="AA124" s="62">
        <f t="shared" si="78"/>
        <v>1184312.96</v>
      </c>
      <c r="AB124" s="62">
        <f t="shared" si="78"/>
        <v>9595510.7200000007</v>
      </c>
      <c r="AC124" s="5" t="s">
        <v>19</v>
      </c>
    </row>
    <row r="125" spans="1:29" x14ac:dyDescent="0.3">
      <c r="P125" s="64" t="s">
        <v>109</v>
      </c>
      <c r="W125" s="62">
        <f>R124+W124</f>
        <v>4927632.8</v>
      </c>
      <c r="X125" s="62">
        <f>S124+X124</f>
        <v>1149626</v>
      </c>
      <c r="Y125" s="62">
        <f>T124+Y124</f>
        <v>1149626</v>
      </c>
      <c r="Z125" s="62">
        <f>U124+Z124</f>
        <v>1184312.96</v>
      </c>
      <c r="AA125" s="62">
        <f>V124+AA124</f>
        <v>1184312.96</v>
      </c>
      <c r="AB125" s="62">
        <f>SUM(W125:AA125)</f>
        <v>9595510.7199999988</v>
      </c>
    </row>
    <row r="126" spans="1:29" x14ac:dyDescent="0.3">
      <c r="P126" s="64" t="s">
        <v>110</v>
      </c>
      <c r="W126" s="62">
        <f>W125</f>
        <v>4927632.8</v>
      </c>
      <c r="X126" s="62">
        <f>W126+X125</f>
        <v>6077258.7999999998</v>
      </c>
      <c r="Y126" s="62">
        <f>X126+Y125</f>
        <v>7226884.7999999998</v>
      </c>
      <c r="Z126" s="62">
        <f>Y126+Z125</f>
        <v>8411197.7599999998</v>
      </c>
      <c r="AA126" s="62">
        <f>Z126+AA125</f>
        <v>9595510.7199999988</v>
      </c>
    </row>
  </sheetData>
  <mergeCells count="2">
    <mergeCell ref="R1:V1"/>
    <mergeCell ref="W1:AA1"/>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BBFF5-B465-4F0A-BFAF-1695F6E0B94D}">
  <sheetPr>
    <outlinePr summaryBelow="0" summaryRight="0"/>
  </sheetPr>
  <dimension ref="A1:AC131"/>
  <sheetViews>
    <sheetView zoomScale="73" zoomScaleNormal="73" workbookViewId="0">
      <pane xSplit="1" ySplit="2" topLeftCell="B3" activePane="bottomRight" state="frozen"/>
      <selection pane="topRight" activeCell="B1" sqref="B1"/>
      <selection pane="bottomLeft" activeCell="A3" sqref="A3"/>
      <selection pane="bottomRight" activeCell="O15" sqref="O15"/>
    </sheetView>
  </sheetViews>
  <sheetFormatPr defaultRowHeight="14.4" outlineLevelRow="2" outlineLevelCol="1" x14ac:dyDescent="0.3"/>
  <cols>
    <col min="1" max="1" width="43.6640625" customWidth="1"/>
    <col min="2" max="2" width="3.6640625" customWidth="1" outlineLevel="1"/>
    <col min="3" max="3" width="15" customWidth="1" outlineLevel="1"/>
    <col min="4" max="9" width="13.109375" customWidth="1" outlineLevel="1"/>
    <col min="10" max="10" width="12.88671875" customWidth="1" outlineLevel="1"/>
    <col min="11" max="12" width="14.33203125" customWidth="1" outlineLevel="1"/>
    <col min="13" max="13" width="3.44140625" customWidth="1"/>
    <col min="14" max="14" width="6" customWidth="1" outlineLevel="1"/>
    <col min="15" max="16" width="9.88671875" customWidth="1" outlineLevel="1"/>
    <col min="17" max="17" width="14" customWidth="1" outlineLevel="1"/>
    <col min="18" max="27" width="14.6640625" customWidth="1" outlineLevel="1"/>
    <col min="28" max="28" width="14.6640625" customWidth="1"/>
  </cols>
  <sheetData>
    <row r="1" spans="1:29" ht="24" customHeight="1" x14ac:dyDescent="0.4">
      <c r="A1" s="41" t="s">
        <v>116</v>
      </c>
      <c r="B1" s="41"/>
      <c r="R1" s="212" t="s">
        <v>155</v>
      </c>
      <c r="S1" s="213"/>
      <c r="T1" s="213"/>
      <c r="U1" s="213"/>
      <c r="V1" s="214"/>
      <c r="W1" s="212" t="s">
        <v>21</v>
      </c>
      <c r="X1" s="213"/>
      <c r="Y1" s="213"/>
      <c r="Z1" s="213"/>
      <c r="AA1" s="214"/>
      <c r="AB1" s="1" t="s">
        <v>67</v>
      </c>
    </row>
    <row r="2" spans="1:29" ht="18" x14ac:dyDescent="0.35">
      <c r="A2" s="40" t="s">
        <v>117</v>
      </c>
      <c r="B2" s="40"/>
      <c r="R2" s="10">
        <v>1</v>
      </c>
      <c r="S2" s="10">
        <v>2</v>
      </c>
      <c r="T2" s="10">
        <v>3</v>
      </c>
      <c r="U2" s="10">
        <v>4</v>
      </c>
      <c r="V2" s="10">
        <v>5</v>
      </c>
      <c r="W2" s="10">
        <v>1</v>
      </c>
      <c r="X2" s="10">
        <v>2</v>
      </c>
      <c r="Y2" s="10">
        <v>3</v>
      </c>
      <c r="Z2" s="10">
        <v>4</v>
      </c>
      <c r="AA2" s="10">
        <v>5</v>
      </c>
    </row>
    <row r="3" spans="1:29" s="59" customFormat="1" ht="30.75" customHeight="1" x14ac:dyDescent="0.3">
      <c r="A3" s="58" t="s">
        <v>1</v>
      </c>
      <c r="B3" s="58"/>
    </row>
    <row r="4" spans="1:29" ht="24" outlineLevel="1" x14ac:dyDescent="0.3">
      <c r="A4" s="10" t="s">
        <v>115</v>
      </c>
      <c r="C4" s="11" t="s">
        <v>20</v>
      </c>
      <c r="D4" s="11" t="s">
        <v>151</v>
      </c>
      <c r="E4" s="11" t="s">
        <v>146</v>
      </c>
      <c r="F4" s="11" t="s">
        <v>112</v>
      </c>
      <c r="G4" s="11" t="s">
        <v>22</v>
      </c>
      <c r="H4" s="11" t="s">
        <v>24</v>
      </c>
      <c r="I4" s="11" t="s">
        <v>21</v>
      </c>
      <c r="J4" s="11" t="s">
        <v>15</v>
      </c>
      <c r="K4" s="11" t="s">
        <v>16</v>
      </c>
      <c r="O4" s="11" t="s">
        <v>121</v>
      </c>
      <c r="P4" s="11" t="s">
        <v>122</v>
      </c>
      <c r="Q4" s="11" t="s">
        <v>122</v>
      </c>
      <c r="R4" s="11" t="s">
        <v>122</v>
      </c>
    </row>
    <row r="5" spans="1:29" outlineLevel="1" x14ac:dyDescent="0.3">
      <c r="A5" s="39" t="s">
        <v>144</v>
      </c>
      <c r="C5" s="21">
        <v>600000</v>
      </c>
      <c r="D5" s="21">
        <v>6</v>
      </c>
      <c r="E5" s="21">
        <v>50000</v>
      </c>
      <c r="F5" s="22">
        <v>5000</v>
      </c>
      <c r="G5" s="17">
        <v>0.3</v>
      </c>
      <c r="H5" s="32">
        <v>190</v>
      </c>
      <c r="I5" s="23">
        <v>0.1</v>
      </c>
      <c r="J5" s="22">
        <v>4</v>
      </c>
      <c r="K5" s="49">
        <v>15</v>
      </c>
      <c r="O5" s="22" t="s">
        <v>30</v>
      </c>
      <c r="P5" s="49" t="s">
        <v>28</v>
      </c>
      <c r="Q5" s="49" t="s">
        <v>124</v>
      </c>
      <c r="R5" s="49" t="s">
        <v>125</v>
      </c>
    </row>
    <row r="6" spans="1:29" outlineLevel="1" x14ac:dyDescent="0.3">
      <c r="A6" t="s">
        <v>162</v>
      </c>
      <c r="C6" s="130" t="s">
        <v>161</v>
      </c>
    </row>
    <row r="7" spans="1:29" outlineLevel="1" x14ac:dyDescent="0.3"/>
    <row r="8" spans="1:29" ht="15" outlineLevel="1" thickBot="1" x14ac:dyDescent="0.35">
      <c r="A8" s="39" t="s">
        <v>138</v>
      </c>
      <c r="E8" s="70"/>
    </row>
    <row r="9" spans="1:29" ht="43.8" outlineLevel="1" thickBot="1" x14ac:dyDescent="0.35">
      <c r="C9" s="73" t="s">
        <v>147</v>
      </c>
      <c r="D9" s="73" t="s">
        <v>87</v>
      </c>
      <c r="E9" s="144" t="s">
        <v>86</v>
      </c>
      <c r="F9" s="148" t="s">
        <v>148</v>
      </c>
      <c r="G9" s="149" t="s">
        <v>149</v>
      </c>
      <c r="H9" s="149" t="s">
        <v>118</v>
      </c>
      <c r="I9" s="150" t="s">
        <v>119</v>
      </c>
      <c r="J9" s="10"/>
      <c r="K9" s="83" t="s">
        <v>123</v>
      </c>
      <c r="N9" s="10"/>
      <c r="O9" s="83" t="s">
        <v>17</v>
      </c>
      <c r="P9" s="83" t="s">
        <v>25</v>
      </c>
      <c r="Q9" s="83" t="s">
        <v>26</v>
      </c>
      <c r="R9" s="53">
        <v>1</v>
      </c>
      <c r="S9" s="54">
        <v>2</v>
      </c>
      <c r="T9" s="54">
        <v>3</v>
      </c>
      <c r="U9" s="54">
        <v>4</v>
      </c>
      <c r="V9" s="55">
        <v>5</v>
      </c>
      <c r="W9" s="53">
        <v>1</v>
      </c>
      <c r="X9" s="54">
        <v>2</v>
      </c>
      <c r="Y9" s="54">
        <v>3</v>
      </c>
      <c r="Z9" s="54">
        <v>4</v>
      </c>
      <c r="AA9" s="55">
        <v>5</v>
      </c>
      <c r="AB9" s="57" t="s">
        <v>19</v>
      </c>
      <c r="AC9" s="10"/>
    </row>
    <row r="10" spans="1:29" outlineLevel="1" x14ac:dyDescent="0.3">
      <c r="A10" s="14" t="s">
        <v>6</v>
      </c>
      <c r="C10" s="5">
        <f>sizing!D5</f>
        <v>10</v>
      </c>
      <c r="D10" t="s">
        <v>135</v>
      </c>
      <c r="E10" s="145">
        <f>sizing!F5</f>
        <v>10</v>
      </c>
      <c r="F10" s="151">
        <f>ROUNDUP(E10,0)</f>
        <v>10</v>
      </c>
      <c r="G10" s="75"/>
      <c r="H10" s="75"/>
      <c r="I10" s="152">
        <f>F10</f>
        <v>10</v>
      </c>
      <c r="J10" s="14" t="s">
        <v>6</v>
      </c>
      <c r="K10" s="97">
        <f>$E10/$E$15</f>
        <v>0.33333333333333331</v>
      </c>
      <c r="N10" s="14" t="s">
        <v>6</v>
      </c>
      <c r="O10" s="100">
        <f>K10*2</f>
        <v>0.66666666666666663</v>
      </c>
      <c r="P10" s="84">
        <f>Q10</f>
        <v>10</v>
      </c>
      <c r="Q10" s="84">
        <f>SUM(F10:G10)</f>
        <v>10</v>
      </c>
      <c r="R10" s="52">
        <f>$K10*($F$16+$G$16)*(1-$G$5)</f>
        <v>489999.99999999994</v>
      </c>
      <c r="S10" s="52"/>
      <c r="T10" s="52"/>
      <c r="U10" s="52"/>
      <c r="V10" s="52"/>
      <c r="W10" s="52">
        <f t="shared" ref="W10:AA14" si="0">IF(W$9&lt;$J$5,0,$R10*$I$5)</f>
        <v>0</v>
      </c>
      <c r="X10" s="52">
        <f t="shared" si="0"/>
        <v>0</v>
      </c>
      <c r="Y10" s="52">
        <f t="shared" si="0"/>
        <v>0</v>
      </c>
      <c r="Z10" s="52">
        <f t="shared" si="0"/>
        <v>49000</v>
      </c>
      <c r="AA10" s="52">
        <f t="shared" si="0"/>
        <v>49000</v>
      </c>
      <c r="AB10" s="56">
        <f>SUM(R10:AA10)</f>
        <v>588000</v>
      </c>
      <c r="AC10" s="1" t="s">
        <v>6</v>
      </c>
    </row>
    <row r="11" spans="1:29" outlineLevel="1" x14ac:dyDescent="0.3">
      <c r="A11" s="14" t="s">
        <v>7</v>
      </c>
      <c r="D11" s="111">
        <f>sizing!H5</f>
        <v>0.5</v>
      </c>
      <c r="E11" s="145">
        <f>ROUNDUP($C$10*D11,0)</f>
        <v>5</v>
      </c>
      <c r="F11" s="151">
        <f>E11</f>
        <v>5</v>
      </c>
      <c r="G11" s="75">
        <f>E11-F11</f>
        <v>0</v>
      </c>
      <c r="H11" s="75"/>
      <c r="I11" s="152"/>
      <c r="J11" s="14" t="s">
        <v>7</v>
      </c>
      <c r="K11" s="97">
        <f>$E11/$E$15</f>
        <v>0.16666666666666666</v>
      </c>
      <c r="N11" s="14" t="s">
        <v>7</v>
      </c>
      <c r="O11" s="100">
        <f>K11*2</f>
        <v>0.33333333333333331</v>
      </c>
      <c r="P11" s="84">
        <f>Q11</f>
        <v>5</v>
      </c>
      <c r="Q11" s="84">
        <f>SUM(F11:G11)</f>
        <v>5</v>
      </c>
      <c r="R11" s="52">
        <f>$K11*($F$16+$G$16)*(1-$G$5)</f>
        <v>244999.99999999997</v>
      </c>
      <c r="S11" s="19"/>
      <c r="T11" s="19"/>
      <c r="U11" s="19"/>
      <c r="V11" s="19"/>
      <c r="W11" s="52">
        <f t="shared" si="0"/>
        <v>0</v>
      </c>
      <c r="X11" s="52">
        <f t="shared" si="0"/>
        <v>0</v>
      </c>
      <c r="Y11" s="52">
        <f t="shared" si="0"/>
        <v>0</v>
      </c>
      <c r="Z11" s="52">
        <f t="shared" si="0"/>
        <v>24500</v>
      </c>
      <c r="AA11" s="52">
        <f t="shared" si="0"/>
        <v>24500</v>
      </c>
      <c r="AB11" s="20">
        <f>SUM(R11:AA11)</f>
        <v>294000</v>
      </c>
      <c r="AC11" s="1" t="s">
        <v>7</v>
      </c>
    </row>
    <row r="12" spans="1:29" outlineLevel="1" x14ac:dyDescent="0.3">
      <c r="A12" s="14" t="s">
        <v>8</v>
      </c>
      <c r="D12" s="111">
        <f>sizing!J5</f>
        <v>0.5</v>
      </c>
      <c r="E12" s="145">
        <f>ROUNDUP($C$10*D12,0)</f>
        <v>5</v>
      </c>
      <c r="F12" s="151">
        <f>E12-G12</f>
        <v>0</v>
      </c>
      <c r="G12" s="75">
        <f>E12</f>
        <v>5</v>
      </c>
      <c r="H12" s="75"/>
      <c r="I12" s="152"/>
      <c r="J12" s="14" t="s">
        <v>8</v>
      </c>
      <c r="K12" s="97">
        <f>$E12/$E$15</f>
        <v>0.16666666666666666</v>
      </c>
      <c r="N12" s="14" t="s">
        <v>8</v>
      </c>
      <c r="O12" s="100">
        <f>K12*2</f>
        <v>0.33333333333333331</v>
      </c>
      <c r="P12" s="84">
        <f>Q12</f>
        <v>5</v>
      </c>
      <c r="Q12" s="84">
        <f>SUM(F12:G12)</f>
        <v>5</v>
      </c>
      <c r="R12" s="52">
        <f>$K12*($F$16+$G$16)*(1-$G$5)</f>
        <v>244999.99999999997</v>
      </c>
      <c r="S12" s="19"/>
      <c r="T12" s="19"/>
      <c r="U12" s="19"/>
      <c r="V12" s="19"/>
      <c r="W12" s="52">
        <f t="shared" si="0"/>
        <v>0</v>
      </c>
      <c r="X12" s="52">
        <f t="shared" si="0"/>
        <v>0</v>
      </c>
      <c r="Y12" s="52">
        <f t="shared" si="0"/>
        <v>0</v>
      </c>
      <c r="Z12" s="52">
        <f t="shared" si="0"/>
        <v>24500</v>
      </c>
      <c r="AA12" s="52">
        <f t="shared" si="0"/>
        <v>24500</v>
      </c>
      <c r="AB12" s="20">
        <f>SUM(R12:AA12)</f>
        <v>294000</v>
      </c>
      <c r="AC12" s="1" t="s">
        <v>8</v>
      </c>
    </row>
    <row r="13" spans="1:29" ht="15" outlineLevel="1" thickBot="1" x14ac:dyDescent="0.35">
      <c r="A13" s="14" t="s">
        <v>134</v>
      </c>
      <c r="D13" s="111">
        <f>sizing!L5</f>
        <v>1</v>
      </c>
      <c r="E13" s="145">
        <f>ROUNDUP($C$10*D13,0)</f>
        <v>10</v>
      </c>
      <c r="F13" s="153"/>
      <c r="G13" s="154">
        <f>C10</f>
        <v>10</v>
      </c>
      <c r="H13" s="154">
        <f>G13</f>
        <v>10</v>
      </c>
      <c r="I13" s="155"/>
      <c r="J13" s="14" t="s">
        <v>9</v>
      </c>
      <c r="K13" s="97">
        <f>$E13/$E$15</f>
        <v>0.33333333333333331</v>
      </c>
      <c r="N13" s="14" t="s">
        <v>9</v>
      </c>
      <c r="O13" s="100">
        <f>K13*2</f>
        <v>0.66666666666666663</v>
      </c>
      <c r="P13" s="84">
        <f>Q13</f>
        <v>10</v>
      </c>
      <c r="Q13" s="84">
        <f>SUM(F13:G13)</f>
        <v>10</v>
      </c>
      <c r="R13" s="52">
        <f>$K13*($F$16+$G$16)*(1-$G$5)</f>
        <v>489999.99999999994</v>
      </c>
      <c r="S13" s="19"/>
      <c r="T13" s="19"/>
      <c r="U13" s="19"/>
      <c r="V13" s="19"/>
      <c r="W13" s="52">
        <f t="shared" si="0"/>
        <v>0</v>
      </c>
      <c r="X13" s="52">
        <f t="shared" si="0"/>
        <v>0</v>
      </c>
      <c r="Y13" s="52">
        <f t="shared" si="0"/>
        <v>0</v>
      </c>
      <c r="Z13" s="52">
        <f t="shared" si="0"/>
        <v>49000</v>
      </c>
      <c r="AA13" s="52">
        <f t="shared" si="0"/>
        <v>49000</v>
      </c>
      <c r="AB13" s="20">
        <f>SUM(R13:AA13)</f>
        <v>588000</v>
      </c>
      <c r="AC13" s="1" t="s">
        <v>9</v>
      </c>
    </row>
    <row r="14" spans="1:29" outlineLevel="1" x14ac:dyDescent="0.3">
      <c r="A14" s="14" t="s">
        <v>10</v>
      </c>
      <c r="F14" s="146"/>
      <c r="G14" s="146"/>
      <c r="H14" s="147">
        <f>SUM(H10:H13)</f>
        <v>10</v>
      </c>
      <c r="I14" s="147">
        <f>SUM(I10:I13)</f>
        <v>10</v>
      </c>
      <c r="J14" s="14" t="s">
        <v>10</v>
      </c>
      <c r="K14" s="84"/>
      <c r="N14" s="14" t="s">
        <v>10</v>
      </c>
      <c r="O14" s="100"/>
      <c r="P14" s="84"/>
      <c r="Q14" s="84"/>
      <c r="R14" s="52">
        <f>($H$16+$I$16)*(1-$G$5)</f>
        <v>70000</v>
      </c>
      <c r="S14" s="19"/>
      <c r="T14" s="19"/>
      <c r="U14" s="19"/>
      <c r="V14" s="19"/>
      <c r="W14" s="52">
        <f t="shared" si="0"/>
        <v>0</v>
      </c>
      <c r="X14" s="52">
        <f t="shared" si="0"/>
        <v>0</v>
      </c>
      <c r="Y14" s="52">
        <f t="shared" si="0"/>
        <v>0</v>
      </c>
      <c r="Z14" s="52">
        <f t="shared" si="0"/>
        <v>7000</v>
      </c>
      <c r="AA14" s="52">
        <f t="shared" si="0"/>
        <v>7000</v>
      </c>
      <c r="AB14" s="20">
        <f>SUM(R14:AA14)</f>
        <v>84000</v>
      </c>
      <c r="AC14" s="1" t="s">
        <v>10</v>
      </c>
    </row>
    <row r="15" spans="1:29" outlineLevel="1" x14ac:dyDescent="0.3">
      <c r="A15" s="64" t="s">
        <v>19</v>
      </c>
      <c r="C15" s="39"/>
      <c r="E15" s="78">
        <f>SUM(E10:E14)</f>
        <v>30</v>
      </c>
      <c r="F15" s="78">
        <f>SUM(F10:F14)</f>
        <v>15</v>
      </c>
      <c r="G15" s="78">
        <f>SUM(G10:G14)</f>
        <v>15</v>
      </c>
      <c r="H15" s="78">
        <f>H14</f>
        <v>10</v>
      </c>
      <c r="I15" s="78">
        <f>I14</f>
        <v>10</v>
      </c>
      <c r="J15" s="5"/>
      <c r="K15" s="98">
        <f>SUM(K10:K14)</f>
        <v>1</v>
      </c>
      <c r="N15" s="5"/>
      <c r="O15" s="50">
        <f>SUM(O10:O14)</f>
        <v>2</v>
      </c>
      <c r="P15" s="50">
        <f>SUM(P10:P14)</f>
        <v>30</v>
      </c>
      <c r="Q15" s="50">
        <f>SUM(Q10:Q14)</f>
        <v>30</v>
      </c>
      <c r="R15" s="71">
        <f t="shared" ref="R15:AB15" si="1">SUM(R10:R14)</f>
        <v>1539999.9999999998</v>
      </c>
      <c r="S15" s="71">
        <f t="shared" si="1"/>
        <v>0</v>
      </c>
      <c r="T15" s="71">
        <f t="shared" si="1"/>
        <v>0</v>
      </c>
      <c r="U15" s="71">
        <f t="shared" si="1"/>
        <v>0</v>
      </c>
      <c r="V15" s="71">
        <f t="shared" si="1"/>
        <v>0</v>
      </c>
      <c r="W15" s="71">
        <f t="shared" si="1"/>
        <v>0</v>
      </c>
      <c r="X15" s="71">
        <f t="shared" si="1"/>
        <v>0</v>
      </c>
      <c r="Y15" s="71">
        <f t="shared" si="1"/>
        <v>0</v>
      </c>
      <c r="Z15" s="71">
        <f t="shared" si="1"/>
        <v>154000</v>
      </c>
      <c r="AA15" s="71">
        <f t="shared" si="1"/>
        <v>154000</v>
      </c>
      <c r="AB15" s="71">
        <f t="shared" si="1"/>
        <v>1848000</v>
      </c>
      <c r="AC15" s="5" t="s">
        <v>19</v>
      </c>
    </row>
    <row r="16" spans="1:29" ht="28.8" outlineLevel="1" x14ac:dyDescent="0.3">
      <c r="E16" s="143" t="s">
        <v>120</v>
      </c>
      <c r="F16" s="99">
        <f>IF($D$5&lt;F15,((F15-$D$5)*$E$5+$C$5),$C$5)</f>
        <v>1050000</v>
      </c>
      <c r="G16" s="99">
        <f>IF($D$5&lt;G15,((G15-$D$5)*$E$5+$C$5),$C$5)</f>
        <v>1050000</v>
      </c>
      <c r="H16" s="99">
        <f>($H$15*$F$5)</f>
        <v>50000</v>
      </c>
      <c r="I16" s="99">
        <f>($I$15*$F$5)</f>
        <v>50000</v>
      </c>
      <c r="O16" s="18" t="s">
        <v>17</v>
      </c>
      <c r="P16" s="18" t="s">
        <v>25</v>
      </c>
      <c r="Q16" s="18" t="s">
        <v>26</v>
      </c>
    </row>
    <row r="17" spans="1:29" outlineLevel="1" x14ac:dyDescent="0.3"/>
    <row r="18" spans="1:29" outlineLevel="1" x14ac:dyDescent="0.3">
      <c r="F18" s="70"/>
      <c r="G18" s="70"/>
    </row>
    <row r="19" spans="1:29" outlineLevel="1" x14ac:dyDescent="0.3"/>
    <row r="20" spans="1:29" outlineLevel="1" x14ac:dyDescent="0.3"/>
    <row r="22" spans="1:29" s="60" customFormat="1" ht="28.5" customHeight="1" thickBot="1" x14ac:dyDescent="0.35">
      <c r="A22" s="58" t="s">
        <v>31</v>
      </c>
      <c r="B22" s="58"/>
      <c r="R22" s="59"/>
      <c r="S22" s="59"/>
      <c r="T22" s="59"/>
      <c r="U22" s="59"/>
      <c r="V22" s="59"/>
      <c r="W22" s="59"/>
      <c r="X22" s="59"/>
      <c r="Y22" s="59"/>
      <c r="Z22" s="59"/>
      <c r="AA22" s="59"/>
      <c r="AB22" s="59"/>
      <c r="AC22" s="59"/>
    </row>
    <row r="23" spans="1:29" ht="36.75" customHeight="1" outlineLevel="1" thickBot="1" x14ac:dyDescent="0.35">
      <c r="A23" s="48" t="s">
        <v>70</v>
      </c>
      <c r="C23" s="11" t="s">
        <v>64</v>
      </c>
      <c r="D23" s="11" t="s">
        <v>126</v>
      </c>
      <c r="E23" s="11" t="s">
        <v>63</v>
      </c>
      <c r="F23" s="11" t="s">
        <v>22</v>
      </c>
      <c r="G23" s="11" t="s">
        <v>65</v>
      </c>
      <c r="H23" s="11" t="s">
        <v>94</v>
      </c>
      <c r="I23" s="83" t="s">
        <v>95</v>
      </c>
      <c r="J23" s="83" t="s">
        <v>34</v>
      </c>
      <c r="K23" s="83" t="s">
        <v>32</v>
      </c>
      <c r="L23" s="83" t="s">
        <v>33</v>
      </c>
      <c r="O23" s="5" t="s">
        <v>97</v>
      </c>
      <c r="P23" s="11" t="s">
        <v>65</v>
      </c>
      <c r="Q23" s="10" t="s">
        <v>66</v>
      </c>
      <c r="R23" s="53">
        <v>1</v>
      </c>
      <c r="S23" s="54">
        <v>2</v>
      </c>
      <c r="T23" s="54">
        <v>3</v>
      </c>
      <c r="U23" s="54">
        <v>4</v>
      </c>
      <c r="V23" s="55">
        <v>5</v>
      </c>
      <c r="W23" s="53">
        <v>1</v>
      </c>
      <c r="X23" s="54">
        <v>2</v>
      </c>
      <c r="Y23" s="54">
        <v>3</v>
      </c>
      <c r="Z23" s="54">
        <v>4</v>
      </c>
      <c r="AA23" s="55">
        <v>5</v>
      </c>
      <c r="AB23" s="57" t="s">
        <v>19</v>
      </c>
      <c r="AC23" s="10"/>
    </row>
    <row r="24" spans="1:29" outlineLevel="2" x14ac:dyDescent="0.3">
      <c r="A24" s="12" t="s">
        <v>30</v>
      </c>
      <c r="B24" s="12"/>
      <c r="C24" s="26"/>
      <c r="D24" s="26">
        <v>6000</v>
      </c>
      <c r="E24" s="16">
        <v>1</v>
      </c>
      <c r="F24" s="17">
        <v>0.2</v>
      </c>
      <c r="G24" s="85" t="s">
        <v>33</v>
      </c>
      <c r="H24" s="85" t="s">
        <v>33</v>
      </c>
      <c r="I24" s="85">
        <v>1</v>
      </c>
      <c r="J24" s="36">
        <f>$O$10</f>
        <v>0.66666666666666663</v>
      </c>
      <c r="K24" s="36">
        <f>$P$10</f>
        <v>10</v>
      </c>
      <c r="L24" s="36">
        <f>$Q$10</f>
        <v>10</v>
      </c>
      <c r="O24">
        <f>_xlfn.XLOOKUP($H24,$J$23:$L$23,$J24:$L24)</f>
        <v>10</v>
      </c>
      <c r="P24" s="10" t="s">
        <v>32</v>
      </c>
      <c r="Q24" s="86">
        <f>I24*O24</f>
        <v>10</v>
      </c>
      <c r="R24" s="19">
        <f t="shared" ref="R24:R30" si="2">$Q24*$C24*(1-$F24)</f>
        <v>0</v>
      </c>
      <c r="S24" s="19"/>
      <c r="T24" s="19"/>
      <c r="U24" s="19"/>
      <c r="V24" s="19"/>
      <c r="W24" s="19">
        <f t="shared" ref="W24:AA30" si="3">IF(W$9&lt;$E24,0,$Q24*$D24)*(1-$F24)</f>
        <v>48000</v>
      </c>
      <c r="X24" s="19">
        <f t="shared" si="3"/>
        <v>48000</v>
      </c>
      <c r="Y24" s="19">
        <f t="shared" si="3"/>
        <v>48000</v>
      </c>
      <c r="Z24" s="19">
        <f t="shared" si="3"/>
        <v>48000</v>
      </c>
      <c r="AA24" s="19">
        <f t="shared" si="3"/>
        <v>48000</v>
      </c>
      <c r="AB24" s="20">
        <f t="shared" ref="AB24:AB30" si="4">SUM(R24:AA24)</f>
        <v>240000</v>
      </c>
    </row>
    <row r="25" spans="1:29" outlineLevel="2" x14ac:dyDescent="0.3">
      <c r="A25" s="12" t="s">
        <v>28</v>
      </c>
      <c r="B25" s="12"/>
      <c r="C25" s="26"/>
      <c r="D25" s="27"/>
      <c r="E25" s="16">
        <v>2</v>
      </c>
      <c r="F25" s="17">
        <v>0.2</v>
      </c>
      <c r="G25" s="85" t="s">
        <v>33</v>
      </c>
      <c r="H25" s="85" t="s">
        <v>33</v>
      </c>
      <c r="I25" s="85">
        <v>1</v>
      </c>
      <c r="J25" s="1">
        <f t="shared" ref="J25:J30" si="5">J24</f>
        <v>0.66666666666666663</v>
      </c>
      <c r="K25" s="1">
        <f t="shared" ref="K25:L30" si="6">K24</f>
        <v>10</v>
      </c>
      <c r="L25" s="1">
        <f t="shared" si="6"/>
        <v>10</v>
      </c>
      <c r="O25">
        <f t="shared" ref="O25:O30" si="7">_xlfn.SINGLE(_xlfn.XLOOKUP($H25,$J$23:$L$23,$J25:$L25))</f>
        <v>10</v>
      </c>
      <c r="P25" s="10" t="s">
        <v>32</v>
      </c>
      <c r="Q25" s="86">
        <f t="shared" ref="Q25:Q30" si="8">I25*O25</f>
        <v>10</v>
      </c>
      <c r="R25" s="19">
        <f t="shared" si="2"/>
        <v>0</v>
      </c>
      <c r="S25" s="19"/>
      <c r="T25" s="19"/>
      <c r="U25" s="19"/>
      <c r="V25" s="19"/>
      <c r="W25" s="19">
        <f t="shared" si="3"/>
        <v>0</v>
      </c>
      <c r="X25" s="19">
        <f t="shared" si="3"/>
        <v>0</v>
      </c>
      <c r="Y25" s="19">
        <f t="shared" si="3"/>
        <v>0</v>
      </c>
      <c r="Z25" s="19">
        <f t="shared" si="3"/>
        <v>0</v>
      </c>
      <c r="AA25" s="19">
        <f t="shared" si="3"/>
        <v>0</v>
      </c>
      <c r="AB25" s="20">
        <f t="shared" si="4"/>
        <v>0</v>
      </c>
    </row>
    <row r="26" spans="1:29" outlineLevel="2" x14ac:dyDescent="0.3">
      <c r="A26" s="12" t="s">
        <v>29</v>
      </c>
      <c r="B26" s="12"/>
      <c r="C26" s="26">
        <v>100</v>
      </c>
      <c r="D26" s="27">
        <f>C26*0.2</f>
        <v>20</v>
      </c>
      <c r="E26" s="16">
        <v>2</v>
      </c>
      <c r="F26" s="138">
        <v>0.5</v>
      </c>
      <c r="G26" s="85" t="s">
        <v>96</v>
      </c>
      <c r="H26" s="85" t="s">
        <v>33</v>
      </c>
      <c r="I26" s="129">
        <v>120</v>
      </c>
      <c r="J26" s="1">
        <f t="shared" si="5"/>
        <v>0.66666666666666663</v>
      </c>
      <c r="K26" s="1">
        <f t="shared" si="6"/>
        <v>10</v>
      </c>
      <c r="L26" s="1">
        <f t="shared" si="6"/>
        <v>10</v>
      </c>
      <c r="O26">
        <f t="shared" si="7"/>
        <v>10</v>
      </c>
      <c r="P26" s="10" t="s">
        <v>96</v>
      </c>
      <c r="Q26" s="86">
        <f t="shared" si="8"/>
        <v>1200</v>
      </c>
      <c r="R26" s="19">
        <f t="shared" si="2"/>
        <v>60000</v>
      </c>
      <c r="S26" s="19"/>
      <c r="T26" s="19"/>
      <c r="U26" s="19"/>
      <c r="V26" s="19"/>
      <c r="W26" s="19">
        <f t="shared" si="3"/>
        <v>0</v>
      </c>
      <c r="X26" s="19">
        <f t="shared" si="3"/>
        <v>12000</v>
      </c>
      <c r="Y26" s="19">
        <f t="shared" si="3"/>
        <v>12000</v>
      </c>
      <c r="Z26" s="19">
        <f t="shared" si="3"/>
        <v>12000</v>
      </c>
      <c r="AA26" s="19">
        <f t="shared" si="3"/>
        <v>12000</v>
      </c>
      <c r="AB26" s="20">
        <f t="shared" si="4"/>
        <v>108000</v>
      </c>
    </row>
    <row r="27" spans="1:29" outlineLevel="2" x14ac:dyDescent="0.3">
      <c r="A27" s="12" t="s">
        <v>27</v>
      </c>
      <c r="B27" s="12"/>
      <c r="C27" s="26">
        <v>40000</v>
      </c>
      <c r="D27" s="27">
        <f>C27*0.2</f>
        <v>8000</v>
      </c>
      <c r="E27" s="16">
        <v>2</v>
      </c>
      <c r="F27" s="138">
        <v>0.5</v>
      </c>
      <c r="G27" s="85" t="s">
        <v>33</v>
      </c>
      <c r="H27" s="85" t="s">
        <v>33</v>
      </c>
      <c r="I27" s="129">
        <v>1</v>
      </c>
      <c r="J27" s="1">
        <f t="shared" si="5"/>
        <v>0.66666666666666663</v>
      </c>
      <c r="K27" s="1">
        <f t="shared" si="6"/>
        <v>10</v>
      </c>
      <c r="L27" s="1">
        <f t="shared" si="6"/>
        <v>10</v>
      </c>
      <c r="O27">
        <f t="shared" si="7"/>
        <v>10</v>
      </c>
      <c r="P27" s="10" t="s">
        <v>33</v>
      </c>
      <c r="Q27" s="86">
        <f t="shared" si="8"/>
        <v>10</v>
      </c>
      <c r="R27" s="19">
        <f t="shared" si="2"/>
        <v>200000</v>
      </c>
      <c r="S27" s="19"/>
      <c r="T27" s="19"/>
      <c r="U27" s="19"/>
      <c r="V27" s="19"/>
      <c r="W27" s="19">
        <f t="shared" si="3"/>
        <v>0</v>
      </c>
      <c r="X27" s="19">
        <f t="shared" si="3"/>
        <v>40000</v>
      </c>
      <c r="Y27" s="19">
        <f t="shared" si="3"/>
        <v>40000</v>
      </c>
      <c r="Z27" s="19">
        <f t="shared" si="3"/>
        <v>40000</v>
      </c>
      <c r="AA27" s="19">
        <f t="shared" si="3"/>
        <v>40000</v>
      </c>
      <c r="AB27" s="20">
        <f t="shared" si="4"/>
        <v>360000</v>
      </c>
    </row>
    <row r="28" spans="1:29" outlineLevel="2" x14ac:dyDescent="0.3">
      <c r="A28" s="12" t="s">
        <v>111</v>
      </c>
      <c r="B28" s="12"/>
      <c r="C28" s="26"/>
      <c r="D28" s="26">
        <v>3000</v>
      </c>
      <c r="E28" s="16">
        <v>1</v>
      </c>
      <c r="F28" s="138">
        <v>0.5</v>
      </c>
      <c r="G28" s="85" t="s">
        <v>33</v>
      </c>
      <c r="H28" s="85" t="s">
        <v>33</v>
      </c>
      <c r="I28" s="129">
        <v>1</v>
      </c>
      <c r="J28" s="1">
        <f t="shared" si="5"/>
        <v>0.66666666666666663</v>
      </c>
      <c r="K28" s="1">
        <f t="shared" si="6"/>
        <v>10</v>
      </c>
      <c r="L28" s="1">
        <f t="shared" si="6"/>
        <v>10</v>
      </c>
      <c r="O28">
        <f t="shared" si="7"/>
        <v>10</v>
      </c>
      <c r="P28" s="10" t="s">
        <v>33</v>
      </c>
      <c r="Q28" s="86">
        <f t="shared" si="8"/>
        <v>10</v>
      </c>
      <c r="R28" s="19">
        <f t="shared" si="2"/>
        <v>0</v>
      </c>
      <c r="S28" s="19"/>
      <c r="T28" s="19"/>
      <c r="U28" s="19"/>
      <c r="V28" s="19"/>
      <c r="W28" s="19">
        <f t="shared" si="3"/>
        <v>15000</v>
      </c>
      <c r="X28" s="19">
        <f t="shared" si="3"/>
        <v>15000</v>
      </c>
      <c r="Y28" s="19">
        <f t="shared" si="3"/>
        <v>15000</v>
      </c>
      <c r="Z28" s="19">
        <f t="shared" si="3"/>
        <v>15000</v>
      </c>
      <c r="AA28" s="19">
        <f t="shared" si="3"/>
        <v>15000</v>
      </c>
      <c r="AB28" s="20">
        <f t="shared" si="4"/>
        <v>75000</v>
      </c>
    </row>
    <row r="29" spans="1:29" outlineLevel="2" x14ac:dyDescent="0.3">
      <c r="A29" s="12" t="s">
        <v>127</v>
      </c>
      <c r="B29" s="12"/>
      <c r="C29" s="26">
        <v>5000</v>
      </c>
      <c r="D29" s="27">
        <f>C29*0.2</f>
        <v>1000</v>
      </c>
      <c r="E29" s="16">
        <v>2</v>
      </c>
      <c r="F29" s="17">
        <v>0.4</v>
      </c>
      <c r="G29" s="85" t="s">
        <v>34</v>
      </c>
      <c r="H29" s="85" t="s">
        <v>34</v>
      </c>
      <c r="I29" s="85">
        <v>1</v>
      </c>
      <c r="J29" s="1">
        <f t="shared" si="5"/>
        <v>0.66666666666666663</v>
      </c>
      <c r="K29" s="1">
        <f t="shared" si="6"/>
        <v>10</v>
      </c>
      <c r="L29" s="1">
        <f t="shared" si="6"/>
        <v>10</v>
      </c>
      <c r="O29">
        <f t="shared" si="7"/>
        <v>0.66666666666666663</v>
      </c>
      <c r="P29" s="10" t="s">
        <v>34</v>
      </c>
      <c r="Q29" s="86">
        <f t="shared" si="8"/>
        <v>0.66666666666666663</v>
      </c>
      <c r="R29" s="19">
        <f t="shared" si="2"/>
        <v>1999.9999999999998</v>
      </c>
      <c r="S29" s="19"/>
      <c r="T29" s="19"/>
      <c r="U29" s="19"/>
      <c r="V29" s="19"/>
      <c r="W29" s="19">
        <f t="shared" si="3"/>
        <v>0</v>
      </c>
      <c r="X29" s="19">
        <f t="shared" si="3"/>
        <v>399.99999999999994</v>
      </c>
      <c r="Y29" s="19">
        <f t="shared" si="3"/>
        <v>399.99999999999994</v>
      </c>
      <c r="Z29" s="19">
        <f t="shared" si="3"/>
        <v>399.99999999999994</v>
      </c>
      <c r="AA29" s="19">
        <f t="shared" si="3"/>
        <v>399.99999999999994</v>
      </c>
      <c r="AB29" s="20">
        <f t="shared" si="4"/>
        <v>3599.9999999999995</v>
      </c>
    </row>
    <row r="30" spans="1:29" outlineLevel="2" x14ac:dyDescent="0.3">
      <c r="A30" s="12" t="s">
        <v>128</v>
      </c>
      <c r="B30" s="12"/>
      <c r="C30" s="26">
        <v>5000</v>
      </c>
      <c r="D30" s="27">
        <f>C30*0.2</f>
        <v>1000</v>
      </c>
      <c r="E30" s="16">
        <v>2</v>
      </c>
      <c r="F30" s="17">
        <v>0.4</v>
      </c>
      <c r="G30" s="85" t="s">
        <v>34</v>
      </c>
      <c r="H30" s="85" t="s">
        <v>34</v>
      </c>
      <c r="I30" s="85">
        <v>1</v>
      </c>
      <c r="J30" s="1">
        <f t="shared" si="5"/>
        <v>0.66666666666666663</v>
      </c>
      <c r="K30" s="1">
        <f t="shared" si="6"/>
        <v>10</v>
      </c>
      <c r="L30" s="1">
        <f t="shared" si="6"/>
        <v>10</v>
      </c>
      <c r="O30">
        <f t="shared" si="7"/>
        <v>0.66666666666666663</v>
      </c>
      <c r="P30" s="10" t="s">
        <v>34</v>
      </c>
      <c r="Q30" s="86">
        <f t="shared" si="8"/>
        <v>0.66666666666666663</v>
      </c>
      <c r="R30" s="19">
        <f t="shared" si="2"/>
        <v>1999.9999999999998</v>
      </c>
      <c r="S30" s="19"/>
      <c r="T30" s="19"/>
      <c r="U30" s="19"/>
      <c r="V30" s="19"/>
      <c r="W30" s="19">
        <f t="shared" si="3"/>
        <v>0</v>
      </c>
      <c r="X30" s="19">
        <f t="shared" si="3"/>
        <v>399.99999999999994</v>
      </c>
      <c r="Y30" s="19">
        <f t="shared" si="3"/>
        <v>399.99999999999994</v>
      </c>
      <c r="Z30" s="19">
        <f t="shared" si="3"/>
        <v>399.99999999999994</v>
      </c>
      <c r="AA30" s="19">
        <f t="shared" si="3"/>
        <v>399.99999999999994</v>
      </c>
      <c r="AB30" s="20">
        <f t="shared" si="4"/>
        <v>3599.9999999999995</v>
      </c>
    </row>
    <row r="31" spans="1:29" s="39" customFormat="1" outlineLevel="1" x14ac:dyDescent="0.3">
      <c r="Q31" s="64" t="s">
        <v>98</v>
      </c>
      <c r="R31" s="61">
        <f>SUM(R24:R30)</f>
        <v>264000</v>
      </c>
      <c r="S31" s="61">
        <f t="shared" ref="S31:AB31" si="9">SUM(S24:S30)</f>
        <v>0</v>
      </c>
      <c r="T31" s="61">
        <f t="shared" si="9"/>
        <v>0</v>
      </c>
      <c r="U31" s="61">
        <f t="shared" si="9"/>
        <v>0</v>
      </c>
      <c r="V31" s="61">
        <f t="shared" si="9"/>
        <v>0</v>
      </c>
      <c r="W31" s="61">
        <f t="shared" si="9"/>
        <v>63000</v>
      </c>
      <c r="X31" s="61">
        <f t="shared" si="9"/>
        <v>115800</v>
      </c>
      <c r="Y31" s="61">
        <f t="shared" si="9"/>
        <v>115800</v>
      </c>
      <c r="Z31" s="61">
        <f t="shared" si="9"/>
        <v>115800</v>
      </c>
      <c r="AA31" s="61">
        <f t="shared" si="9"/>
        <v>115800</v>
      </c>
      <c r="AB31" s="62">
        <f t="shared" si="9"/>
        <v>790200</v>
      </c>
    </row>
    <row r="32" spans="1:29" ht="15" outlineLevel="1" thickBot="1" x14ac:dyDescent="0.35"/>
    <row r="33" spans="1:29" ht="39" customHeight="1" outlineLevel="1" thickBot="1" x14ac:dyDescent="0.35">
      <c r="A33" s="48" t="s">
        <v>7</v>
      </c>
      <c r="C33" s="11" t="str">
        <f>C23</f>
        <v>Acquisition/ Capital Cost</v>
      </c>
      <c r="D33" s="11" t="str">
        <f>D23</f>
        <v>Maintenance/ Subscription</v>
      </c>
      <c r="E33" s="11" t="s">
        <v>63</v>
      </c>
      <c r="F33" s="11" t="s">
        <v>22</v>
      </c>
      <c r="G33" s="11" t="s">
        <v>65</v>
      </c>
      <c r="H33" s="11" t="s">
        <v>94</v>
      </c>
      <c r="I33" s="83" t="s">
        <v>95</v>
      </c>
      <c r="J33" s="83" t="s">
        <v>34</v>
      </c>
      <c r="K33" s="83" t="s">
        <v>32</v>
      </c>
      <c r="L33" s="83" t="s">
        <v>33</v>
      </c>
      <c r="O33" s="5" t="s">
        <v>97</v>
      </c>
      <c r="P33" s="11" t="s">
        <v>65</v>
      </c>
      <c r="Q33" s="10" t="s">
        <v>66</v>
      </c>
      <c r="R33" s="53">
        <v>1</v>
      </c>
      <c r="S33" s="54">
        <v>2</v>
      </c>
      <c r="T33" s="54">
        <v>3</v>
      </c>
      <c r="U33" s="54">
        <v>4</v>
      </c>
      <c r="V33" s="55">
        <v>5</v>
      </c>
      <c r="W33" s="53">
        <v>1</v>
      </c>
      <c r="X33" s="54">
        <v>2</v>
      </c>
      <c r="Y33" s="54">
        <v>3</v>
      </c>
      <c r="Z33" s="54">
        <v>4</v>
      </c>
      <c r="AA33" s="55">
        <v>5</v>
      </c>
      <c r="AB33" s="57" t="s">
        <v>19</v>
      </c>
      <c r="AC33" s="10"/>
    </row>
    <row r="34" spans="1:29" outlineLevel="2" x14ac:dyDescent="0.3">
      <c r="A34" s="24" t="str">
        <f t="shared" ref="A34:A40" si="10">A24</f>
        <v>OS</v>
      </c>
      <c r="B34" s="24"/>
      <c r="C34" s="27">
        <f t="shared" ref="C34:I34" si="11">C24</f>
        <v>0</v>
      </c>
      <c r="D34" s="27">
        <f t="shared" si="11"/>
        <v>6000</v>
      </c>
      <c r="E34" s="28">
        <f t="shared" si="11"/>
        <v>1</v>
      </c>
      <c r="F34" s="29">
        <f t="shared" si="11"/>
        <v>0.2</v>
      </c>
      <c r="G34" s="87" t="str">
        <f t="shared" si="11"/>
        <v>core</v>
      </c>
      <c r="H34" s="87" t="str">
        <f t="shared" si="11"/>
        <v>core</v>
      </c>
      <c r="I34" s="87">
        <f t="shared" si="11"/>
        <v>1</v>
      </c>
      <c r="J34" s="36">
        <f>$O$11</f>
        <v>0.33333333333333331</v>
      </c>
      <c r="K34" s="36">
        <f>$P$11</f>
        <v>5</v>
      </c>
      <c r="L34" s="36">
        <f>$Q$11</f>
        <v>5</v>
      </c>
      <c r="O34">
        <f>_xlfn.XLOOKUP($H34,$J$23:$L$23,$J34:$L34)</f>
        <v>5</v>
      </c>
      <c r="P34" s="10" t="s">
        <v>32</v>
      </c>
      <c r="Q34" s="86">
        <f>I34*O34</f>
        <v>5</v>
      </c>
      <c r="R34" s="19">
        <f t="shared" ref="R34:R40" si="12">$Q34*$C34*(1-$F34)</f>
        <v>0</v>
      </c>
      <c r="S34" s="19"/>
      <c r="T34" s="19"/>
      <c r="U34" s="19"/>
      <c r="V34" s="19"/>
      <c r="W34" s="19">
        <f t="shared" ref="W34:AA40" si="13">IF(W$9&lt;$E34,0,$Q34*$D34)*(1-$F34)</f>
        <v>24000</v>
      </c>
      <c r="X34" s="19">
        <f t="shared" si="13"/>
        <v>24000</v>
      </c>
      <c r="Y34" s="19">
        <f t="shared" si="13"/>
        <v>24000</v>
      </c>
      <c r="Z34" s="19">
        <f t="shared" si="13"/>
        <v>24000</v>
      </c>
      <c r="AA34" s="19">
        <f t="shared" si="13"/>
        <v>24000</v>
      </c>
      <c r="AB34" s="20">
        <f t="shared" ref="AB34:AB40" si="14">SUM(R34:AA34)</f>
        <v>120000</v>
      </c>
    </row>
    <row r="35" spans="1:29" outlineLevel="2" x14ac:dyDescent="0.3">
      <c r="A35" s="24" t="str">
        <f t="shared" si="10"/>
        <v>VM</v>
      </c>
      <c r="B35" s="24"/>
      <c r="C35" s="27">
        <f t="shared" ref="C35:F40" si="15">C25</f>
        <v>0</v>
      </c>
      <c r="D35" s="27">
        <f t="shared" si="15"/>
        <v>0</v>
      </c>
      <c r="E35" s="28">
        <f t="shared" si="15"/>
        <v>2</v>
      </c>
      <c r="F35" s="29">
        <f t="shared" si="15"/>
        <v>0.2</v>
      </c>
      <c r="G35" s="87" t="str">
        <f t="shared" ref="G35:I40" si="16">G25</f>
        <v>core</v>
      </c>
      <c r="H35" s="87" t="str">
        <f t="shared" si="16"/>
        <v>core</v>
      </c>
      <c r="I35" s="87">
        <f t="shared" si="16"/>
        <v>1</v>
      </c>
      <c r="J35" s="1">
        <f t="shared" ref="J35:J40" si="17">J34</f>
        <v>0.33333333333333331</v>
      </c>
      <c r="K35" s="1">
        <f t="shared" ref="K35:L40" si="18">K34</f>
        <v>5</v>
      </c>
      <c r="L35" s="1">
        <f t="shared" si="18"/>
        <v>5</v>
      </c>
      <c r="O35">
        <f t="shared" ref="O35:O40" si="19">_xlfn.SINGLE(_xlfn.XLOOKUP($H35,$J$23:$L$23,$J35:$L35))</f>
        <v>5</v>
      </c>
      <c r="P35" s="10" t="s">
        <v>32</v>
      </c>
      <c r="Q35" s="86">
        <f t="shared" ref="Q35:Q40" si="20">I35*O35</f>
        <v>5</v>
      </c>
      <c r="R35" s="19">
        <f t="shared" si="12"/>
        <v>0</v>
      </c>
      <c r="S35" s="19"/>
      <c r="T35" s="19"/>
      <c r="U35" s="19"/>
      <c r="V35" s="19"/>
      <c r="W35" s="19">
        <f t="shared" si="13"/>
        <v>0</v>
      </c>
      <c r="X35" s="19">
        <f t="shared" si="13"/>
        <v>0</v>
      </c>
      <c r="Y35" s="19">
        <f t="shared" si="13"/>
        <v>0</v>
      </c>
      <c r="Z35" s="19">
        <f t="shared" si="13"/>
        <v>0</v>
      </c>
      <c r="AA35" s="19">
        <f t="shared" si="13"/>
        <v>0</v>
      </c>
      <c r="AB35" s="20">
        <f t="shared" si="14"/>
        <v>0</v>
      </c>
    </row>
    <row r="36" spans="1:29" outlineLevel="2" x14ac:dyDescent="0.3">
      <c r="A36" s="24" t="str">
        <f t="shared" si="10"/>
        <v>Application Server</v>
      </c>
      <c r="B36" s="24"/>
      <c r="C36" s="27">
        <f t="shared" si="15"/>
        <v>100</v>
      </c>
      <c r="D36" s="27">
        <f t="shared" si="15"/>
        <v>20</v>
      </c>
      <c r="E36" s="28">
        <f t="shared" si="15"/>
        <v>2</v>
      </c>
      <c r="F36" s="29">
        <f t="shared" si="15"/>
        <v>0.5</v>
      </c>
      <c r="G36" s="87" t="str">
        <f t="shared" si="16"/>
        <v>PVU</v>
      </c>
      <c r="H36" s="87" t="str">
        <f t="shared" si="16"/>
        <v>core</v>
      </c>
      <c r="I36" s="87">
        <f t="shared" si="16"/>
        <v>120</v>
      </c>
      <c r="J36" s="1">
        <f t="shared" si="17"/>
        <v>0.33333333333333331</v>
      </c>
      <c r="K36" s="1">
        <f t="shared" si="18"/>
        <v>5</v>
      </c>
      <c r="L36" s="1">
        <f t="shared" si="18"/>
        <v>5</v>
      </c>
      <c r="O36">
        <f t="shared" si="19"/>
        <v>5</v>
      </c>
      <c r="P36" s="10" t="s">
        <v>96</v>
      </c>
      <c r="Q36" s="86">
        <f t="shared" si="20"/>
        <v>600</v>
      </c>
      <c r="R36" s="19">
        <f t="shared" si="12"/>
        <v>30000</v>
      </c>
      <c r="S36" s="19"/>
      <c r="T36" s="19"/>
      <c r="U36" s="19"/>
      <c r="V36" s="19"/>
      <c r="W36" s="19">
        <f t="shared" si="13"/>
        <v>0</v>
      </c>
      <c r="X36" s="19">
        <f t="shared" si="13"/>
        <v>6000</v>
      </c>
      <c r="Y36" s="19">
        <f t="shared" si="13"/>
        <v>6000</v>
      </c>
      <c r="Z36" s="19">
        <f t="shared" si="13"/>
        <v>6000</v>
      </c>
      <c r="AA36" s="19">
        <f t="shared" si="13"/>
        <v>6000</v>
      </c>
      <c r="AB36" s="20">
        <f t="shared" si="14"/>
        <v>54000</v>
      </c>
    </row>
    <row r="37" spans="1:29" outlineLevel="2" x14ac:dyDescent="0.3">
      <c r="A37" s="24" t="str">
        <f t="shared" si="10"/>
        <v>DB</v>
      </c>
      <c r="B37" s="24"/>
      <c r="C37" s="27">
        <f t="shared" si="15"/>
        <v>40000</v>
      </c>
      <c r="D37" s="27">
        <f t="shared" si="15"/>
        <v>8000</v>
      </c>
      <c r="E37" s="28">
        <f t="shared" si="15"/>
        <v>2</v>
      </c>
      <c r="F37" s="29">
        <f t="shared" si="15"/>
        <v>0.5</v>
      </c>
      <c r="G37" s="87" t="str">
        <f t="shared" si="16"/>
        <v>core</v>
      </c>
      <c r="H37" s="87" t="str">
        <f t="shared" si="16"/>
        <v>core</v>
      </c>
      <c r="I37" s="87">
        <f t="shared" si="16"/>
        <v>1</v>
      </c>
      <c r="J37" s="1">
        <f t="shared" si="17"/>
        <v>0.33333333333333331</v>
      </c>
      <c r="K37" s="1">
        <f t="shared" si="18"/>
        <v>5</v>
      </c>
      <c r="L37" s="1">
        <f t="shared" si="18"/>
        <v>5</v>
      </c>
      <c r="O37">
        <f t="shared" si="19"/>
        <v>5</v>
      </c>
      <c r="P37" s="10" t="s">
        <v>33</v>
      </c>
      <c r="Q37" s="86">
        <f t="shared" si="20"/>
        <v>5</v>
      </c>
      <c r="R37" s="19">
        <f t="shared" si="12"/>
        <v>100000</v>
      </c>
      <c r="S37" s="19"/>
      <c r="T37" s="19"/>
      <c r="U37" s="19"/>
      <c r="V37" s="19"/>
      <c r="W37" s="19">
        <f t="shared" si="13"/>
        <v>0</v>
      </c>
      <c r="X37" s="19">
        <f t="shared" si="13"/>
        <v>20000</v>
      </c>
      <c r="Y37" s="19">
        <f t="shared" si="13"/>
        <v>20000</v>
      </c>
      <c r="Z37" s="19">
        <f t="shared" si="13"/>
        <v>20000</v>
      </c>
      <c r="AA37" s="19">
        <f t="shared" si="13"/>
        <v>20000</v>
      </c>
      <c r="AB37" s="20">
        <f t="shared" si="14"/>
        <v>180000</v>
      </c>
    </row>
    <row r="38" spans="1:29" outlineLevel="2" x14ac:dyDescent="0.3">
      <c r="A38" s="24" t="str">
        <f t="shared" si="10"/>
        <v>Data Replication Tools</v>
      </c>
      <c r="B38" s="24"/>
      <c r="C38" s="27">
        <f t="shared" si="15"/>
        <v>0</v>
      </c>
      <c r="D38" s="27">
        <f t="shared" si="15"/>
        <v>3000</v>
      </c>
      <c r="E38" s="28">
        <f t="shared" si="15"/>
        <v>1</v>
      </c>
      <c r="F38" s="29">
        <f t="shared" si="15"/>
        <v>0.5</v>
      </c>
      <c r="G38" s="87" t="str">
        <f t="shared" si="16"/>
        <v>core</v>
      </c>
      <c r="H38" s="87" t="str">
        <f t="shared" si="16"/>
        <v>core</v>
      </c>
      <c r="I38" s="87">
        <f t="shared" si="16"/>
        <v>1</v>
      </c>
      <c r="J38" s="1">
        <f t="shared" si="17"/>
        <v>0.33333333333333331</v>
      </c>
      <c r="K38" s="1">
        <f t="shared" si="18"/>
        <v>5</v>
      </c>
      <c r="L38" s="1">
        <f t="shared" si="18"/>
        <v>5</v>
      </c>
      <c r="O38">
        <f t="shared" si="19"/>
        <v>5</v>
      </c>
      <c r="P38" s="10" t="s">
        <v>33</v>
      </c>
      <c r="Q38" s="86">
        <f t="shared" si="20"/>
        <v>5</v>
      </c>
      <c r="R38" s="19">
        <f t="shared" si="12"/>
        <v>0</v>
      </c>
      <c r="S38" s="19"/>
      <c r="T38" s="19"/>
      <c r="U38" s="19"/>
      <c r="V38" s="19"/>
      <c r="W38" s="19">
        <f t="shared" si="13"/>
        <v>7500</v>
      </c>
      <c r="X38" s="19">
        <f t="shared" si="13"/>
        <v>7500</v>
      </c>
      <c r="Y38" s="19">
        <f t="shared" si="13"/>
        <v>7500</v>
      </c>
      <c r="Z38" s="19">
        <f t="shared" si="13"/>
        <v>7500</v>
      </c>
      <c r="AA38" s="19">
        <f t="shared" si="13"/>
        <v>7500</v>
      </c>
      <c r="AB38" s="20">
        <f t="shared" si="14"/>
        <v>37500</v>
      </c>
    </row>
    <row r="39" spans="1:29" outlineLevel="2" x14ac:dyDescent="0.3">
      <c r="A39" s="24" t="str">
        <f t="shared" si="10"/>
        <v>Monitoring Tools</v>
      </c>
      <c r="B39" s="24"/>
      <c r="C39" s="27">
        <f t="shared" si="15"/>
        <v>5000</v>
      </c>
      <c r="D39" s="27">
        <f t="shared" si="15"/>
        <v>1000</v>
      </c>
      <c r="E39" s="28">
        <f t="shared" si="15"/>
        <v>2</v>
      </c>
      <c r="F39" s="29">
        <f t="shared" si="15"/>
        <v>0.4</v>
      </c>
      <c r="G39" s="87" t="str">
        <f t="shared" si="16"/>
        <v>server</v>
      </c>
      <c r="H39" s="87" t="str">
        <f t="shared" si="16"/>
        <v>server</v>
      </c>
      <c r="I39" s="87">
        <f t="shared" si="16"/>
        <v>1</v>
      </c>
      <c r="J39" s="1">
        <f t="shared" si="17"/>
        <v>0.33333333333333331</v>
      </c>
      <c r="K39" s="1">
        <f t="shared" si="18"/>
        <v>5</v>
      </c>
      <c r="L39" s="1">
        <f t="shared" si="18"/>
        <v>5</v>
      </c>
      <c r="O39">
        <f t="shared" si="19"/>
        <v>0.33333333333333331</v>
      </c>
      <c r="P39" s="10" t="s">
        <v>34</v>
      </c>
      <c r="Q39" s="86">
        <f t="shared" si="20"/>
        <v>0.33333333333333331</v>
      </c>
      <c r="R39" s="19">
        <f t="shared" si="12"/>
        <v>999.99999999999989</v>
      </c>
      <c r="S39" s="19"/>
      <c r="T39" s="19"/>
      <c r="U39" s="19"/>
      <c r="V39" s="19"/>
      <c r="W39" s="19">
        <f t="shared" si="13"/>
        <v>0</v>
      </c>
      <c r="X39" s="19">
        <f t="shared" si="13"/>
        <v>199.99999999999997</v>
      </c>
      <c r="Y39" s="19">
        <f t="shared" si="13"/>
        <v>199.99999999999997</v>
      </c>
      <c r="Z39" s="19">
        <f t="shared" si="13"/>
        <v>199.99999999999997</v>
      </c>
      <c r="AA39" s="19">
        <f t="shared" si="13"/>
        <v>199.99999999999997</v>
      </c>
      <c r="AB39" s="20">
        <f t="shared" si="14"/>
        <v>1799.9999999999998</v>
      </c>
    </row>
    <row r="40" spans="1:29" outlineLevel="2" x14ac:dyDescent="0.3">
      <c r="A40" s="24" t="str">
        <f t="shared" si="10"/>
        <v>Security Tools</v>
      </c>
      <c r="B40" s="24"/>
      <c r="C40" s="27">
        <f t="shared" si="15"/>
        <v>5000</v>
      </c>
      <c r="D40" s="27">
        <f t="shared" si="15"/>
        <v>1000</v>
      </c>
      <c r="E40" s="28">
        <f t="shared" si="15"/>
        <v>2</v>
      </c>
      <c r="F40" s="29">
        <f t="shared" si="15"/>
        <v>0.4</v>
      </c>
      <c r="G40" s="87" t="str">
        <f t="shared" si="16"/>
        <v>server</v>
      </c>
      <c r="H40" s="87" t="str">
        <f t="shared" si="16"/>
        <v>server</v>
      </c>
      <c r="I40" s="87">
        <f t="shared" si="16"/>
        <v>1</v>
      </c>
      <c r="J40" s="1">
        <f t="shared" si="17"/>
        <v>0.33333333333333331</v>
      </c>
      <c r="K40" s="1">
        <f t="shared" si="18"/>
        <v>5</v>
      </c>
      <c r="L40" s="1">
        <f t="shared" si="18"/>
        <v>5</v>
      </c>
      <c r="O40">
        <f t="shared" si="19"/>
        <v>0.33333333333333331</v>
      </c>
      <c r="P40" s="10" t="s">
        <v>34</v>
      </c>
      <c r="Q40" s="86">
        <f t="shared" si="20"/>
        <v>0.33333333333333331</v>
      </c>
      <c r="R40" s="19">
        <f t="shared" si="12"/>
        <v>999.99999999999989</v>
      </c>
      <c r="S40" s="19"/>
      <c r="T40" s="19"/>
      <c r="U40" s="19"/>
      <c r="V40" s="19"/>
      <c r="W40" s="19">
        <f t="shared" si="13"/>
        <v>0</v>
      </c>
      <c r="X40" s="19">
        <f t="shared" si="13"/>
        <v>199.99999999999997</v>
      </c>
      <c r="Y40" s="19">
        <f t="shared" si="13"/>
        <v>199.99999999999997</v>
      </c>
      <c r="Z40" s="19">
        <f t="shared" si="13"/>
        <v>199.99999999999997</v>
      </c>
      <c r="AA40" s="19">
        <f t="shared" si="13"/>
        <v>199.99999999999997</v>
      </c>
      <c r="AB40" s="20">
        <f t="shared" si="14"/>
        <v>1799.9999999999998</v>
      </c>
    </row>
    <row r="41" spans="1:29" s="39" customFormat="1" outlineLevel="1" x14ac:dyDescent="0.3">
      <c r="Q41" s="64" t="s">
        <v>99</v>
      </c>
      <c r="R41" s="61">
        <f>SUM(R34:R40)</f>
        <v>132000</v>
      </c>
      <c r="S41" s="61">
        <f t="shared" ref="S41:AB41" si="21">SUM(S34:S40)</f>
        <v>0</v>
      </c>
      <c r="T41" s="61">
        <f t="shared" si="21"/>
        <v>0</v>
      </c>
      <c r="U41" s="61">
        <f t="shared" si="21"/>
        <v>0</v>
      </c>
      <c r="V41" s="61">
        <f t="shared" si="21"/>
        <v>0</v>
      </c>
      <c r="W41" s="61">
        <f t="shared" si="21"/>
        <v>31500</v>
      </c>
      <c r="X41" s="61">
        <f t="shared" si="21"/>
        <v>57900</v>
      </c>
      <c r="Y41" s="61">
        <f t="shared" si="21"/>
        <v>57900</v>
      </c>
      <c r="Z41" s="61">
        <f t="shared" si="21"/>
        <v>57900</v>
      </c>
      <c r="AA41" s="61">
        <f t="shared" si="21"/>
        <v>57900</v>
      </c>
      <c r="AB41" s="62">
        <f t="shared" si="21"/>
        <v>395100</v>
      </c>
    </row>
    <row r="42" spans="1:29" ht="15" outlineLevel="1" thickBot="1" x14ac:dyDescent="0.35"/>
    <row r="43" spans="1:29" ht="36" customHeight="1" outlineLevel="1" thickBot="1" x14ac:dyDescent="0.35">
      <c r="A43" s="48" t="s">
        <v>8</v>
      </c>
      <c r="C43" s="11" t="s">
        <v>64</v>
      </c>
      <c r="D43" s="11" t="s">
        <v>21</v>
      </c>
      <c r="E43" s="11" t="s">
        <v>63</v>
      </c>
      <c r="F43" s="11" t="s">
        <v>22</v>
      </c>
      <c r="G43" s="11" t="s">
        <v>65</v>
      </c>
      <c r="H43" s="11" t="s">
        <v>94</v>
      </c>
      <c r="I43" s="83" t="s">
        <v>95</v>
      </c>
      <c r="J43" s="83" t="s">
        <v>34</v>
      </c>
      <c r="K43" s="83" t="s">
        <v>32</v>
      </c>
      <c r="L43" s="83" t="s">
        <v>33</v>
      </c>
      <c r="O43" s="5" t="s">
        <v>97</v>
      </c>
      <c r="P43" s="11" t="s">
        <v>65</v>
      </c>
      <c r="Q43" s="10" t="s">
        <v>66</v>
      </c>
      <c r="R43" s="53">
        <v>1</v>
      </c>
      <c r="S43" s="54">
        <v>2</v>
      </c>
      <c r="T43" s="54">
        <v>3</v>
      </c>
      <c r="U43" s="54">
        <v>4</v>
      </c>
      <c r="V43" s="55">
        <v>5</v>
      </c>
      <c r="W43" s="53">
        <v>1</v>
      </c>
      <c r="X43" s="54">
        <v>2</v>
      </c>
      <c r="Y43" s="54">
        <v>3</v>
      </c>
      <c r="Z43" s="54">
        <v>4</v>
      </c>
      <c r="AA43" s="55">
        <v>5</v>
      </c>
      <c r="AB43" s="57" t="s">
        <v>19</v>
      </c>
      <c r="AC43" s="10"/>
    </row>
    <row r="44" spans="1:29" outlineLevel="2" x14ac:dyDescent="0.3">
      <c r="A44" s="24" t="str">
        <f t="shared" ref="A44:A50" si="22">A24</f>
        <v>OS</v>
      </c>
      <c r="B44" s="24"/>
      <c r="C44" s="27">
        <f t="shared" ref="C44:F50" si="23">C24</f>
        <v>0</v>
      </c>
      <c r="D44" s="27">
        <f t="shared" si="23"/>
        <v>6000</v>
      </c>
      <c r="E44" s="28">
        <f t="shared" si="23"/>
        <v>1</v>
      </c>
      <c r="F44" s="29">
        <f t="shared" si="23"/>
        <v>0.2</v>
      </c>
      <c r="G44" s="87" t="str">
        <f t="shared" ref="G44:I50" si="24">G34</f>
        <v>core</v>
      </c>
      <c r="H44" s="87" t="str">
        <f t="shared" si="24"/>
        <v>core</v>
      </c>
      <c r="I44" s="87">
        <f t="shared" si="24"/>
        <v>1</v>
      </c>
      <c r="J44" s="36">
        <f>$O$12</f>
        <v>0.33333333333333331</v>
      </c>
      <c r="K44" s="36">
        <f>$P$12</f>
        <v>5</v>
      </c>
      <c r="L44" s="36">
        <f>$Q$12</f>
        <v>5</v>
      </c>
      <c r="O44">
        <f>_xlfn.XLOOKUP($H44,$J$23:$L$23,$J44:$L44)</f>
        <v>5</v>
      </c>
      <c r="P44" s="10" t="s">
        <v>32</v>
      </c>
      <c r="Q44" s="86">
        <f>I44*O44</f>
        <v>5</v>
      </c>
      <c r="R44" s="19">
        <f t="shared" ref="R44:R50" si="25">$Q44*$C44*(1-$F44)</f>
        <v>0</v>
      </c>
      <c r="S44" s="19"/>
      <c r="T44" s="19"/>
      <c r="U44" s="19"/>
      <c r="V44" s="19"/>
      <c r="W44" s="19">
        <f t="shared" ref="W44:AA50" si="26">IF(W$9&lt;$E44,0,$Q44*$D44)*(1-$F44)</f>
        <v>24000</v>
      </c>
      <c r="X44" s="19">
        <f t="shared" si="26"/>
        <v>24000</v>
      </c>
      <c r="Y44" s="19">
        <f t="shared" si="26"/>
        <v>24000</v>
      </c>
      <c r="Z44" s="19">
        <f t="shared" si="26"/>
        <v>24000</v>
      </c>
      <c r="AA44" s="19">
        <f t="shared" si="26"/>
        <v>24000</v>
      </c>
      <c r="AB44" s="20">
        <f t="shared" ref="AB44:AB50" si="27">SUM(R44:AA44)</f>
        <v>120000</v>
      </c>
    </row>
    <row r="45" spans="1:29" outlineLevel="2" x14ac:dyDescent="0.3">
      <c r="A45" s="24" t="str">
        <f t="shared" si="22"/>
        <v>VM</v>
      </c>
      <c r="B45" s="24"/>
      <c r="C45" s="27">
        <f t="shared" si="23"/>
        <v>0</v>
      </c>
      <c r="D45" s="27">
        <f t="shared" si="23"/>
        <v>0</v>
      </c>
      <c r="E45" s="28">
        <f t="shared" si="23"/>
        <v>2</v>
      </c>
      <c r="F45" s="29">
        <f t="shared" si="23"/>
        <v>0.2</v>
      </c>
      <c r="G45" s="87" t="str">
        <f t="shared" si="24"/>
        <v>core</v>
      </c>
      <c r="H45" s="87" t="str">
        <f t="shared" si="24"/>
        <v>core</v>
      </c>
      <c r="I45" s="87">
        <f t="shared" si="24"/>
        <v>1</v>
      </c>
      <c r="J45" s="1">
        <f t="shared" ref="J45:J50" si="28">J44</f>
        <v>0.33333333333333331</v>
      </c>
      <c r="K45" s="1">
        <f t="shared" ref="K45:L50" si="29">K44</f>
        <v>5</v>
      </c>
      <c r="L45" s="1">
        <f t="shared" si="29"/>
        <v>5</v>
      </c>
      <c r="O45">
        <f t="shared" ref="O45:O50" si="30">_xlfn.SINGLE(_xlfn.XLOOKUP($H45,$J$23:$L$23,$J45:$L45))</f>
        <v>5</v>
      </c>
      <c r="P45" s="10" t="s">
        <v>32</v>
      </c>
      <c r="Q45" s="86">
        <f t="shared" ref="Q45:Q50" si="31">I45*O45</f>
        <v>5</v>
      </c>
      <c r="R45" s="19">
        <f t="shared" si="25"/>
        <v>0</v>
      </c>
      <c r="S45" s="19"/>
      <c r="T45" s="19"/>
      <c r="U45" s="19"/>
      <c r="V45" s="19"/>
      <c r="W45" s="19">
        <f t="shared" si="26"/>
        <v>0</v>
      </c>
      <c r="X45" s="19">
        <f t="shared" si="26"/>
        <v>0</v>
      </c>
      <c r="Y45" s="19">
        <f t="shared" si="26"/>
        <v>0</v>
      </c>
      <c r="Z45" s="19">
        <f t="shared" si="26"/>
        <v>0</v>
      </c>
      <c r="AA45" s="19">
        <f t="shared" si="26"/>
        <v>0</v>
      </c>
      <c r="AB45" s="20">
        <f t="shared" si="27"/>
        <v>0</v>
      </c>
    </row>
    <row r="46" spans="1:29" outlineLevel="2" x14ac:dyDescent="0.3">
      <c r="A46" s="24" t="str">
        <f t="shared" si="22"/>
        <v>Application Server</v>
      </c>
      <c r="B46" s="24"/>
      <c r="C46" s="27">
        <f t="shared" si="23"/>
        <v>100</v>
      </c>
      <c r="D46" s="27">
        <f t="shared" si="23"/>
        <v>20</v>
      </c>
      <c r="E46" s="28">
        <f t="shared" si="23"/>
        <v>2</v>
      </c>
      <c r="F46" s="29">
        <f t="shared" si="23"/>
        <v>0.5</v>
      </c>
      <c r="G46" s="87" t="str">
        <f t="shared" si="24"/>
        <v>PVU</v>
      </c>
      <c r="H46" s="87" t="str">
        <f t="shared" si="24"/>
        <v>core</v>
      </c>
      <c r="I46" s="87">
        <f t="shared" si="24"/>
        <v>120</v>
      </c>
      <c r="J46" s="1">
        <f t="shared" si="28"/>
        <v>0.33333333333333331</v>
      </c>
      <c r="K46" s="1">
        <f t="shared" si="29"/>
        <v>5</v>
      </c>
      <c r="L46" s="1">
        <f t="shared" si="29"/>
        <v>5</v>
      </c>
      <c r="O46">
        <f t="shared" si="30"/>
        <v>5</v>
      </c>
      <c r="P46" s="10" t="s">
        <v>96</v>
      </c>
      <c r="Q46" s="86">
        <f t="shared" si="31"/>
        <v>600</v>
      </c>
      <c r="R46" s="19">
        <f t="shared" si="25"/>
        <v>30000</v>
      </c>
      <c r="S46" s="19"/>
      <c r="T46" s="19"/>
      <c r="U46" s="19"/>
      <c r="V46" s="19"/>
      <c r="W46" s="19">
        <f t="shared" si="26"/>
        <v>0</v>
      </c>
      <c r="X46" s="19">
        <f t="shared" si="26"/>
        <v>6000</v>
      </c>
      <c r="Y46" s="19">
        <f t="shared" si="26"/>
        <v>6000</v>
      </c>
      <c r="Z46" s="19">
        <f t="shared" si="26"/>
        <v>6000</v>
      </c>
      <c r="AA46" s="19">
        <f t="shared" si="26"/>
        <v>6000</v>
      </c>
      <c r="AB46" s="20">
        <f t="shared" si="27"/>
        <v>54000</v>
      </c>
    </row>
    <row r="47" spans="1:29" outlineLevel="2" x14ac:dyDescent="0.3">
      <c r="A47" s="24" t="str">
        <f t="shared" si="22"/>
        <v>DB</v>
      </c>
      <c r="B47" s="24"/>
      <c r="C47" s="27">
        <f t="shared" si="23"/>
        <v>40000</v>
      </c>
      <c r="D47" s="27">
        <f t="shared" si="23"/>
        <v>8000</v>
      </c>
      <c r="E47" s="28">
        <f t="shared" si="23"/>
        <v>2</v>
      </c>
      <c r="F47" s="29">
        <f t="shared" si="23"/>
        <v>0.5</v>
      </c>
      <c r="G47" s="87" t="str">
        <f t="shared" si="24"/>
        <v>core</v>
      </c>
      <c r="H47" s="87" t="str">
        <f t="shared" si="24"/>
        <v>core</v>
      </c>
      <c r="I47" s="87">
        <f t="shared" si="24"/>
        <v>1</v>
      </c>
      <c r="J47" s="1">
        <f t="shared" si="28"/>
        <v>0.33333333333333331</v>
      </c>
      <c r="K47" s="1">
        <f t="shared" si="29"/>
        <v>5</v>
      </c>
      <c r="L47" s="1">
        <f t="shared" si="29"/>
        <v>5</v>
      </c>
      <c r="O47">
        <f t="shared" si="30"/>
        <v>5</v>
      </c>
      <c r="P47" s="10" t="s">
        <v>33</v>
      </c>
      <c r="Q47" s="86">
        <f t="shared" si="31"/>
        <v>5</v>
      </c>
      <c r="R47" s="19">
        <f t="shared" si="25"/>
        <v>100000</v>
      </c>
      <c r="S47" s="19"/>
      <c r="T47" s="19"/>
      <c r="U47" s="19"/>
      <c r="V47" s="19"/>
      <c r="W47" s="19">
        <f t="shared" si="26"/>
        <v>0</v>
      </c>
      <c r="X47" s="19">
        <f t="shared" si="26"/>
        <v>20000</v>
      </c>
      <c r="Y47" s="19">
        <f t="shared" si="26"/>
        <v>20000</v>
      </c>
      <c r="Z47" s="19">
        <f t="shared" si="26"/>
        <v>20000</v>
      </c>
      <c r="AA47" s="19">
        <f t="shared" si="26"/>
        <v>20000</v>
      </c>
      <c r="AB47" s="20">
        <f t="shared" si="27"/>
        <v>180000</v>
      </c>
    </row>
    <row r="48" spans="1:29" outlineLevel="2" x14ac:dyDescent="0.3">
      <c r="A48" s="24" t="str">
        <f t="shared" si="22"/>
        <v>Data Replication Tools</v>
      </c>
      <c r="B48" s="24"/>
      <c r="C48" s="27">
        <f t="shared" si="23"/>
        <v>0</v>
      </c>
      <c r="D48" s="27">
        <f t="shared" si="23"/>
        <v>3000</v>
      </c>
      <c r="E48" s="28">
        <f t="shared" si="23"/>
        <v>1</v>
      </c>
      <c r="F48" s="29">
        <f t="shared" si="23"/>
        <v>0.5</v>
      </c>
      <c r="G48" s="87" t="str">
        <f t="shared" si="24"/>
        <v>core</v>
      </c>
      <c r="H48" s="87" t="str">
        <f t="shared" si="24"/>
        <v>core</v>
      </c>
      <c r="I48" s="87">
        <f t="shared" si="24"/>
        <v>1</v>
      </c>
      <c r="J48" s="1">
        <f t="shared" si="28"/>
        <v>0.33333333333333331</v>
      </c>
      <c r="K48" s="1">
        <f t="shared" si="29"/>
        <v>5</v>
      </c>
      <c r="L48" s="1">
        <f t="shared" si="29"/>
        <v>5</v>
      </c>
      <c r="O48">
        <f t="shared" si="30"/>
        <v>5</v>
      </c>
      <c r="P48" s="10" t="s">
        <v>33</v>
      </c>
      <c r="Q48" s="86">
        <f t="shared" si="31"/>
        <v>5</v>
      </c>
      <c r="R48" s="19">
        <f t="shared" si="25"/>
        <v>0</v>
      </c>
      <c r="S48" s="19"/>
      <c r="T48" s="19"/>
      <c r="U48" s="19"/>
      <c r="V48" s="19"/>
      <c r="W48" s="19">
        <f t="shared" si="26"/>
        <v>7500</v>
      </c>
      <c r="X48" s="19">
        <f t="shared" si="26"/>
        <v>7500</v>
      </c>
      <c r="Y48" s="19">
        <f t="shared" si="26"/>
        <v>7500</v>
      </c>
      <c r="Z48" s="19">
        <f t="shared" si="26"/>
        <v>7500</v>
      </c>
      <c r="AA48" s="19">
        <f t="shared" si="26"/>
        <v>7500</v>
      </c>
      <c r="AB48" s="20">
        <f t="shared" si="27"/>
        <v>37500</v>
      </c>
    </row>
    <row r="49" spans="1:29" outlineLevel="2" x14ac:dyDescent="0.3">
      <c r="A49" s="24" t="str">
        <f t="shared" si="22"/>
        <v>Monitoring Tools</v>
      </c>
      <c r="B49" s="24"/>
      <c r="C49" s="27">
        <f t="shared" si="23"/>
        <v>5000</v>
      </c>
      <c r="D49" s="27">
        <f t="shared" si="23"/>
        <v>1000</v>
      </c>
      <c r="E49" s="28">
        <f t="shared" si="23"/>
        <v>2</v>
      </c>
      <c r="F49" s="29">
        <f t="shared" si="23"/>
        <v>0.4</v>
      </c>
      <c r="G49" s="87" t="str">
        <f t="shared" si="24"/>
        <v>server</v>
      </c>
      <c r="H49" s="87" t="str">
        <f t="shared" si="24"/>
        <v>server</v>
      </c>
      <c r="I49" s="87">
        <f t="shared" si="24"/>
        <v>1</v>
      </c>
      <c r="J49" s="1">
        <f t="shared" si="28"/>
        <v>0.33333333333333331</v>
      </c>
      <c r="K49" s="1">
        <f t="shared" si="29"/>
        <v>5</v>
      </c>
      <c r="L49" s="1">
        <f t="shared" si="29"/>
        <v>5</v>
      </c>
      <c r="O49">
        <f t="shared" si="30"/>
        <v>0.33333333333333331</v>
      </c>
      <c r="P49" s="10" t="s">
        <v>34</v>
      </c>
      <c r="Q49" s="86">
        <f t="shared" si="31"/>
        <v>0.33333333333333331</v>
      </c>
      <c r="R49" s="19">
        <f t="shared" si="25"/>
        <v>999.99999999999989</v>
      </c>
      <c r="S49" s="19"/>
      <c r="T49" s="19"/>
      <c r="U49" s="19"/>
      <c r="V49" s="19"/>
      <c r="W49" s="19">
        <f t="shared" si="26"/>
        <v>0</v>
      </c>
      <c r="X49" s="19">
        <f t="shared" si="26"/>
        <v>199.99999999999997</v>
      </c>
      <c r="Y49" s="19">
        <f t="shared" si="26"/>
        <v>199.99999999999997</v>
      </c>
      <c r="Z49" s="19">
        <f t="shared" si="26"/>
        <v>199.99999999999997</v>
      </c>
      <c r="AA49" s="19">
        <f t="shared" si="26"/>
        <v>199.99999999999997</v>
      </c>
      <c r="AB49" s="20">
        <f t="shared" si="27"/>
        <v>1799.9999999999998</v>
      </c>
    </row>
    <row r="50" spans="1:29" outlineLevel="2" x14ac:dyDescent="0.3">
      <c r="A50" s="24" t="str">
        <f t="shared" si="22"/>
        <v>Security Tools</v>
      </c>
      <c r="B50" s="24"/>
      <c r="C50" s="27">
        <f t="shared" si="23"/>
        <v>5000</v>
      </c>
      <c r="D50" s="27">
        <f t="shared" si="23"/>
        <v>1000</v>
      </c>
      <c r="E50" s="28">
        <f t="shared" si="23"/>
        <v>2</v>
      </c>
      <c r="F50" s="29">
        <f t="shared" si="23"/>
        <v>0.4</v>
      </c>
      <c r="G50" s="87" t="str">
        <f t="shared" si="24"/>
        <v>server</v>
      </c>
      <c r="H50" s="87" t="str">
        <f t="shared" si="24"/>
        <v>server</v>
      </c>
      <c r="I50" s="87">
        <f t="shared" si="24"/>
        <v>1</v>
      </c>
      <c r="J50" s="1">
        <f t="shared" si="28"/>
        <v>0.33333333333333331</v>
      </c>
      <c r="K50" s="1">
        <f t="shared" si="29"/>
        <v>5</v>
      </c>
      <c r="L50" s="1">
        <f t="shared" si="29"/>
        <v>5</v>
      </c>
      <c r="O50">
        <f t="shared" si="30"/>
        <v>0.33333333333333331</v>
      </c>
      <c r="P50" s="10" t="s">
        <v>34</v>
      </c>
      <c r="Q50" s="86">
        <f t="shared" si="31"/>
        <v>0.33333333333333331</v>
      </c>
      <c r="R50" s="19">
        <f t="shared" si="25"/>
        <v>999.99999999999989</v>
      </c>
      <c r="S50" s="19"/>
      <c r="T50" s="19"/>
      <c r="U50" s="19"/>
      <c r="V50" s="19"/>
      <c r="W50" s="19">
        <f t="shared" si="26"/>
        <v>0</v>
      </c>
      <c r="X50" s="19">
        <f t="shared" si="26"/>
        <v>199.99999999999997</v>
      </c>
      <c r="Y50" s="19">
        <f t="shared" si="26"/>
        <v>199.99999999999997</v>
      </c>
      <c r="Z50" s="19">
        <f t="shared" si="26"/>
        <v>199.99999999999997</v>
      </c>
      <c r="AA50" s="19">
        <f t="shared" si="26"/>
        <v>199.99999999999997</v>
      </c>
      <c r="AB50" s="20">
        <f t="shared" si="27"/>
        <v>1799.9999999999998</v>
      </c>
    </row>
    <row r="51" spans="1:29" s="39" customFormat="1" outlineLevel="1" x14ac:dyDescent="0.3">
      <c r="Q51" s="64" t="s">
        <v>8</v>
      </c>
      <c r="R51" s="61">
        <f>SUM(R44:R50)</f>
        <v>132000</v>
      </c>
      <c r="S51" s="61">
        <f t="shared" ref="S51:AB51" si="32">SUM(S44:S50)</f>
        <v>0</v>
      </c>
      <c r="T51" s="61">
        <f t="shared" si="32"/>
        <v>0</v>
      </c>
      <c r="U51" s="61">
        <f t="shared" si="32"/>
        <v>0</v>
      </c>
      <c r="V51" s="61">
        <f t="shared" si="32"/>
        <v>0</v>
      </c>
      <c r="W51" s="61">
        <f t="shared" si="32"/>
        <v>31500</v>
      </c>
      <c r="X51" s="61">
        <f t="shared" si="32"/>
        <v>57900</v>
      </c>
      <c r="Y51" s="61">
        <f t="shared" si="32"/>
        <v>57900</v>
      </c>
      <c r="Z51" s="61">
        <f t="shared" si="32"/>
        <v>57900</v>
      </c>
      <c r="AA51" s="61">
        <f t="shared" si="32"/>
        <v>57900</v>
      </c>
      <c r="AB51" s="62">
        <f t="shared" si="32"/>
        <v>395100</v>
      </c>
    </row>
    <row r="52" spans="1:29" ht="15" outlineLevel="1" thickBot="1" x14ac:dyDescent="0.35"/>
    <row r="53" spans="1:29" ht="36.75" customHeight="1" outlineLevel="1" thickBot="1" x14ac:dyDescent="0.35">
      <c r="A53" s="48" t="s">
        <v>71</v>
      </c>
      <c r="C53" s="11" t="s">
        <v>64</v>
      </c>
      <c r="D53" s="11" t="s">
        <v>21</v>
      </c>
      <c r="E53" s="11" t="s">
        <v>63</v>
      </c>
      <c r="F53" s="11" t="s">
        <v>22</v>
      </c>
      <c r="G53" s="11" t="s">
        <v>65</v>
      </c>
      <c r="H53" s="11" t="s">
        <v>94</v>
      </c>
      <c r="I53" s="83" t="s">
        <v>95</v>
      </c>
      <c r="J53" s="83" t="s">
        <v>34</v>
      </c>
      <c r="K53" s="83" t="s">
        <v>32</v>
      </c>
      <c r="L53" s="83" t="s">
        <v>33</v>
      </c>
      <c r="O53" s="5" t="s">
        <v>97</v>
      </c>
      <c r="P53" s="11" t="s">
        <v>65</v>
      </c>
      <c r="Q53" s="10" t="s">
        <v>66</v>
      </c>
      <c r="R53" s="53">
        <v>1</v>
      </c>
      <c r="S53" s="54">
        <v>2</v>
      </c>
      <c r="T53" s="54">
        <v>3</v>
      </c>
      <c r="U53" s="54">
        <v>4</v>
      </c>
      <c r="V53" s="55">
        <v>5</v>
      </c>
      <c r="W53" s="53">
        <v>1</v>
      </c>
      <c r="X53" s="54">
        <v>2</v>
      </c>
      <c r="Y53" s="54">
        <v>3</v>
      </c>
      <c r="Z53" s="54">
        <v>4</v>
      </c>
      <c r="AA53" s="55">
        <v>5</v>
      </c>
      <c r="AB53" s="57" t="s">
        <v>19</v>
      </c>
      <c r="AC53" s="10"/>
    </row>
    <row r="54" spans="1:29" outlineLevel="2" x14ac:dyDescent="0.3">
      <c r="A54" s="24" t="str">
        <f t="shared" ref="A54:A60" si="33">A24</f>
        <v>OS</v>
      </c>
      <c r="B54" s="24"/>
      <c r="C54" s="27">
        <f t="shared" ref="C54:F60" si="34">C24</f>
        <v>0</v>
      </c>
      <c r="D54" s="27">
        <f t="shared" si="34"/>
        <v>6000</v>
      </c>
      <c r="E54" s="28">
        <f t="shared" si="34"/>
        <v>1</v>
      </c>
      <c r="F54" s="29">
        <f t="shared" si="34"/>
        <v>0.2</v>
      </c>
      <c r="G54" s="87" t="str">
        <f t="shared" ref="G54:I60" si="35">G44</f>
        <v>core</v>
      </c>
      <c r="H54" s="87" t="str">
        <f t="shared" si="35"/>
        <v>core</v>
      </c>
      <c r="I54" s="87">
        <f t="shared" si="35"/>
        <v>1</v>
      </c>
      <c r="J54" s="36">
        <f>$O$13</f>
        <v>0.66666666666666663</v>
      </c>
      <c r="K54" s="36">
        <f>$P$13</f>
        <v>10</v>
      </c>
      <c r="L54" s="36">
        <f>$Q$13</f>
        <v>10</v>
      </c>
      <c r="O54">
        <f>_xlfn.XLOOKUP($H54,$J$23:$L$23,$J54:$L54)</f>
        <v>10</v>
      </c>
      <c r="P54" s="10" t="s">
        <v>32</v>
      </c>
      <c r="Q54" s="86">
        <f>I54*O54</f>
        <v>10</v>
      </c>
      <c r="R54" s="19">
        <f t="shared" ref="R54:R60" si="36">$Q54*$C54*(1-$F54)</f>
        <v>0</v>
      </c>
      <c r="S54" s="19"/>
      <c r="T54" s="19"/>
      <c r="U54" s="19"/>
      <c r="V54" s="19"/>
      <c r="W54" s="19">
        <f t="shared" ref="W54:AA60" si="37">IF(W$9&lt;$E54,0,$Q54*$D54)*(1-$F54)</f>
        <v>48000</v>
      </c>
      <c r="X54" s="19">
        <f t="shared" si="37"/>
        <v>48000</v>
      </c>
      <c r="Y54" s="19">
        <f t="shared" si="37"/>
        <v>48000</v>
      </c>
      <c r="Z54" s="19">
        <f t="shared" si="37"/>
        <v>48000</v>
      </c>
      <c r="AA54" s="19">
        <f t="shared" si="37"/>
        <v>48000</v>
      </c>
      <c r="AB54" s="20">
        <f t="shared" ref="AB54:AB60" si="38">SUM(R54:AA54)</f>
        <v>240000</v>
      </c>
    </row>
    <row r="55" spans="1:29" outlineLevel="2" x14ac:dyDescent="0.3">
      <c r="A55" s="24" t="str">
        <f t="shared" si="33"/>
        <v>VM</v>
      </c>
      <c r="B55" s="24"/>
      <c r="C55" s="27">
        <f t="shared" si="34"/>
        <v>0</v>
      </c>
      <c r="D55" s="27">
        <f t="shared" si="34"/>
        <v>0</v>
      </c>
      <c r="E55" s="28">
        <f t="shared" si="34"/>
        <v>2</v>
      </c>
      <c r="F55" s="29">
        <f t="shared" si="34"/>
        <v>0.2</v>
      </c>
      <c r="G55" s="87" t="str">
        <f t="shared" si="35"/>
        <v>core</v>
      </c>
      <c r="H55" s="87" t="str">
        <f t="shared" si="35"/>
        <v>core</v>
      </c>
      <c r="I55" s="87">
        <f t="shared" si="35"/>
        <v>1</v>
      </c>
      <c r="J55" s="1">
        <f t="shared" ref="J55:J60" si="39">J54</f>
        <v>0.66666666666666663</v>
      </c>
      <c r="K55" s="1">
        <f t="shared" ref="K55:L60" si="40">K54</f>
        <v>10</v>
      </c>
      <c r="L55" s="1">
        <f t="shared" si="40"/>
        <v>10</v>
      </c>
      <c r="O55">
        <f t="shared" ref="O55:O60" si="41">_xlfn.SINGLE(_xlfn.XLOOKUP($H55,$J$23:$L$23,$J55:$L55))</f>
        <v>10</v>
      </c>
      <c r="P55" s="10" t="s">
        <v>32</v>
      </c>
      <c r="Q55" s="86">
        <f t="shared" ref="Q55:Q60" si="42">I55*O55</f>
        <v>10</v>
      </c>
      <c r="R55" s="19">
        <f t="shared" si="36"/>
        <v>0</v>
      </c>
      <c r="S55" s="19"/>
      <c r="T55" s="19"/>
      <c r="U55" s="19"/>
      <c r="V55" s="19"/>
      <c r="W55" s="19">
        <f t="shared" si="37"/>
        <v>0</v>
      </c>
      <c r="X55" s="19">
        <f t="shared" si="37"/>
        <v>0</v>
      </c>
      <c r="Y55" s="19">
        <f t="shared" si="37"/>
        <v>0</v>
      </c>
      <c r="Z55" s="19">
        <f t="shared" si="37"/>
        <v>0</v>
      </c>
      <c r="AA55" s="19">
        <f t="shared" si="37"/>
        <v>0</v>
      </c>
      <c r="AB55" s="20">
        <f t="shared" si="38"/>
        <v>0</v>
      </c>
    </row>
    <row r="56" spans="1:29" outlineLevel="2" x14ac:dyDescent="0.3">
      <c r="A56" s="24" t="str">
        <f t="shared" si="33"/>
        <v>Application Server</v>
      </c>
      <c r="B56" s="24"/>
      <c r="C56" s="27">
        <f t="shared" si="34"/>
        <v>100</v>
      </c>
      <c r="D56" s="27">
        <f t="shared" si="34"/>
        <v>20</v>
      </c>
      <c r="E56" s="28">
        <f t="shared" si="34"/>
        <v>2</v>
      </c>
      <c r="F56" s="29">
        <f t="shared" si="34"/>
        <v>0.5</v>
      </c>
      <c r="G56" s="87" t="str">
        <f t="shared" si="35"/>
        <v>PVU</v>
      </c>
      <c r="H56" s="87" t="str">
        <f t="shared" si="35"/>
        <v>core</v>
      </c>
      <c r="I56" s="87">
        <f t="shared" si="35"/>
        <v>120</v>
      </c>
      <c r="J56" s="1">
        <f t="shared" si="39"/>
        <v>0.66666666666666663</v>
      </c>
      <c r="K56" s="1">
        <f t="shared" si="40"/>
        <v>10</v>
      </c>
      <c r="L56" s="1">
        <f t="shared" si="40"/>
        <v>10</v>
      </c>
      <c r="O56">
        <f t="shared" si="41"/>
        <v>10</v>
      </c>
      <c r="P56" s="10" t="s">
        <v>96</v>
      </c>
      <c r="Q56" s="86">
        <f t="shared" si="42"/>
        <v>1200</v>
      </c>
      <c r="R56" s="19">
        <f t="shared" si="36"/>
        <v>60000</v>
      </c>
      <c r="S56" s="19"/>
      <c r="T56" s="19"/>
      <c r="U56" s="19"/>
      <c r="V56" s="19"/>
      <c r="W56" s="19">
        <f t="shared" si="37"/>
        <v>0</v>
      </c>
      <c r="X56" s="19">
        <f t="shared" si="37"/>
        <v>12000</v>
      </c>
      <c r="Y56" s="19">
        <f t="shared" si="37"/>
        <v>12000</v>
      </c>
      <c r="Z56" s="19">
        <f t="shared" si="37"/>
        <v>12000</v>
      </c>
      <c r="AA56" s="19">
        <f t="shared" si="37"/>
        <v>12000</v>
      </c>
      <c r="AB56" s="20">
        <f t="shared" si="38"/>
        <v>108000</v>
      </c>
    </row>
    <row r="57" spans="1:29" outlineLevel="2" x14ac:dyDescent="0.3">
      <c r="A57" s="24" t="str">
        <f t="shared" si="33"/>
        <v>DB</v>
      </c>
      <c r="B57" s="24"/>
      <c r="C57" s="27">
        <f t="shared" si="34"/>
        <v>40000</v>
      </c>
      <c r="D57" s="27">
        <f t="shared" si="34"/>
        <v>8000</v>
      </c>
      <c r="E57" s="28">
        <f t="shared" si="34"/>
        <v>2</v>
      </c>
      <c r="F57" s="29">
        <f t="shared" si="34"/>
        <v>0.5</v>
      </c>
      <c r="G57" s="87" t="str">
        <f t="shared" si="35"/>
        <v>core</v>
      </c>
      <c r="H57" s="87" t="str">
        <f t="shared" si="35"/>
        <v>core</v>
      </c>
      <c r="I57" s="87">
        <f t="shared" si="35"/>
        <v>1</v>
      </c>
      <c r="J57" s="1">
        <f t="shared" si="39"/>
        <v>0.66666666666666663</v>
      </c>
      <c r="K57" s="1">
        <f t="shared" si="40"/>
        <v>10</v>
      </c>
      <c r="L57" s="1">
        <f t="shared" si="40"/>
        <v>10</v>
      </c>
      <c r="O57">
        <f t="shared" si="41"/>
        <v>10</v>
      </c>
      <c r="P57" s="10" t="s">
        <v>33</v>
      </c>
      <c r="Q57" s="86">
        <f t="shared" si="42"/>
        <v>10</v>
      </c>
      <c r="R57" s="19">
        <f t="shared" si="36"/>
        <v>200000</v>
      </c>
      <c r="S57" s="19"/>
      <c r="T57" s="19"/>
      <c r="U57" s="19"/>
      <c r="V57" s="19"/>
      <c r="W57" s="19">
        <f t="shared" si="37"/>
        <v>0</v>
      </c>
      <c r="X57" s="19">
        <f t="shared" si="37"/>
        <v>40000</v>
      </c>
      <c r="Y57" s="19">
        <f t="shared" si="37"/>
        <v>40000</v>
      </c>
      <c r="Z57" s="19">
        <f t="shared" si="37"/>
        <v>40000</v>
      </c>
      <c r="AA57" s="19">
        <f t="shared" si="37"/>
        <v>40000</v>
      </c>
      <c r="AB57" s="20">
        <f t="shared" si="38"/>
        <v>360000</v>
      </c>
    </row>
    <row r="58" spans="1:29" outlineLevel="2" x14ac:dyDescent="0.3">
      <c r="A58" s="24" t="str">
        <f t="shared" si="33"/>
        <v>Data Replication Tools</v>
      </c>
      <c r="B58" s="24"/>
      <c r="C58" s="27">
        <f t="shared" si="34"/>
        <v>0</v>
      </c>
      <c r="D58" s="27">
        <f t="shared" si="34"/>
        <v>3000</v>
      </c>
      <c r="E58" s="28">
        <f t="shared" si="34"/>
        <v>1</v>
      </c>
      <c r="F58" s="29">
        <f t="shared" si="34"/>
        <v>0.5</v>
      </c>
      <c r="G58" s="87" t="str">
        <f t="shared" si="35"/>
        <v>core</v>
      </c>
      <c r="H58" s="87" t="str">
        <f t="shared" si="35"/>
        <v>core</v>
      </c>
      <c r="I58" s="87">
        <f t="shared" si="35"/>
        <v>1</v>
      </c>
      <c r="J58" s="1">
        <f t="shared" si="39"/>
        <v>0.66666666666666663</v>
      </c>
      <c r="K58" s="1">
        <f t="shared" si="40"/>
        <v>10</v>
      </c>
      <c r="L58" s="1">
        <f t="shared" si="40"/>
        <v>10</v>
      </c>
      <c r="O58">
        <f t="shared" si="41"/>
        <v>10</v>
      </c>
      <c r="P58" s="10" t="s">
        <v>33</v>
      </c>
      <c r="Q58" s="86">
        <f t="shared" si="42"/>
        <v>10</v>
      </c>
      <c r="R58" s="19">
        <f t="shared" si="36"/>
        <v>0</v>
      </c>
      <c r="S58" s="19"/>
      <c r="T58" s="19"/>
      <c r="U58" s="19"/>
      <c r="V58" s="19"/>
      <c r="W58" s="19">
        <f t="shared" si="37"/>
        <v>15000</v>
      </c>
      <c r="X58" s="19">
        <f t="shared" si="37"/>
        <v>15000</v>
      </c>
      <c r="Y58" s="19">
        <f t="shared" si="37"/>
        <v>15000</v>
      </c>
      <c r="Z58" s="19">
        <f t="shared" si="37"/>
        <v>15000</v>
      </c>
      <c r="AA58" s="19">
        <f t="shared" si="37"/>
        <v>15000</v>
      </c>
      <c r="AB58" s="20">
        <f t="shared" si="38"/>
        <v>75000</v>
      </c>
    </row>
    <row r="59" spans="1:29" outlineLevel="2" x14ac:dyDescent="0.3">
      <c r="A59" s="24" t="str">
        <f t="shared" si="33"/>
        <v>Monitoring Tools</v>
      </c>
      <c r="B59" s="24"/>
      <c r="C59" s="27">
        <f t="shared" si="34"/>
        <v>5000</v>
      </c>
      <c r="D59" s="27">
        <f t="shared" si="34"/>
        <v>1000</v>
      </c>
      <c r="E59" s="28">
        <f t="shared" si="34"/>
        <v>2</v>
      </c>
      <c r="F59" s="29">
        <f t="shared" si="34"/>
        <v>0.4</v>
      </c>
      <c r="G59" s="87" t="str">
        <f t="shared" si="35"/>
        <v>server</v>
      </c>
      <c r="H59" s="87" t="str">
        <f t="shared" si="35"/>
        <v>server</v>
      </c>
      <c r="I59" s="87">
        <f t="shared" si="35"/>
        <v>1</v>
      </c>
      <c r="J59" s="1">
        <f t="shared" si="39"/>
        <v>0.66666666666666663</v>
      </c>
      <c r="K59" s="1">
        <f t="shared" si="40"/>
        <v>10</v>
      </c>
      <c r="L59" s="1">
        <f t="shared" si="40"/>
        <v>10</v>
      </c>
      <c r="O59">
        <f t="shared" si="41"/>
        <v>0.66666666666666663</v>
      </c>
      <c r="P59" s="10" t="s">
        <v>34</v>
      </c>
      <c r="Q59" s="86">
        <f t="shared" si="42"/>
        <v>0.66666666666666663</v>
      </c>
      <c r="R59" s="19">
        <f t="shared" si="36"/>
        <v>1999.9999999999998</v>
      </c>
      <c r="S59" s="19"/>
      <c r="T59" s="19"/>
      <c r="U59" s="19"/>
      <c r="V59" s="19"/>
      <c r="W59" s="19">
        <f t="shared" si="37"/>
        <v>0</v>
      </c>
      <c r="X59" s="19">
        <f t="shared" si="37"/>
        <v>399.99999999999994</v>
      </c>
      <c r="Y59" s="19">
        <f t="shared" si="37"/>
        <v>399.99999999999994</v>
      </c>
      <c r="Z59" s="19">
        <f t="shared" si="37"/>
        <v>399.99999999999994</v>
      </c>
      <c r="AA59" s="19">
        <f t="shared" si="37"/>
        <v>399.99999999999994</v>
      </c>
      <c r="AB59" s="20">
        <f t="shared" si="38"/>
        <v>3599.9999999999995</v>
      </c>
    </row>
    <row r="60" spans="1:29" outlineLevel="2" x14ac:dyDescent="0.3">
      <c r="A60" s="24" t="str">
        <f t="shared" si="33"/>
        <v>Security Tools</v>
      </c>
      <c r="B60" s="24"/>
      <c r="C60" s="27">
        <f t="shared" si="34"/>
        <v>5000</v>
      </c>
      <c r="D60" s="27">
        <f t="shared" si="34"/>
        <v>1000</v>
      </c>
      <c r="E60" s="28">
        <f t="shared" si="34"/>
        <v>2</v>
      </c>
      <c r="F60" s="29">
        <f t="shared" si="34"/>
        <v>0.4</v>
      </c>
      <c r="G60" s="87" t="str">
        <f t="shared" si="35"/>
        <v>server</v>
      </c>
      <c r="H60" s="87" t="str">
        <f t="shared" si="35"/>
        <v>server</v>
      </c>
      <c r="I60" s="87">
        <f t="shared" si="35"/>
        <v>1</v>
      </c>
      <c r="J60" s="1">
        <f t="shared" si="39"/>
        <v>0.66666666666666663</v>
      </c>
      <c r="K60" s="1">
        <f t="shared" si="40"/>
        <v>10</v>
      </c>
      <c r="L60" s="1">
        <f t="shared" si="40"/>
        <v>10</v>
      </c>
      <c r="O60">
        <f t="shared" si="41"/>
        <v>0.66666666666666663</v>
      </c>
      <c r="P60" s="10" t="s">
        <v>34</v>
      </c>
      <c r="Q60" s="86">
        <f t="shared" si="42"/>
        <v>0.66666666666666663</v>
      </c>
      <c r="R60" s="19">
        <f t="shared" si="36"/>
        <v>1999.9999999999998</v>
      </c>
      <c r="S60" s="19"/>
      <c r="T60" s="19"/>
      <c r="U60" s="19"/>
      <c r="V60" s="19"/>
      <c r="W60" s="19">
        <f t="shared" si="37"/>
        <v>0</v>
      </c>
      <c r="X60" s="19">
        <f t="shared" si="37"/>
        <v>399.99999999999994</v>
      </c>
      <c r="Y60" s="19">
        <f t="shared" si="37"/>
        <v>399.99999999999994</v>
      </c>
      <c r="Z60" s="19">
        <f t="shared" si="37"/>
        <v>399.99999999999994</v>
      </c>
      <c r="AA60" s="19">
        <f t="shared" si="37"/>
        <v>399.99999999999994</v>
      </c>
      <c r="AB60" s="20">
        <f t="shared" si="38"/>
        <v>3599.9999999999995</v>
      </c>
    </row>
    <row r="61" spans="1:29" s="39" customFormat="1" outlineLevel="1" x14ac:dyDescent="0.3">
      <c r="Q61" s="64" t="s">
        <v>100</v>
      </c>
      <c r="R61" s="61">
        <f>SUM(R54:R60)</f>
        <v>264000</v>
      </c>
      <c r="S61" s="61">
        <f t="shared" ref="S61:AB61" si="43">SUM(S54:S60)</f>
        <v>0</v>
      </c>
      <c r="T61" s="61">
        <f t="shared" si="43"/>
        <v>0</v>
      </c>
      <c r="U61" s="61">
        <f t="shared" si="43"/>
        <v>0</v>
      </c>
      <c r="V61" s="61">
        <f t="shared" si="43"/>
        <v>0</v>
      </c>
      <c r="W61" s="61">
        <f t="shared" si="43"/>
        <v>63000</v>
      </c>
      <c r="X61" s="61">
        <f t="shared" si="43"/>
        <v>115800</v>
      </c>
      <c r="Y61" s="61">
        <f t="shared" si="43"/>
        <v>115800</v>
      </c>
      <c r="Z61" s="61">
        <f t="shared" si="43"/>
        <v>115800</v>
      </c>
      <c r="AA61" s="61">
        <f t="shared" si="43"/>
        <v>115800</v>
      </c>
      <c r="AB61" s="62">
        <f t="shared" si="43"/>
        <v>790200</v>
      </c>
    </row>
    <row r="62" spans="1:29" ht="15" outlineLevel="1" thickBot="1" x14ac:dyDescent="0.35"/>
    <row r="63" spans="1:29" ht="34.5" customHeight="1" outlineLevel="1" thickBot="1" x14ac:dyDescent="0.35">
      <c r="A63" s="48" t="s">
        <v>10</v>
      </c>
      <c r="C63" s="11" t="s">
        <v>64</v>
      </c>
      <c r="D63" s="11" t="s">
        <v>21</v>
      </c>
      <c r="E63" s="11" t="s">
        <v>63</v>
      </c>
      <c r="F63" s="11" t="s">
        <v>22</v>
      </c>
      <c r="G63" s="11" t="s">
        <v>65</v>
      </c>
      <c r="H63" s="11" t="s">
        <v>94</v>
      </c>
      <c r="I63" s="83" t="s">
        <v>95</v>
      </c>
      <c r="J63" s="83" t="s">
        <v>34</v>
      </c>
      <c r="K63" s="83" t="s">
        <v>32</v>
      </c>
      <c r="L63" s="83" t="s">
        <v>33</v>
      </c>
      <c r="O63" s="5" t="s">
        <v>97</v>
      </c>
      <c r="P63" s="11" t="s">
        <v>65</v>
      </c>
      <c r="Q63" s="10" t="s">
        <v>66</v>
      </c>
      <c r="R63" s="53">
        <v>1</v>
      </c>
      <c r="S63" s="54">
        <v>2</v>
      </c>
      <c r="T63" s="54">
        <v>3</v>
      </c>
      <c r="U63" s="54">
        <v>4</v>
      </c>
      <c r="V63" s="55">
        <v>5</v>
      </c>
      <c r="W63" s="53">
        <v>1</v>
      </c>
      <c r="X63" s="54">
        <v>2</v>
      </c>
      <c r="Y63" s="54">
        <v>3</v>
      </c>
      <c r="Z63" s="54">
        <v>4</v>
      </c>
      <c r="AA63" s="55">
        <v>5</v>
      </c>
      <c r="AB63" s="57" t="s">
        <v>19</v>
      </c>
      <c r="AC63" s="10"/>
    </row>
    <row r="64" spans="1:29" outlineLevel="2" x14ac:dyDescent="0.3">
      <c r="A64" s="24" t="str">
        <f t="shared" ref="A64:A70" si="44">A24</f>
        <v>OS</v>
      </c>
      <c r="B64" s="24"/>
      <c r="C64" s="27">
        <f t="shared" ref="C64:F70" si="45">C24</f>
        <v>0</v>
      </c>
      <c r="D64" s="27">
        <f t="shared" si="45"/>
        <v>6000</v>
      </c>
      <c r="E64" s="28">
        <f t="shared" si="45"/>
        <v>1</v>
      </c>
      <c r="F64" s="29">
        <f t="shared" si="45"/>
        <v>0.2</v>
      </c>
      <c r="G64" s="87" t="str">
        <f t="shared" ref="G64:I70" si="46">G54</f>
        <v>core</v>
      </c>
      <c r="H64" s="87" t="str">
        <f t="shared" si="46"/>
        <v>core</v>
      </c>
      <c r="I64" s="87">
        <f t="shared" si="46"/>
        <v>1</v>
      </c>
      <c r="J64" s="36">
        <f>$O$14</f>
        <v>0</v>
      </c>
      <c r="K64" s="36">
        <f>$P$14</f>
        <v>0</v>
      </c>
      <c r="L64" s="36">
        <f>$Q$14</f>
        <v>0</v>
      </c>
      <c r="O64">
        <f>_xlfn.XLOOKUP($H64,$J$23:$L$23,$J64:$L64)</f>
        <v>0</v>
      </c>
      <c r="P64" s="10" t="s">
        <v>32</v>
      </c>
      <c r="Q64" s="86">
        <f>I64*O64</f>
        <v>0</v>
      </c>
      <c r="R64" s="19">
        <f t="shared" ref="R64:R70" si="47">$Q64*$C64*(1-$F64)</f>
        <v>0</v>
      </c>
      <c r="S64" s="19"/>
      <c r="T64" s="19"/>
      <c r="U64" s="19"/>
      <c r="V64" s="19"/>
      <c r="W64" s="19">
        <f t="shared" ref="W64:AA70" si="48">IF(W$9&lt;$E64,0,$Q64*$D64)*(1-$F64)</f>
        <v>0</v>
      </c>
      <c r="X64" s="19">
        <f t="shared" si="48"/>
        <v>0</v>
      </c>
      <c r="Y64" s="19">
        <f t="shared" si="48"/>
        <v>0</v>
      </c>
      <c r="Z64" s="19">
        <f t="shared" si="48"/>
        <v>0</v>
      </c>
      <c r="AA64" s="19">
        <f t="shared" si="48"/>
        <v>0</v>
      </c>
      <c r="AB64" s="20">
        <f t="shared" ref="AB64:AB70" si="49">SUM(R64:AA64)</f>
        <v>0</v>
      </c>
    </row>
    <row r="65" spans="1:29" outlineLevel="2" x14ac:dyDescent="0.3">
      <c r="A65" s="24" t="str">
        <f t="shared" si="44"/>
        <v>VM</v>
      </c>
      <c r="B65" s="24"/>
      <c r="C65" s="27">
        <f t="shared" si="45"/>
        <v>0</v>
      </c>
      <c r="D65" s="27">
        <f t="shared" si="45"/>
        <v>0</v>
      </c>
      <c r="E65" s="28">
        <f t="shared" si="45"/>
        <v>2</v>
      </c>
      <c r="F65" s="29">
        <f t="shared" si="45"/>
        <v>0.2</v>
      </c>
      <c r="G65" s="87" t="str">
        <f t="shared" si="46"/>
        <v>core</v>
      </c>
      <c r="H65" s="87" t="str">
        <f t="shared" si="46"/>
        <v>core</v>
      </c>
      <c r="I65" s="87">
        <f t="shared" si="46"/>
        <v>1</v>
      </c>
      <c r="J65" s="1">
        <f t="shared" ref="J65:J70" si="50">J64</f>
        <v>0</v>
      </c>
      <c r="K65" s="1">
        <f t="shared" ref="K65:L70" si="51">K64</f>
        <v>0</v>
      </c>
      <c r="L65" s="1">
        <f t="shared" si="51"/>
        <v>0</v>
      </c>
      <c r="O65">
        <f t="shared" ref="O65:O70" si="52">_xlfn.SINGLE(_xlfn.XLOOKUP($H65,$J$23:$L$23,$J65:$L65))</f>
        <v>0</v>
      </c>
      <c r="P65" s="10" t="s">
        <v>32</v>
      </c>
      <c r="Q65" s="86">
        <f t="shared" ref="Q65:Q70" si="53">I65*O65</f>
        <v>0</v>
      </c>
      <c r="R65" s="19">
        <f t="shared" si="47"/>
        <v>0</v>
      </c>
      <c r="S65" s="19"/>
      <c r="T65" s="19"/>
      <c r="U65" s="19"/>
      <c r="V65" s="19"/>
      <c r="W65" s="19">
        <f t="shared" si="48"/>
        <v>0</v>
      </c>
      <c r="X65" s="19">
        <f t="shared" si="48"/>
        <v>0</v>
      </c>
      <c r="Y65" s="19">
        <f t="shared" si="48"/>
        <v>0</v>
      </c>
      <c r="Z65" s="19">
        <f t="shared" si="48"/>
        <v>0</v>
      </c>
      <c r="AA65" s="19">
        <f t="shared" si="48"/>
        <v>0</v>
      </c>
      <c r="AB65" s="20">
        <f t="shared" si="49"/>
        <v>0</v>
      </c>
    </row>
    <row r="66" spans="1:29" outlineLevel="2" x14ac:dyDescent="0.3">
      <c r="A66" s="24" t="str">
        <f t="shared" si="44"/>
        <v>Application Server</v>
      </c>
      <c r="B66" s="24"/>
      <c r="C66" s="27">
        <f t="shared" si="45"/>
        <v>100</v>
      </c>
      <c r="D66" s="27">
        <f t="shared" si="45"/>
        <v>20</v>
      </c>
      <c r="E66" s="28">
        <f t="shared" si="45"/>
        <v>2</v>
      </c>
      <c r="F66" s="29">
        <f t="shared" si="45"/>
        <v>0.5</v>
      </c>
      <c r="G66" s="87" t="str">
        <f t="shared" si="46"/>
        <v>PVU</v>
      </c>
      <c r="H66" s="87" t="str">
        <f t="shared" si="46"/>
        <v>core</v>
      </c>
      <c r="I66" s="87">
        <f t="shared" si="46"/>
        <v>120</v>
      </c>
      <c r="J66" s="1">
        <f t="shared" si="50"/>
        <v>0</v>
      </c>
      <c r="K66" s="1">
        <f t="shared" si="51"/>
        <v>0</v>
      </c>
      <c r="L66" s="1">
        <f t="shared" si="51"/>
        <v>0</v>
      </c>
      <c r="O66">
        <f t="shared" si="52"/>
        <v>0</v>
      </c>
      <c r="P66" s="10" t="s">
        <v>96</v>
      </c>
      <c r="Q66" s="86">
        <f t="shared" si="53"/>
        <v>0</v>
      </c>
      <c r="R66" s="19">
        <f t="shared" si="47"/>
        <v>0</v>
      </c>
      <c r="S66" s="19"/>
      <c r="T66" s="19"/>
      <c r="U66" s="19"/>
      <c r="V66" s="19"/>
      <c r="W66" s="19">
        <f t="shared" si="48"/>
        <v>0</v>
      </c>
      <c r="X66" s="19">
        <f t="shared" si="48"/>
        <v>0</v>
      </c>
      <c r="Y66" s="19">
        <f t="shared" si="48"/>
        <v>0</v>
      </c>
      <c r="Z66" s="19">
        <f t="shared" si="48"/>
        <v>0</v>
      </c>
      <c r="AA66" s="19">
        <f t="shared" si="48"/>
        <v>0</v>
      </c>
      <c r="AB66" s="20">
        <f t="shared" si="49"/>
        <v>0</v>
      </c>
    </row>
    <row r="67" spans="1:29" outlineLevel="2" x14ac:dyDescent="0.3">
      <c r="A67" s="24" t="str">
        <f t="shared" si="44"/>
        <v>DB</v>
      </c>
      <c r="B67" s="24"/>
      <c r="C67" s="27">
        <f t="shared" si="45"/>
        <v>40000</v>
      </c>
      <c r="D67" s="27">
        <f t="shared" si="45"/>
        <v>8000</v>
      </c>
      <c r="E67" s="28">
        <f t="shared" si="45"/>
        <v>2</v>
      </c>
      <c r="F67" s="29">
        <f t="shared" si="45"/>
        <v>0.5</v>
      </c>
      <c r="G67" s="87" t="str">
        <f t="shared" si="46"/>
        <v>core</v>
      </c>
      <c r="H67" s="87" t="str">
        <f t="shared" si="46"/>
        <v>core</v>
      </c>
      <c r="I67" s="87">
        <f t="shared" si="46"/>
        <v>1</v>
      </c>
      <c r="J67" s="1">
        <f t="shared" si="50"/>
        <v>0</v>
      </c>
      <c r="K67" s="1">
        <f t="shared" si="51"/>
        <v>0</v>
      </c>
      <c r="L67" s="1">
        <f t="shared" si="51"/>
        <v>0</v>
      </c>
      <c r="O67">
        <f t="shared" si="52"/>
        <v>0</v>
      </c>
      <c r="P67" s="10" t="s">
        <v>33</v>
      </c>
      <c r="Q67" s="86">
        <f t="shared" si="53"/>
        <v>0</v>
      </c>
      <c r="R67" s="19">
        <f t="shared" si="47"/>
        <v>0</v>
      </c>
      <c r="S67" s="19"/>
      <c r="T67" s="19"/>
      <c r="U67" s="19"/>
      <c r="V67" s="19"/>
      <c r="W67" s="19">
        <f t="shared" si="48"/>
        <v>0</v>
      </c>
      <c r="X67" s="19">
        <f t="shared" si="48"/>
        <v>0</v>
      </c>
      <c r="Y67" s="19">
        <f t="shared" si="48"/>
        <v>0</v>
      </c>
      <c r="Z67" s="19">
        <f t="shared" si="48"/>
        <v>0</v>
      </c>
      <c r="AA67" s="19">
        <f t="shared" si="48"/>
        <v>0</v>
      </c>
      <c r="AB67" s="20">
        <f t="shared" si="49"/>
        <v>0</v>
      </c>
    </row>
    <row r="68" spans="1:29" outlineLevel="2" x14ac:dyDescent="0.3">
      <c r="A68" s="24" t="str">
        <f t="shared" si="44"/>
        <v>Data Replication Tools</v>
      </c>
      <c r="B68" s="24"/>
      <c r="C68" s="27">
        <f t="shared" si="45"/>
        <v>0</v>
      </c>
      <c r="D68" s="27">
        <f t="shared" si="45"/>
        <v>3000</v>
      </c>
      <c r="E68" s="28">
        <f t="shared" si="45"/>
        <v>1</v>
      </c>
      <c r="F68" s="29">
        <f t="shared" si="45"/>
        <v>0.5</v>
      </c>
      <c r="G68" s="87" t="str">
        <f t="shared" si="46"/>
        <v>core</v>
      </c>
      <c r="H68" s="87" t="str">
        <f t="shared" si="46"/>
        <v>core</v>
      </c>
      <c r="I68" s="87">
        <f t="shared" si="46"/>
        <v>1</v>
      </c>
      <c r="J68" s="1">
        <f t="shared" si="50"/>
        <v>0</v>
      </c>
      <c r="K68" s="1">
        <f t="shared" si="51"/>
        <v>0</v>
      </c>
      <c r="L68" s="1">
        <f t="shared" si="51"/>
        <v>0</v>
      </c>
      <c r="O68">
        <f t="shared" si="52"/>
        <v>0</v>
      </c>
      <c r="P68" s="10" t="s">
        <v>33</v>
      </c>
      <c r="Q68" s="86">
        <f t="shared" si="53"/>
        <v>0</v>
      </c>
      <c r="R68" s="19">
        <f t="shared" si="47"/>
        <v>0</v>
      </c>
      <c r="S68" s="19"/>
      <c r="T68" s="19"/>
      <c r="U68" s="19"/>
      <c r="V68" s="19"/>
      <c r="W68" s="19">
        <f t="shared" si="48"/>
        <v>0</v>
      </c>
      <c r="X68" s="19">
        <f t="shared" si="48"/>
        <v>0</v>
      </c>
      <c r="Y68" s="19">
        <f t="shared" si="48"/>
        <v>0</v>
      </c>
      <c r="Z68" s="19">
        <f t="shared" si="48"/>
        <v>0</v>
      </c>
      <c r="AA68" s="19">
        <f t="shared" si="48"/>
        <v>0</v>
      </c>
      <c r="AB68" s="20">
        <f t="shared" si="49"/>
        <v>0</v>
      </c>
    </row>
    <row r="69" spans="1:29" outlineLevel="2" x14ac:dyDescent="0.3">
      <c r="A69" s="24" t="str">
        <f t="shared" si="44"/>
        <v>Monitoring Tools</v>
      </c>
      <c r="B69" s="24"/>
      <c r="C69" s="27">
        <f t="shared" si="45"/>
        <v>5000</v>
      </c>
      <c r="D69" s="27">
        <f t="shared" si="45"/>
        <v>1000</v>
      </c>
      <c r="E69" s="28">
        <f t="shared" si="45"/>
        <v>2</v>
      </c>
      <c r="F69" s="29">
        <f t="shared" si="45"/>
        <v>0.4</v>
      </c>
      <c r="G69" s="87" t="str">
        <f t="shared" si="46"/>
        <v>server</v>
      </c>
      <c r="H69" s="87" t="str">
        <f t="shared" si="46"/>
        <v>server</v>
      </c>
      <c r="I69" s="87">
        <f t="shared" si="46"/>
        <v>1</v>
      </c>
      <c r="J69" s="1">
        <f t="shared" si="50"/>
        <v>0</v>
      </c>
      <c r="K69" s="1">
        <f t="shared" si="51"/>
        <v>0</v>
      </c>
      <c r="L69" s="1">
        <f t="shared" si="51"/>
        <v>0</v>
      </c>
      <c r="O69">
        <f t="shared" si="52"/>
        <v>0</v>
      </c>
      <c r="P69" s="10" t="s">
        <v>34</v>
      </c>
      <c r="Q69" s="86">
        <f t="shared" si="53"/>
        <v>0</v>
      </c>
      <c r="R69" s="19">
        <f t="shared" si="47"/>
        <v>0</v>
      </c>
      <c r="S69" s="19"/>
      <c r="T69" s="19"/>
      <c r="U69" s="19"/>
      <c r="V69" s="19"/>
      <c r="W69" s="19">
        <f t="shared" si="48"/>
        <v>0</v>
      </c>
      <c r="X69" s="19">
        <f t="shared" si="48"/>
        <v>0</v>
      </c>
      <c r="Y69" s="19">
        <f t="shared" si="48"/>
        <v>0</v>
      </c>
      <c r="Z69" s="19">
        <f t="shared" si="48"/>
        <v>0</v>
      </c>
      <c r="AA69" s="19">
        <f t="shared" si="48"/>
        <v>0</v>
      </c>
      <c r="AB69" s="20">
        <f t="shared" si="49"/>
        <v>0</v>
      </c>
    </row>
    <row r="70" spans="1:29" outlineLevel="2" x14ac:dyDescent="0.3">
      <c r="A70" s="24" t="str">
        <f t="shared" si="44"/>
        <v>Security Tools</v>
      </c>
      <c r="B70" s="24"/>
      <c r="C70" s="27">
        <f t="shared" si="45"/>
        <v>5000</v>
      </c>
      <c r="D70" s="27">
        <f t="shared" si="45"/>
        <v>1000</v>
      </c>
      <c r="E70" s="28">
        <f t="shared" si="45"/>
        <v>2</v>
      </c>
      <c r="F70" s="29">
        <f t="shared" si="45"/>
        <v>0.4</v>
      </c>
      <c r="G70" s="87" t="str">
        <f t="shared" si="46"/>
        <v>server</v>
      </c>
      <c r="H70" s="87" t="str">
        <f t="shared" si="46"/>
        <v>server</v>
      </c>
      <c r="I70" s="87">
        <f t="shared" si="46"/>
        <v>1</v>
      </c>
      <c r="J70" s="1">
        <f t="shared" si="50"/>
        <v>0</v>
      </c>
      <c r="K70" s="1">
        <f t="shared" si="51"/>
        <v>0</v>
      </c>
      <c r="L70" s="1">
        <f t="shared" si="51"/>
        <v>0</v>
      </c>
      <c r="O70">
        <f t="shared" si="52"/>
        <v>0</v>
      </c>
      <c r="P70" s="10" t="s">
        <v>34</v>
      </c>
      <c r="Q70" s="86">
        <f t="shared" si="53"/>
        <v>0</v>
      </c>
      <c r="R70" s="19">
        <f t="shared" si="47"/>
        <v>0</v>
      </c>
      <c r="S70" s="19"/>
      <c r="T70" s="19"/>
      <c r="U70" s="19"/>
      <c r="V70" s="19"/>
      <c r="W70" s="19">
        <f t="shared" si="48"/>
        <v>0</v>
      </c>
      <c r="X70" s="19">
        <f t="shared" si="48"/>
        <v>0</v>
      </c>
      <c r="Y70" s="19">
        <f t="shared" si="48"/>
        <v>0</v>
      </c>
      <c r="Z70" s="19">
        <f t="shared" si="48"/>
        <v>0</v>
      </c>
      <c r="AA70" s="19">
        <f t="shared" si="48"/>
        <v>0</v>
      </c>
      <c r="AB70" s="20">
        <f t="shared" si="49"/>
        <v>0</v>
      </c>
    </row>
    <row r="71" spans="1:29" s="39" customFormat="1" outlineLevel="1" x14ac:dyDescent="0.3">
      <c r="Q71" s="64" t="s">
        <v>10</v>
      </c>
      <c r="R71" s="61">
        <f>SUM(R64:R70)</f>
        <v>0</v>
      </c>
      <c r="S71" s="61">
        <f t="shared" ref="S71:AB71" si="54">SUM(S64:S70)</f>
        <v>0</v>
      </c>
      <c r="T71" s="61">
        <f t="shared" si="54"/>
        <v>0</v>
      </c>
      <c r="U71" s="61">
        <f t="shared" si="54"/>
        <v>0</v>
      </c>
      <c r="V71" s="61">
        <f t="shared" si="54"/>
        <v>0</v>
      </c>
      <c r="W71" s="61">
        <f t="shared" si="54"/>
        <v>0</v>
      </c>
      <c r="X71" s="61">
        <f t="shared" si="54"/>
        <v>0</v>
      </c>
      <c r="Y71" s="61">
        <f t="shared" si="54"/>
        <v>0</v>
      </c>
      <c r="Z71" s="61">
        <f t="shared" si="54"/>
        <v>0</v>
      </c>
      <c r="AA71" s="61">
        <f t="shared" si="54"/>
        <v>0</v>
      </c>
      <c r="AB71" s="62">
        <f t="shared" si="54"/>
        <v>0</v>
      </c>
    </row>
    <row r="72" spans="1:29" outlineLevel="1" x14ac:dyDescent="0.3"/>
    <row r="73" spans="1:29" x14ac:dyDescent="0.3">
      <c r="O73" s="64" t="s">
        <v>72</v>
      </c>
      <c r="P73" s="8"/>
      <c r="R73" s="62">
        <f>R31+R41+R51+R61+R71</f>
        <v>792000</v>
      </c>
      <c r="S73" s="62">
        <f t="shared" ref="S73:AB73" si="55">S31+S41+S51+S61+S71</f>
        <v>0</v>
      </c>
      <c r="T73" s="62">
        <f t="shared" si="55"/>
        <v>0</v>
      </c>
      <c r="U73" s="62">
        <f t="shared" si="55"/>
        <v>0</v>
      </c>
      <c r="V73" s="62">
        <f t="shared" si="55"/>
        <v>0</v>
      </c>
      <c r="W73" s="62">
        <f t="shared" si="55"/>
        <v>189000</v>
      </c>
      <c r="X73" s="62">
        <f t="shared" si="55"/>
        <v>347400</v>
      </c>
      <c r="Y73" s="62">
        <f t="shared" si="55"/>
        <v>347400</v>
      </c>
      <c r="Z73" s="62">
        <f t="shared" si="55"/>
        <v>347400</v>
      </c>
      <c r="AA73" s="62">
        <f t="shared" si="55"/>
        <v>347400</v>
      </c>
      <c r="AB73" s="62">
        <f t="shared" si="55"/>
        <v>2370600</v>
      </c>
      <c r="AC73" s="5" t="s">
        <v>19</v>
      </c>
    </row>
    <row r="75" spans="1:29" s="60" customFormat="1" ht="28.5" customHeight="1" thickBot="1" x14ac:dyDescent="0.35">
      <c r="A75" s="58" t="s">
        <v>3</v>
      </c>
      <c r="B75" s="58"/>
      <c r="R75" s="59"/>
      <c r="S75" s="59"/>
      <c r="T75" s="59"/>
      <c r="U75" s="59"/>
      <c r="V75" s="59"/>
      <c r="W75" s="59"/>
      <c r="X75" s="59"/>
      <c r="Y75" s="59"/>
      <c r="Z75" s="59"/>
      <c r="AA75" s="59"/>
      <c r="AB75" s="59"/>
      <c r="AC75" s="59"/>
    </row>
    <row r="76" spans="1:29" ht="29.4" outlineLevel="1" thickBot="1" x14ac:dyDescent="0.35">
      <c r="A76" s="5" t="s">
        <v>3</v>
      </c>
      <c r="B76" s="5"/>
      <c r="N76" s="10"/>
      <c r="O76" s="18" t="s">
        <v>17</v>
      </c>
      <c r="P76" s="7" t="s">
        <v>78</v>
      </c>
      <c r="R76" s="53">
        <v>1</v>
      </c>
      <c r="S76" s="54">
        <v>2</v>
      </c>
      <c r="T76" s="54">
        <v>3</v>
      </c>
      <c r="U76" s="54">
        <v>4</v>
      </c>
      <c r="V76" s="55">
        <v>5</v>
      </c>
      <c r="W76" s="53">
        <v>1</v>
      </c>
      <c r="X76" s="54">
        <v>2</v>
      </c>
      <c r="Y76" s="54">
        <v>3</v>
      </c>
      <c r="Z76" s="54">
        <v>4</v>
      </c>
      <c r="AA76" s="55">
        <v>5</v>
      </c>
      <c r="AB76" s="57" t="s">
        <v>19</v>
      </c>
    </row>
    <row r="77" spans="1:29" outlineLevel="1" x14ac:dyDescent="0.3">
      <c r="A77" t="s">
        <v>80</v>
      </c>
      <c r="D77" s="13">
        <v>10</v>
      </c>
      <c r="E77" t="s">
        <v>73</v>
      </c>
      <c r="N77" s="14" t="s">
        <v>6</v>
      </c>
      <c r="O77" s="33">
        <f>$O$10</f>
        <v>0.66666666666666663</v>
      </c>
      <c r="P77" s="9">
        <f>$O77/$D$77</f>
        <v>6.6666666666666666E-2</v>
      </c>
      <c r="R77" s="19"/>
      <c r="S77" s="19"/>
      <c r="T77" s="19"/>
      <c r="U77" s="19"/>
      <c r="V77" s="19"/>
      <c r="W77" s="19">
        <f>$D$78*$P77</f>
        <v>6666.666666666667</v>
      </c>
      <c r="X77" s="19">
        <f t="shared" ref="X77:AA81" si="56">$D$78*$P77</f>
        <v>6666.666666666667</v>
      </c>
      <c r="Y77" s="19">
        <f t="shared" si="56"/>
        <v>6666.666666666667</v>
      </c>
      <c r="Z77" s="19">
        <f t="shared" si="56"/>
        <v>6666.666666666667</v>
      </c>
      <c r="AA77" s="19">
        <f t="shared" si="56"/>
        <v>6666.666666666667</v>
      </c>
      <c r="AB77" s="20">
        <f>SUM(R77:AA77)</f>
        <v>33333.333333333336</v>
      </c>
      <c r="AC77" s="1" t="s">
        <v>6</v>
      </c>
    </row>
    <row r="78" spans="1:29" outlineLevel="1" x14ac:dyDescent="0.3">
      <c r="A78" t="s">
        <v>35</v>
      </c>
      <c r="D78" s="26">
        <v>100000</v>
      </c>
      <c r="N78" s="14" t="s">
        <v>7</v>
      </c>
      <c r="O78" s="33">
        <f>$O$11</f>
        <v>0.33333333333333331</v>
      </c>
      <c r="P78" s="9">
        <f>$O78/$D$77</f>
        <v>3.3333333333333333E-2</v>
      </c>
      <c r="R78" s="19"/>
      <c r="S78" s="19"/>
      <c r="T78" s="19"/>
      <c r="U78" s="19"/>
      <c r="V78" s="19"/>
      <c r="W78" s="19">
        <f>$D$78*$P78</f>
        <v>3333.3333333333335</v>
      </c>
      <c r="X78" s="19">
        <f t="shared" si="56"/>
        <v>3333.3333333333335</v>
      </c>
      <c r="Y78" s="19">
        <f t="shared" si="56"/>
        <v>3333.3333333333335</v>
      </c>
      <c r="Z78" s="19">
        <f t="shared" si="56"/>
        <v>3333.3333333333335</v>
      </c>
      <c r="AA78" s="19">
        <f t="shared" si="56"/>
        <v>3333.3333333333335</v>
      </c>
      <c r="AB78" s="20">
        <f>SUM(R78:AA78)</f>
        <v>16666.666666666668</v>
      </c>
      <c r="AC78" s="1" t="s">
        <v>7</v>
      </c>
    </row>
    <row r="79" spans="1:29" outlineLevel="1" x14ac:dyDescent="0.3">
      <c r="J79" s="63"/>
      <c r="N79" s="14" t="s">
        <v>8</v>
      </c>
      <c r="O79" s="33">
        <f>$O$12</f>
        <v>0.33333333333333331</v>
      </c>
      <c r="P79" s="9">
        <f>$O79/$D$77</f>
        <v>3.3333333333333333E-2</v>
      </c>
      <c r="R79" s="19"/>
      <c r="S79" s="19"/>
      <c r="T79" s="19"/>
      <c r="U79" s="19"/>
      <c r="V79" s="19"/>
      <c r="W79" s="19">
        <f>$D$78*$P79</f>
        <v>3333.3333333333335</v>
      </c>
      <c r="X79" s="19">
        <f t="shared" si="56"/>
        <v>3333.3333333333335</v>
      </c>
      <c r="Y79" s="19">
        <f t="shared" si="56"/>
        <v>3333.3333333333335</v>
      </c>
      <c r="Z79" s="19">
        <f t="shared" si="56"/>
        <v>3333.3333333333335</v>
      </c>
      <c r="AA79" s="19">
        <f t="shared" si="56"/>
        <v>3333.3333333333335</v>
      </c>
      <c r="AB79" s="20">
        <f>SUM(R79:AA79)</f>
        <v>16666.666666666668</v>
      </c>
      <c r="AC79" s="1" t="s">
        <v>8</v>
      </c>
    </row>
    <row r="80" spans="1:29" outlineLevel="1" x14ac:dyDescent="0.3">
      <c r="N80" s="14" t="s">
        <v>9</v>
      </c>
      <c r="O80" s="33">
        <f>$O$13</f>
        <v>0.66666666666666663</v>
      </c>
      <c r="P80" s="9">
        <f>$O80/$D$77</f>
        <v>6.6666666666666666E-2</v>
      </c>
      <c r="R80" s="19"/>
      <c r="S80" s="19"/>
      <c r="T80" s="19"/>
      <c r="U80" s="19"/>
      <c r="V80" s="19"/>
      <c r="W80" s="19">
        <f>$D$78*$P80</f>
        <v>6666.666666666667</v>
      </c>
      <c r="X80" s="19">
        <f t="shared" si="56"/>
        <v>6666.666666666667</v>
      </c>
      <c r="Y80" s="19">
        <f t="shared" si="56"/>
        <v>6666.666666666667</v>
      </c>
      <c r="Z80" s="19">
        <f t="shared" si="56"/>
        <v>6666.666666666667</v>
      </c>
      <c r="AA80" s="19">
        <f t="shared" si="56"/>
        <v>6666.666666666667</v>
      </c>
      <c r="AB80" s="20">
        <f>SUM(R80:AA80)</f>
        <v>33333.333333333336</v>
      </c>
      <c r="AC80" s="1" t="s">
        <v>9</v>
      </c>
    </row>
    <row r="81" spans="1:29" outlineLevel="1" x14ac:dyDescent="0.3">
      <c r="N81" s="14" t="s">
        <v>10</v>
      </c>
      <c r="O81" s="33">
        <f>$O$14</f>
        <v>0</v>
      </c>
      <c r="P81" s="9">
        <f>$O81/$D$77</f>
        <v>0</v>
      </c>
      <c r="R81" s="19"/>
      <c r="S81" s="19"/>
      <c r="T81" s="19"/>
      <c r="U81" s="19"/>
      <c r="V81" s="19"/>
      <c r="W81" s="19">
        <f>$D$78*$P81</f>
        <v>0</v>
      </c>
      <c r="X81" s="19">
        <f t="shared" si="56"/>
        <v>0</v>
      </c>
      <c r="Y81" s="19">
        <f t="shared" si="56"/>
        <v>0</v>
      </c>
      <c r="Z81" s="19">
        <f t="shared" si="56"/>
        <v>0</v>
      </c>
      <c r="AA81" s="19">
        <f t="shared" si="56"/>
        <v>0</v>
      </c>
      <c r="AB81" s="20">
        <f>SUM(R81:AA81)</f>
        <v>0</v>
      </c>
      <c r="AC81" s="1" t="s">
        <v>10</v>
      </c>
    </row>
    <row r="82" spans="1:29" x14ac:dyDescent="0.3">
      <c r="N82" s="14"/>
      <c r="O82" s="64" t="s">
        <v>79</v>
      </c>
      <c r="P82" s="50">
        <f>SUM(P77:P81)</f>
        <v>0.2</v>
      </c>
      <c r="R82" s="62">
        <f>SUM(R77:R81)</f>
        <v>0</v>
      </c>
      <c r="S82" s="62">
        <f t="shared" ref="S82:AB82" si="57">SUM(S77:S81)</f>
        <v>0</v>
      </c>
      <c r="T82" s="62">
        <f t="shared" si="57"/>
        <v>0</v>
      </c>
      <c r="U82" s="62">
        <f t="shared" si="57"/>
        <v>0</v>
      </c>
      <c r="V82" s="62">
        <f t="shared" si="57"/>
        <v>0</v>
      </c>
      <c r="W82" s="62">
        <f t="shared" si="57"/>
        <v>20000</v>
      </c>
      <c r="X82" s="62">
        <f t="shared" si="57"/>
        <v>20000</v>
      </c>
      <c r="Y82" s="62">
        <f t="shared" si="57"/>
        <v>20000</v>
      </c>
      <c r="Z82" s="62">
        <f t="shared" si="57"/>
        <v>20000</v>
      </c>
      <c r="AA82" s="62">
        <f t="shared" si="57"/>
        <v>20000</v>
      </c>
      <c r="AB82" s="62">
        <f t="shared" si="57"/>
        <v>100000</v>
      </c>
      <c r="AC82" s="5" t="s">
        <v>19</v>
      </c>
    </row>
    <row r="84" spans="1:29" s="60" customFormat="1" ht="28.5" customHeight="1" thickBot="1" x14ac:dyDescent="0.35">
      <c r="A84" s="58" t="s">
        <v>4</v>
      </c>
      <c r="B84" s="58"/>
      <c r="R84" s="59"/>
      <c r="S84" s="59"/>
      <c r="T84" s="59"/>
      <c r="U84" s="59"/>
      <c r="V84" s="59"/>
      <c r="W84" s="59"/>
      <c r="X84" s="59"/>
      <c r="Y84" s="59"/>
      <c r="Z84" s="59"/>
      <c r="AA84" s="59"/>
      <c r="AB84" s="59"/>
      <c r="AC84" s="59"/>
    </row>
    <row r="85" spans="1:29" ht="15" outlineLevel="1" thickBot="1" x14ac:dyDescent="0.35">
      <c r="A85" s="5" t="s">
        <v>4</v>
      </c>
      <c r="B85" s="5"/>
      <c r="O85" s="10"/>
      <c r="P85" s="18" t="s">
        <v>17</v>
      </c>
      <c r="R85" s="53">
        <v>1</v>
      </c>
      <c r="S85" s="54">
        <v>2</v>
      </c>
      <c r="T85" s="54">
        <v>3</v>
      </c>
      <c r="U85" s="54">
        <v>4</v>
      </c>
      <c r="V85" s="55">
        <v>5</v>
      </c>
      <c r="W85" s="53">
        <v>1</v>
      </c>
      <c r="X85" s="54">
        <v>2</v>
      </c>
      <c r="Y85" s="54">
        <v>3</v>
      </c>
      <c r="Z85" s="54">
        <v>4</v>
      </c>
      <c r="AA85" s="55">
        <v>5</v>
      </c>
      <c r="AB85" s="57" t="s">
        <v>19</v>
      </c>
    </row>
    <row r="86" spans="1:29" outlineLevel="1" x14ac:dyDescent="0.3">
      <c r="A86" t="s">
        <v>36</v>
      </c>
      <c r="D86" s="26">
        <v>14000</v>
      </c>
      <c r="O86" s="14" t="s">
        <v>6</v>
      </c>
      <c r="P86" s="33">
        <f>$O$10</f>
        <v>0.66666666666666663</v>
      </c>
      <c r="R86" s="19">
        <f>$P86*($D$86*(1-$D$87))</f>
        <v>6533.333333333333</v>
      </c>
      <c r="S86" s="19"/>
      <c r="T86" s="19"/>
      <c r="U86" s="19"/>
      <c r="V86" s="19"/>
      <c r="W86" s="19">
        <f t="shared" ref="W86:AA90" si="58">IF(W$85&gt;=$D$90,$P86*($D$89*(1-$D$87)),0)</f>
        <v>0</v>
      </c>
      <c r="X86" s="19">
        <f t="shared" si="58"/>
        <v>653.33333333333326</v>
      </c>
      <c r="Y86" s="19">
        <f t="shared" si="58"/>
        <v>653.33333333333326</v>
      </c>
      <c r="Z86" s="19">
        <f t="shared" si="58"/>
        <v>653.33333333333326</v>
      </c>
      <c r="AA86" s="19">
        <f t="shared" si="58"/>
        <v>653.33333333333326</v>
      </c>
      <c r="AB86" s="20">
        <f>SUM(R86:AA86)</f>
        <v>9146.6666666666661</v>
      </c>
      <c r="AC86" s="1" t="s">
        <v>6</v>
      </c>
    </row>
    <row r="87" spans="1:29" outlineLevel="1" x14ac:dyDescent="0.3">
      <c r="A87" t="s">
        <v>74</v>
      </c>
      <c r="D87" s="17">
        <v>0.3</v>
      </c>
      <c r="O87" s="14" t="s">
        <v>7</v>
      </c>
      <c r="P87" s="33">
        <f>$O$11</f>
        <v>0.33333333333333331</v>
      </c>
      <c r="R87" s="19">
        <f>$P87*($D$86*(1-$D$87))</f>
        <v>3266.6666666666665</v>
      </c>
      <c r="S87" s="19"/>
      <c r="T87" s="19"/>
      <c r="U87" s="19"/>
      <c r="V87" s="19"/>
      <c r="W87" s="19">
        <f t="shared" si="58"/>
        <v>0</v>
      </c>
      <c r="X87" s="19">
        <f t="shared" si="58"/>
        <v>326.66666666666663</v>
      </c>
      <c r="Y87" s="19">
        <f t="shared" si="58"/>
        <v>326.66666666666663</v>
      </c>
      <c r="Z87" s="19">
        <f t="shared" si="58"/>
        <v>326.66666666666663</v>
      </c>
      <c r="AA87" s="19">
        <f t="shared" si="58"/>
        <v>326.66666666666663</v>
      </c>
      <c r="AB87" s="20">
        <f>SUM(R87:AA87)</f>
        <v>4573.333333333333</v>
      </c>
      <c r="AC87" s="1" t="s">
        <v>7</v>
      </c>
    </row>
    <row r="88" spans="1:29" outlineLevel="1" x14ac:dyDescent="0.3">
      <c r="A88" t="s">
        <v>75</v>
      </c>
      <c r="D88" s="17">
        <v>0.1</v>
      </c>
      <c r="J88" s="63"/>
      <c r="O88" s="14" t="s">
        <v>8</v>
      </c>
      <c r="P88" s="33">
        <f>$O$12</f>
        <v>0.33333333333333331</v>
      </c>
      <c r="R88" s="19">
        <f>$P88*($D$86*(1-$D$87))</f>
        <v>3266.6666666666665</v>
      </c>
      <c r="S88" s="19"/>
      <c r="T88" s="19"/>
      <c r="U88" s="19"/>
      <c r="V88" s="19"/>
      <c r="W88" s="19">
        <f t="shared" si="58"/>
        <v>0</v>
      </c>
      <c r="X88" s="19">
        <f t="shared" si="58"/>
        <v>326.66666666666663</v>
      </c>
      <c r="Y88" s="19">
        <f t="shared" si="58"/>
        <v>326.66666666666663</v>
      </c>
      <c r="Z88" s="19">
        <f t="shared" si="58"/>
        <v>326.66666666666663</v>
      </c>
      <c r="AA88" s="19">
        <f t="shared" si="58"/>
        <v>326.66666666666663</v>
      </c>
      <c r="AB88" s="20">
        <f>SUM(R88:AA88)</f>
        <v>4573.333333333333</v>
      </c>
      <c r="AC88" s="1" t="s">
        <v>8</v>
      </c>
    </row>
    <row r="89" spans="1:29" outlineLevel="1" x14ac:dyDescent="0.3">
      <c r="A89" t="s">
        <v>76</v>
      </c>
      <c r="D89" s="19">
        <f>D86*D88</f>
        <v>1400</v>
      </c>
      <c r="O89" s="14" t="s">
        <v>9</v>
      </c>
      <c r="P89" s="33">
        <f>$O$13</f>
        <v>0.66666666666666663</v>
      </c>
      <c r="R89" s="19">
        <f>$P89*($D$86*(1-$D$87))</f>
        <v>6533.333333333333</v>
      </c>
      <c r="S89" s="19"/>
      <c r="T89" s="19"/>
      <c r="U89" s="19"/>
      <c r="V89" s="19"/>
      <c r="W89" s="19">
        <f t="shared" si="58"/>
        <v>0</v>
      </c>
      <c r="X89" s="19">
        <f t="shared" si="58"/>
        <v>653.33333333333326</v>
      </c>
      <c r="Y89" s="19">
        <f t="shared" si="58"/>
        <v>653.33333333333326</v>
      </c>
      <c r="Z89" s="19">
        <f t="shared" si="58"/>
        <v>653.33333333333326</v>
      </c>
      <c r="AA89" s="19">
        <f t="shared" si="58"/>
        <v>653.33333333333326</v>
      </c>
      <c r="AB89" s="20">
        <f>SUM(R89:AA89)</f>
        <v>9146.6666666666661</v>
      </c>
      <c r="AC89" s="1" t="s">
        <v>9</v>
      </c>
    </row>
    <row r="90" spans="1:29" outlineLevel="1" x14ac:dyDescent="0.3">
      <c r="A90" t="s">
        <v>15</v>
      </c>
      <c r="D90" s="13">
        <v>2</v>
      </c>
      <c r="O90" s="14" t="s">
        <v>10</v>
      </c>
      <c r="P90" s="33">
        <f>$O$14</f>
        <v>0</v>
      </c>
      <c r="R90" s="19">
        <f>$P90*($D$86*(1-$D$87))</f>
        <v>0</v>
      </c>
      <c r="S90" s="19"/>
      <c r="T90" s="19"/>
      <c r="U90" s="19"/>
      <c r="V90" s="19"/>
      <c r="W90" s="19">
        <f t="shared" si="58"/>
        <v>0</v>
      </c>
      <c r="X90" s="19">
        <f t="shared" si="58"/>
        <v>0</v>
      </c>
      <c r="Y90" s="19">
        <f t="shared" si="58"/>
        <v>0</v>
      </c>
      <c r="Z90" s="19">
        <f t="shared" si="58"/>
        <v>0</v>
      </c>
      <c r="AA90" s="19">
        <f t="shared" si="58"/>
        <v>0</v>
      </c>
      <c r="AB90" s="20">
        <f>SUM(R90:AA90)</f>
        <v>0</v>
      </c>
      <c r="AC90" s="1" t="s">
        <v>10</v>
      </c>
    </row>
    <row r="91" spans="1:29" x14ac:dyDescent="0.3">
      <c r="O91" s="64" t="s">
        <v>77</v>
      </c>
      <c r="P91" s="50">
        <f>SUM(P86:P90)</f>
        <v>2</v>
      </c>
      <c r="R91" s="62">
        <f>SUM(R86:R90)</f>
        <v>19600</v>
      </c>
      <c r="S91" s="62">
        <f t="shared" ref="S91:AB91" si="59">SUM(S86:S90)</f>
        <v>0</v>
      </c>
      <c r="T91" s="62">
        <f t="shared" si="59"/>
        <v>0</v>
      </c>
      <c r="U91" s="62">
        <f t="shared" si="59"/>
        <v>0</v>
      </c>
      <c r="V91" s="62">
        <f t="shared" si="59"/>
        <v>0</v>
      </c>
      <c r="W91" s="62">
        <f t="shared" si="59"/>
        <v>0</v>
      </c>
      <c r="X91" s="62">
        <f t="shared" si="59"/>
        <v>1959.9999999999998</v>
      </c>
      <c r="Y91" s="62">
        <f t="shared" si="59"/>
        <v>1959.9999999999998</v>
      </c>
      <c r="Z91" s="62">
        <f t="shared" si="59"/>
        <v>1959.9999999999998</v>
      </c>
      <c r="AA91" s="62">
        <f t="shared" si="59"/>
        <v>1959.9999999999998</v>
      </c>
      <c r="AB91" s="62">
        <f t="shared" si="59"/>
        <v>27440</v>
      </c>
      <c r="AC91" s="5" t="s">
        <v>19</v>
      </c>
    </row>
    <row r="93" spans="1:29" s="60" customFormat="1" ht="28.5" customHeight="1" thickBot="1" x14ac:dyDescent="0.35">
      <c r="A93" s="58" t="s">
        <v>5</v>
      </c>
      <c r="B93" s="58"/>
      <c r="R93" s="59"/>
      <c r="S93" s="59"/>
      <c r="T93" s="59"/>
      <c r="U93" s="59"/>
      <c r="V93" s="59"/>
      <c r="W93" s="59"/>
      <c r="X93" s="59"/>
      <c r="Y93" s="59"/>
      <c r="Z93" s="59"/>
      <c r="AA93" s="59"/>
      <c r="AB93" s="59"/>
      <c r="AC93" s="59"/>
    </row>
    <row r="94" spans="1:29" ht="29.4" outlineLevel="1" thickBot="1" x14ac:dyDescent="0.35">
      <c r="A94" s="5" t="s">
        <v>48</v>
      </c>
      <c r="B94" s="5"/>
      <c r="N94" s="10"/>
      <c r="O94" s="18" t="s">
        <v>17</v>
      </c>
      <c r="P94" s="18" t="s">
        <v>46</v>
      </c>
      <c r="Q94" s="18" t="s">
        <v>47</v>
      </c>
      <c r="R94" s="53">
        <v>1</v>
      </c>
      <c r="S94" s="54">
        <v>2</v>
      </c>
      <c r="T94" s="54">
        <v>3</v>
      </c>
      <c r="U94" s="54">
        <v>4</v>
      </c>
      <c r="V94" s="55">
        <v>5</v>
      </c>
      <c r="W94" s="53">
        <v>1</v>
      </c>
      <c r="X94" s="54">
        <v>2</v>
      </c>
      <c r="Y94" s="54">
        <v>3</v>
      </c>
      <c r="Z94" s="54">
        <v>4</v>
      </c>
      <c r="AA94" s="55">
        <v>5</v>
      </c>
      <c r="AB94" s="57" t="s">
        <v>19</v>
      </c>
    </row>
    <row r="95" spans="1:29" outlineLevel="2" x14ac:dyDescent="0.3">
      <c r="A95" t="s">
        <v>38</v>
      </c>
      <c r="C95" s="1" t="s">
        <v>44</v>
      </c>
      <c r="D95" s="25">
        <v>2.6</v>
      </c>
      <c r="N95" s="14" t="s">
        <v>6</v>
      </c>
      <c r="O95" s="33">
        <f>$O$10</f>
        <v>0.66666666666666663</v>
      </c>
      <c r="P95" s="37">
        <f>$O95</f>
        <v>0.66666666666666663</v>
      </c>
      <c r="Q95" s="37">
        <f>$P95*$D$95</f>
        <v>1.7333333333333334</v>
      </c>
      <c r="R95" s="19"/>
      <c r="S95" s="19"/>
      <c r="T95" s="19"/>
      <c r="U95" s="19"/>
      <c r="V95" s="19"/>
      <c r="W95" s="19">
        <f>$Q95*$D$97</f>
        <v>4853.3333333333339</v>
      </c>
      <c r="X95" s="19">
        <f>$Q95*$D$97</f>
        <v>4853.3333333333339</v>
      </c>
      <c r="Y95" s="19">
        <f>$Q95*$D$97</f>
        <v>4853.3333333333339</v>
      </c>
      <c r="Z95" s="19">
        <f>$Q95*$D$97</f>
        <v>4853.3333333333339</v>
      </c>
      <c r="AA95" s="19">
        <f>$Q95*$D$97</f>
        <v>4853.3333333333339</v>
      </c>
      <c r="AB95" s="20">
        <f>SUM(R95:AA95)</f>
        <v>24266.666666666672</v>
      </c>
      <c r="AC95" s="1" t="s">
        <v>6</v>
      </c>
    </row>
    <row r="96" spans="1:29" outlineLevel="2" x14ac:dyDescent="0.3">
      <c r="N96" s="14" t="s">
        <v>7</v>
      </c>
      <c r="O96" s="33">
        <f>$O$11</f>
        <v>0.33333333333333331</v>
      </c>
      <c r="P96" s="37">
        <f>$O96</f>
        <v>0.33333333333333331</v>
      </c>
      <c r="Q96" s="37">
        <f>$P96*$D$95</f>
        <v>0.8666666666666667</v>
      </c>
      <c r="R96" s="19"/>
      <c r="S96" s="19"/>
      <c r="T96" s="19"/>
      <c r="U96" s="19"/>
      <c r="V96" s="19"/>
      <c r="W96" s="19">
        <f t="shared" ref="W96:AA99" si="60">$Q96*$D$97</f>
        <v>2426.666666666667</v>
      </c>
      <c r="X96" s="19">
        <f t="shared" si="60"/>
        <v>2426.666666666667</v>
      </c>
      <c r="Y96" s="19">
        <f t="shared" si="60"/>
        <v>2426.666666666667</v>
      </c>
      <c r="Z96" s="19">
        <f t="shared" si="60"/>
        <v>2426.666666666667</v>
      </c>
      <c r="AA96" s="19">
        <f t="shared" si="60"/>
        <v>2426.666666666667</v>
      </c>
      <c r="AB96" s="20">
        <f>SUM(R96:AA96)</f>
        <v>12133.333333333336</v>
      </c>
      <c r="AC96" s="1" t="s">
        <v>7</v>
      </c>
    </row>
    <row r="97" spans="1:29" outlineLevel="2" x14ac:dyDescent="0.3">
      <c r="A97" t="s">
        <v>39</v>
      </c>
      <c r="C97" s="1" t="s">
        <v>43</v>
      </c>
      <c r="D97" s="34">
        <v>2800</v>
      </c>
      <c r="N97" s="14" t="s">
        <v>8</v>
      </c>
      <c r="O97" s="33">
        <f>$O$12</f>
        <v>0.33333333333333331</v>
      </c>
      <c r="P97" s="37">
        <f>$O97</f>
        <v>0.33333333333333331</v>
      </c>
      <c r="Q97" s="37">
        <f>$P97*$D$95</f>
        <v>0.8666666666666667</v>
      </c>
      <c r="R97" s="19"/>
      <c r="S97" s="19"/>
      <c r="T97" s="19"/>
      <c r="U97" s="19"/>
      <c r="V97" s="19"/>
      <c r="W97" s="19">
        <f t="shared" si="60"/>
        <v>2426.666666666667</v>
      </c>
      <c r="X97" s="19">
        <f t="shared" si="60"/>
        <v>2426.666666666667</v>
      </c>
      <c r="Y97" s="19">
        <f t="shared" si="60"/>
        <v>2426.666666666667</v>
      </c>
      <c r="Z97" s="19">
        <f t="shared" si="60"/>
        <v>2426.666666666667</v>
      </c>
      <c r="AA97" s="19">
        <f t="shared" si="60"/>
        <v>2426.666666666667</v>
      </c>
      <c r="AB97" s="20">
        <f>SUM(R97:AA97)</f>
        <v>12133.333333333336</v>
      </c>
      <c r="AC97" s="1" t="s">
        <v>8</v>
      </c>
    </row>
    <row r="98" spans="1:29" outlineLevel="2" x14ac:dyDescent="0.3">
      <c r="N98" s="14" t="s">
        <v>9</v>
      </c>
      <c r="O98" s="33">
        <f>$O$13</f>
        <v>0.66666666666666663</v>
      </c>
      <c r="P98" s="37">
        <f>$O98</f>
        <v>0.66666666666666663</v>
      </c>
      <c r="Q98" s="37">
        <f>$P98*$D$95</f>
        <v>1.7333333333333334</v>
      </c>
      <c r="R98" s="19"/>
      <c r="S98" s="19"/>
      <c r="T98" s="19"/>
      <c r="U98" s="19"/>
      <c r="V98" s="19"/>
      <c r="W98" s="19">
        <f t="shared" si="60"/>
        <v>4853.3333333333339</v>
      </c>
      <c r="X98" s="19">
        <f t="shared" si="60"/>
        <v>4853.3333333333339</v>
      </c>
      <c r="Y98" s="19">
        <f t="shared" si="60"/>
        <v>4853.3333333333339</v>
      </c>
      <c r="Z98" s="19">
        <f t="shared" si="60"/>
        <v>4853.3333333333339</v>
      </c>
      <c r="AA98" s="19">
        <f t="shared" si="60"/>
        <v>4853.3333333333339</v>
      </c>
      <c r="AB98" s="20">
        <f>SUM(R98:AA98)</f>
        <v>24266.666666666672</v>
      </c>
      <c r="AC98" s="1" t="s">
        <v>9</v>
      </c>
    </row>
    <row r="99" spans="1:29" outlineLevel="2" x14ac:dyDescent="0.3">
      <c r="N99" s="14" t="s">
        <v>10</v>
      </c>
      <c r="O99" s="33">
        <f>$O$14</f>
        <v>0</v>
      </c>
      <c r="P99" s="37">
        <f>$O99</f>
        <v>0</v>
      </c>
      <c r="Q99" s="37">
        <f>$P99*$D$95</f>
        <v>0</v>
      </c>
      <c r="R99" s="19"/>
      <c r="S99" s="19"/>
      <c r="T99" s="19"/>
      <c r="U99" s="19"/>
      <c r="V99" s="19"/>
      <c r="W99" s="19">
        <f t="shared" si="60"/>
        <v>0</v>
      </c>
      <c r="X99" s="19">
        <f t="shared" si="60"/>
        <v>0</v>
      </c>
      <c r="Y99" s="19">
        <f t="shared" si="60"/>
        <v>0</v>
      </c>
      <c r="Z99" s="19">
        <f t="shared" si="60"/>
        <v>0</v>
      </c>
      <c r="AA99" s="19">
        <f t="shared" si="60"/>
        <v>0</v>
      </c>
      <c r="AB99" s="20">
        <f>SUM(R99:AA99)</f>
        <v>0</v>
      </c>
      <c r="AC99" s="1" t="s">
        <v>10</v>
      </c>
    </row>
    <row r="100" spans="1:29" outlineLevel="1" x14ac:dyDescent="0.3">
      <c r="N100" s="14"/>
      <c r="O100" s="50">
        <f>SUM(O95:O99)</f>
        <v>2</v>
      </c>
      <c r="P100" s="65">
        <f>SUM(P95:P99)</f>
        <v>2</v>
      </c>
      <c r="Q100" s="65">
        <f>SUM(Q95:Q99)</f>
        <v>5.2</v>
      </c>
      <c r="R100" s="61">
        <f t="shared" ref="R100:AB100" si="61">SUM(R95:R99)</f>
        <v>0</v>
      </c>
      <c r="S100" s="61">
        <f t="shared" si="61"/>
        <v>0</v>
      </c>
      <c r="T100" s="61">
        <f t="shared" si="61"/>
        <v>0</v>
      </c>
      <c r="U100" s="61">
        <f t="shared" si="61"/>
        <v>0</v>
      </c>
      <c r="V100" s="61">
        <f t="shared" si="61"/>
        <v>0</v>
      </c>
      <c r="W100" s="61">
        <f t="shared" si="61"/>
        <v>14560.000000000002</v>
      </c>
      <c r="X100" s="61">
        <f t="shared" si="61"/>
        <v>14560.000000000002</v>
      </c>
      <c r="Y100" s="61">
        <f t="shared" si="61"/>
        <v>14560.000000000002</v>
      </c>
      <c r="Z100" s="61">
        <f t="shared" si="61"/>
        <v>14560.000000000002</v>
      </c>
      <c r="AA100" s="61">
        <f t="shared" si="61"/>
        <v>14560.000000000002</v>
      </c>
      <c r="AB100" s="62">
        <f t="shared" si="61"/>
        <v>72800.000000000015</v>
      </c>
      <c r="AC100" s="5" t="s">
        <v>19</v>
      </c>
    </row>
    <row r="101" spans="1:29" ht="28.8" outlineLevel="1" x14ac:dyDescent="0.3">
      <c r="O101" s="18" t="s">
        <v>17</v>
      </c>
      <c r="P101" s="18" t="s">
        <v>46</v>
      </c>
      <c r="Q101" s="18" t="s">
        <v>47</v>
      </c>
    </row>
    <row r="102" spans="1:29" ht="15" outlineLevel="1" thickBot="1" x14ac:dyDescent="0.35"/>
    <row r="103" spans="1:29" ht="29.4" outlineLevel="1" thickBot="1" x14ac:dyDescent="0.35">
      <c r="A103" s="5" t="s">
        <v>51</v>
      </c>
      <c r="O103" s="18" t="s">
        <v>45</v>
      </c>
      <c r="P103" s="18" t="s">
        <v>83</v>
      </c>
      <c r="R103" s="53">
        <v>1</v>
      </c>
      <c r="S103" s="54">
        <v>2</v>
      </c>
      <c r="T103" s="54">
        <v>3</v>
      </c>
      <c r="U103" s="54">
        <v>4</v>
      </c>
      <c r="V103" s="55">
        <v>5</v>
      </c>
      <c r="W103" s="53">
        <v>1</v>
      </c>
      <c r="X103" s="54">
        <v>2</v>
      </c>
      <c r="Y103" s="54">
        <v>3</v>
      </c>
      <c r="Z103" s="54">
        <v>4</v>
      </c>
      <c r="AA103" s="55">
        <v>5</v>
      </c>
      <c r="AB103" s="57" t="s">
        <v>19</v>
      </c>
    </row>
    <row r="104" spans="1:29" outlineLevel="2" x14ac:dyDescent="0.3">
      <c r="A104" t="s">
        <v>81</v>
      </c>
      <c r="C104" s="1" t="s">
        <v>42</v>
      </c>
      <c r="D104" s="35">
        <v>0.1</v>
      </c>
      <c r="I104" s="14" t="s">
        <v>137</v>
      </c>
      <c r="J104" s="1" t="s">
        <v>50</v>
      </c>
      <c r="K104" s="114">
        <f>K5</f>
        <v>15</v>
      </c>
      <c r="N104" s="14" t="s">
        <v>6</v>
      </c>
      <c r="O104" s="33">
        <f>$O$10</f>
        <v>0.66666666666666663</v>
      </c>
      <c r="P104" s="42">
        <f>$D$107*O104</f>
        <v>6915.78947368421</v>
      </c>
      <c r="R104" s="19"/>
      <c r="S104" s="19"/>
      <c r="T104" s="19"/>
      <c r="U104" s="19"/>
      <c r="V104" s="19"/>
      <c r="W104" s="19">
        <f>$P104*$D$104</f>
        <v>691.57894736842104</v>
      </c>
      <c r="X104" s="19">
        <f>$P104*$D$104</f>
        <v>691.57894736842104</v>
      </c>
      <c r="Y104" s="19">
        <f>$P104*$D$104</f>
        <v>691.57894736842104</v>
      </c>
      <c r="Z104" s="19">
        <f>$P104*$D$104</f>
        <v>691.57894736842104</v>
      </c>
      <c r="AA104" s="19">
        <f>$P104*$D$104</f>
        <v>691.57894736842104</v>
      </c>
      <c r="AB104" s="20">
        <f>SUM(R104:AA104)</f>
        <v>3457.894736842105</v>
      </c>
      <c r="AC104" s="1" t="s">
        <v>6</v>
      </c>
    </row>
    <row r="105" spans="1:29" outlineLevel="2" x14ac:dyDescent="0.3">
      <c r="A105" t="s">
        <v>40</v>
      </c>
      <c r="C105" s="1" t="s">
        <v>41</v>
      </c>
      <c r="D105" s="17">
        <v>0.66</v>
      </c>
      <c r="I105" s="14" t="s">
        <v>150</v>
      </c>
      <c r="J105" s="1" t="s">
        <v>50</v>
      </c>
      <c r="K105" s="101">
        <f>K104/H5</f>
        <v>7.8947368421052627E-2</v>
      </c>
      <c r="N105" s="14" t="s">
        <v>7</v>
      </c>
      <c r="O105" s="33">
        <f>$O$11</f>
        <v>0.33333333333333331</v>
      </c>
      <c r="P105" s="42">
        <f>$D$107*O105</f>
        <v>3457.894736842105</v>
      </c>
      <c r="R105" s="19"/>
      <c r="S105" s="19"/>
      <c r="T105" s="19"/>
      <c r="U105" s="19"/>
      <c r="V105" s="19"/>
      <c r="W105" s="19">
        <f t="shared" ref="W105:AA108" si="62">$P105*$D$104</f>
        <v>345.78947368421052</v>
      </c>
      <c r="X105" s="19">
        <f t="shared" si="62"/>
        <v>345.78947368421052</v>
      </c>
      <c r="Y105" s="19">
        <f t="shared" si="62"/>
        <v>345.78947368421052</v>
      </c>
      <c r="Z105" s="19">
        <f t="shared" si="62"/>
        <v>345.78947368421052</v>
      </c>
      <c r="AA105" s="19">
        <f t="shared" si="62"/>
        <v>345.78947368421052</v>
      </c>
      <c r="AB105" s="20">
        <f>SUM(R105:AA105)</f>
        <v>1728.9473684210525</v>
      </c>
      <c r="AC105" s="1" t="s">
        <v>7</v>
      </c>
    </row>
    <row r="106" spans="1:29" outlineLevel="2" x14ac:dyDescent="0.3">
      <c r="A106" t="s">
        <v>49</v>
      </c>
      <c r="C106" s="1" t="s">
        <v>50</v>
      </c>
      <c r="D106" s="101">
        <f>(K107*K105)</f>
        <v>1.1842105263157894</v>
      </c>
      <c r="I106" s="14"/>
      <c r="J106" s="1"/>
      <c r="N106" s="14" t="s">
        <v>8</v>
      </c>
      <c r="O106" s="33">
        <f>$O$12</f>
        <v>0.33333333333333331</v>
      </c>
      <c r="P106" s="42">
        <f>$D$107*O106</f>
        <v>3457.894736842105</v>
      </c>
      <c r="R106" s="19"/>
      <c r="S106" s="19"/>
      <c r="T106" s="19"/>
      <c r="U106" s="19"/>
      <c r="V106" s="19"/>
      <c r="W106" s="19">
        <f t="shared" si="62"/>
        <v>345.78947368421052</v>
      </c>
      <c r="X106" s="19">
        <f t="shared" si="62"/>
        <v>345.78947368421052</v>
      </c>
      <c r="Y106" s="19">
        <f t="shared" si="62"/>
        <v>345.78947368421052</v>
      </c>
      <c r="Z106" s="19">
        <f t="shared" si="62"/>
        <v>345.78947368421052</v>
      </c>
      <c r="AA106" s="19">
        <f t="shared" si="62"/>
        <v>345.78947368421052</v>
      </c>
      <c r="AB106" s="20">
        <f>SUM(R106:AA106)</f>
        <v>1728.9473684210525</v>
      </c>
      <c r="AC106" s="1" t="s">
        <v>8</v>
      </c>
    </row>
    <row r="107" spans="1:29" outlineLevel="2" x14ac:dyDescent="0.3">
      <c r="A107" t="s">
        <v>82</v>
      </c>
      <c r="C107" s="1" t="s">
        <v>50</v>
      </c>
      <c r="D107" s="102">
        <f>$D$106*24*365</f>
        <v>10373.684210526315</v>
      </c>
      <c r="I107" s="14" t="s">
        <v>156</v>
      </c>
      <c r="K107" s="33">
        <f>F15</f>
        <v>15</v>
      </c>
      <c r="N107" s="14" t="s">
        <v>9</v>
      </c>
      <c r="O107" s="33">
        <f>$O$13</f>
        <v>0.66666666666666663</v>
      </c>
      <c r="P107" s="42">
        <f>$D$107*O107</f>
        <v>6915.78947368421</v>
      </c>
      <c r="R107" s="19"/>
      <c r="S107" s="19"/>
      <c r="T107" s="19"/>
      <c r="U107" s="19"/>
      <c r="V107" s="19"/>
      <c r="W107" s="19">
        <f t="shared" si="62"/>
        <v>691.57894736842104</v>
      </c>
      <c r="X107" s="19">
        <f t="shared" si="62"/>
        <v>691.57894736842104</v>
      </c>
      <c r="Y107" s="19">
        <f t="shared" si="62"/>
        <v>691.57894736842104</v>
      </c>
      <c r="Z107" s="19">
        <f t="shared" si="62"/>
        <v>691.57894736842104</v>
      </c>
      <c r="AA107" s="19">
        <f t="shared" si="62"/>
        <v>691.57894736842104</v>
      </c>
      <c r="AB107" s="20">
        <f>SUM(R107:AA107)</f>
        <v>3457.894736842105</v>
      </c>
      <c r="AC107" s="1" t="s">
        <v>9</v>
      </c>
    </row>
    <row r="108" spans="1:29" outlineLevel="2" x14ac:dyDescent="0.3">
      <c r="H108" s="1"/>
      <c r="N108" s="14" t="s">
        <v>10</v>
      </c>
      <c r="O108" s="33">
        <f>$O$14</f>
        <v>0</v>
      </c>
      <c r="P108" s="42">
        <f>$D$107*O108</f>
        <v>0</v>
      </c>
      <c r="R108" s="19"/>
      <c r="S108" s="19"/>
      <c r="T108" s="19"/>
      <c r="U108" s="19"/>
      <c r="V108" s="19"/>
      <c r="W108" s="19">
        <f t="shared" si="62"/>
        <v>0</v>
      </c>
      <c r="X108" s="19">
        <f t="shared" si="62"/>
        <v>0</v>
      </c>
      <c r="Y108" s="19">
        <f t="shared" si="62"/>
        <v>0</v>
      </c>
      <c r="Z108" s="19">
        <f t="shared" si="62"/>
        <v>0</v>
      </c>
      <c r="AA108" s="19">
        <f t="shared" si="62"/>
        <v>0</v>
      </c>
      <c r="AB108" s="20">
        <f>SUM(R108:AA108)</f>
        <v>0</v>
      </c>
      <c r="AC108" s="1" t="s">
        <v>10</v>
      </c>
    </row>
    <row r="109" spans="1:29" outlineLevel="1" x14ac:dyDescent="0.3">
      <c r="N109" s="14"/>
      <c r="O109" s="50">
        <f>SUM(O104:O108)</f>
        <v>2</v>
      </c>
      <c r="P109" s="66">
        <f>SUM(P104:P108)</f>
        <v>20747.36842105263</v>
      </c>
      <c r="R109" s="61">
        <f t="shared" ref="R109:AB109" si="63">SUM(R104:R108)</f>
        <v>0</v>
      </c>
      <c r="S109" s="61">
        <f t="shared" si="63"/>
        <v>0</v>
      </c>
      <c r="T109" s="61">
        <f t="shared" si="63"/>
        <v>0</v>
      </c>
      <c r="U109" s="61">
        <f t="shared" si="63"/>
        <v>0</v>
      </c>
      <c r="V109" s="61">
        <f t="shared" si="63"/>
        <v>0</v>
      </c>
      <c r="W109" s="61">
        <f t="shared" si="63"/>
        <v>2074.7368421052633</v>
      </c>
      <c r="X109" s="61">
        <f t="shared" si="63"/>
        <v>2074.7368421052633</v>
      </c>
      <c r="Y109" s="61">
        <f t="shared" si="63"/>
        <v>2074.7368421052633</v>
      </c>
      <c r="Z109" s="61">
        <f t="shared" si="63"/>
        <v>2074.7368421052633</v>
      </c>
      <c r="AA109" s="61">
        <f t="shared" si="63"/>
        <v>2074.7368421052633</v>
      </c>
      <c r="AB109" s="62">
        <f t="shared" si="63"/>
        <v>10373.684210526315</v>
      </c>
      <c r="AC109" s="5" t="s">
        <v>19</v>
      </c>
    </row>
    <row r="110" spans="1:29" ht="28.8" outlineLevel="1" x14ac:dyDescent="0.3">
      <c r="O110" s="18" t="s">
        <v>45</v>
      </c>
      <c r="P110" s="18" t="s">
        <v>83</v>
      </c>
    </row>
    <row r="111" spans="1:29" ht="15" outlineLevel="1" thickBot="1" x14ac:dyDescent="0.35"/>
    <row r="112" spans="1:29" ht="15" outlineLevel="1" thickBot="1" x14ac:dyDescent="0.35">
      <c r="A112" s="5"/>
      <c r="O112" s="18"/>
      <c r="P112" s="18"/>
      <c r="R112" s="53"/>
      <c r="S112" s="54"/>
      <c r="T112" s="54"/>
      <c r="U112" s="54"/>
      <c r="V112" s="55"/>
      <c r="W112" s="53"/>
      <c r="X112" s="54"/>
      <c r="Y112" s="54"/>
      <c r="Z112" s="54"/>
      <c r="AA112" s="55"/>
      <c r="AB112" s="57"/>
    </row>
    <row r="113" spans="1:29" outlineLevel="2" x14ac:dyDescent="0.3">
      <c r="D113" s="67"/>
      <c r="N113" s="14"/>
      <c r="O113" s="33"/>
      <c r="P113" s="42"/>
      <c r="R113" s="19"/>
      <c r="S113" s="19"/>
      <c r="T113" s="19"/>
      <c r="U113" s="19"/>
      <c r="V113" s="19"/>
      <c r="W113" s="19"/>
      <c r="X113" s="19"/>
      <c r="Y113" s="19"/>
      <c r="Z113" s="19"/>
      <c r="AA113" s="19"/>
      <c r="AB113" s="20"/>
      <c r="AC113" s="1"/>
    </row>
    <row r="114" spans="1:29" outlineLevel="2" x14ac:dyDescent="0.3">
      <c r="D114" s="67"/>
      <c r="N114" s="14"/>
      <c r="O114" s="33"/>
      <c r="P114" s="42"/>
      <c r="R114" s="19"/>
      <c r="S114" s="19"/>
      <c r="T114" s="19"/>
      <c r="U114" s="19"/>
      <c r="V114" s="19"/>
      <c r="W114" s="19"/>
      <c r="X114" s="19"/>
      <c r="Y114" s="19"/>
      <c r="Z114" s="19"/>
      <c r="AA114" s="19"/>
      <c r="AB114" s="20"/>
      <c r="AC114" s="1"/>
    </row>
    <row r="115" spans="1:29" outlineLevel="2" x14ac:dyDescent="0.3">
      <c r="N115" s="14"/>
      <c r="O115" s="33"/>
      <c r="P115" s="42"/>
      <c r="R115" s="19"/>
      <c r="S115" s="19"/>
      <c r="T115" s="19"/>
      <c r="U115" s="19"/>
      <c r="V115" s="19"/>
      <c r="W115" s="19"/>
      <c r="X115" s="19"/>
      <c r="Y115" s="19"/>
      <c r="Z115" s="19"/>
      <c r="AA115" s="19"/>
      <c r="AB115" s="20"/>
      <c r="AC115" s="1"/>
    </row>
    <row r="116" spans="1:29" outlineLevel="2" x14ac:dyDescent="0.3">
      <c r="N116" s="14"/>
      <c r="O116" s="33"/>
      <c r="P116" s="42"/>
      <c r="R116" s="19"/>
      <c r="S116" s="19"/>
      <c r="T116" s="19"/>
      <c r="U116" s="19"/>
      <c r="V116" s="19"/>
      <c r="W116" s="19"/>
      <c r="X116" s="19"/>
      <c r="Y116" s="19"/>
      <c r="Z116" s="19"/>
      <c r="AA116" s="19"/>
      <c r="AB116" s="20"/>
      <c r="AC116" s="1"/>
    </row>
    <row r="117" spans="1:29" outlineLevel="2" x14ac:dyDescent="0.3">
      <c r="N117" s="14"/>
      <c r="O117" s="33"/>
      <c r="P117" s="42"/>
      <c r="R117" s="19"/>
      <c r="S117" s="19"/>
      <c r="T117" s="19"/>
      <c r="U117" s="19"/>
      <c r="V117" s="19"/>
      <c r="W117" s="19"/>
      <c r="X117" s="19"/>
      <c r="Y117" s="19"/>
      <c r="Z117" s="19"/>
      <c r="AA117" s="19"/>
      <c r="AB117" s="20"/>
      <c r="AC117" s="1"/>
    </row>
    <row r="118" spans="1:29" outlineLevel="1" x14ac:dyDescent="0.3">
      <c r="N118" s="14"/>
      <c r="O118" s="50"/>
      <c r="P118" s="66"/>
      <c r="R118" s="61"/>
      <c r="S118" s="61"/>
      <c r="T118" s="61"/>
      <c r="U118" s="61"/>
      <c r="V118" s="61"/>
      <c r="W118" s="61"/>
      <c r="X118" s="61"/>
      <c r="Y118" s="61"/>
      <c r="Z118" s="61"/>
      <c r="AA118" s="61"/>
      <c r="AB118" s="62"/>
      <c r="AC118" s="5"/>
    </row>
    <row r="119" spans="1:29" outlineLevel="1" x14ac:dyDescent="0.3">
      <c r="O119" s="18"/>
      <c r="P119" s="18"/>
    </row>
    <row r="120" spans="1:29" outlineLevel="1" x14ac:dyDescent="0.3"/>
    <row r="121" spans="1:29" outlineLevel="1" x14ac:dyDescent="0.3">
      <c r="N121" s="14" t="s">
        <v>6</v>
      </c>
      <c r="R121" s="21">
        <f t="shared" ref="R121:AB121" si="64">R95+R104+R113</f>
        <v>0</v>
      </c>
      <c r="S121" s="21">
        <f t="shared" si="64"/>
        <v>0</v>
      </c>
      <c r="T121" s="21">
        <f t="shared" si="64"/>
        <v>0</v>
      </c>
      <c r="U121" s="21">
        <f t="shared" si="64"/>
        <v>0</v>
      </c>
      <c r="V121" s="21">
        <f t="shared" si="64"/>
        <v>0</v>
      </c>
      <c r="W121" s="21">
        <f t="shared" si="64"/>
        <v>5544.9122807017548</v>
      </c>
      <c r="X121" s="21">
        <f t="shared" si="64"/>
        <v>5544.9122807017548</v>
      </c>
      <c r="Y121" s="21">
        <f t="shared" si="64"/>
        <v>5544.9122807017548</v>
      </c>
      <c r="Z121" s="21">
        <f t="shared" si="64"/>
        <v>5544.9122807017548</v>
      </c>
      <c r="AA121" s="21">
        <f t="shared" si="64"/>
        <v>5544.9122807017548</v>
      </c>
      <c r="AB121" s="20">
        <f t="shared" si="64"/>
        <v>27724.561403508778</v>
      </c>
      <c r="AC121" s="1" t="s">
        <v>6</v>
      </c>
    </row>
    <row r="122" spans="1:29" outlineLevel="1" x14ac:dyDescent="0.3">
      <c r="N122" s="14" t="s">
        <v>7</v>
      </c>
      <c r="R122" s="21">
        <f t="shared" ref="R122:AA122" si="65">R96+R105+R114</f>
        <v>0</v>
      </c>
      <c r="S122" s="21">
        <f t="shared" si="65"/>
        <v>0</v>
      </c>
      <c r="T122" s="21">
        <f t="shared" si="65"/>
        <v>0</v>
      </c>
      <c r="U122" s="21">
        <f t="shared" si="65"/>
        <v>0</v>
      </c>
      <c r="V122" s="21">
        <f t="shared" si="65"/>
        <v>0</v>
      </c>
      <c r="W122" s="21">
        <f t="shared" si="65"/>
        <v>2772.4561403508774</v>
      </c>
      <c r="X122" s="21">
        <f t="shared" si="65"/>
        <v>2772.4561403508774</v>
      </c>
      <c r="Y122" s="21">
        <f t="shared" si="65"/>
        <v>2772.4561403508774</v>
      </c>
      <c r="Z122" s="21">
        <f t="shared" si="65"/>
        <v>2772.4561403508774</v>
      </c>
      <c r="AA122" s="21">
        <f t="shared" si="65"/>
        <v>2772.4561403508774</v>
      </c>
      <c r="AB122" s="20">
        <f>AB96+AB105+AB114</f>
        <v>13862.280701754389</v>
      </c>
      <c r="AC122" s="1" t="s">
        <v>7</v>
      </c>
    </row>
    <row r="123" spans="1:29" outlineLevel="1" x14ac:dyDescent="0.3">
      <c r="N123" s="14" t="s">
        <v>8</v>
      </c>
      <c r="R123" s="21">
        <f t="shared" ref="R123:AB123" si="66">R97+R106+R115</f>
        <v>0</v>
      </c>
      <c r="S123" s="21">
        <f t="shared" si="66"/>
        <v>0</v>
      </c>
      <c r="T123" s="21">
        <f t="shared" si="66"/>
        <v>0</v>
      </c>
      <c r="U123" s="21">
        <f t="shared" si="66"/>
        <v>0</v>
      </c>
      <c r="V123" s="21">
        <f t="shared" si="66"/>
        <v>0</v>
      </c>
      <c r="W123" s="21">
        <f t="shared" si="66"/>
        <v>2772.4561403508774</v>
      </c>
      <c r="X123" s="21">
        <f t="shared" si="66"/>
        <v>2772.4561403508774</v>
      </c>
      <c r="Y123" s="21">
        <f t="shared" si="66"/>
        <v>2772.4561403508774</v>
      </c>
      <c r="Z123" s="21">
        <f t="shared" si="66"/>
        <v>2772.4561403508774</v>
      </c>
      <c r="AA123" s="21">
        <f t="shared" si="66"/>
        <v>2772.4561403508774</v>
      </c>
      <c r="AB123" s="20">
        <f t="shared" si="66"/>
        <v>13862.280701754389</v>
      </c>
      <c r="AC123" s="1" t="s">
        <v>8</v>
      </c>
    </row>
    <row r="124" spans="1:29" outlineLevel="1" x14ac:dyDescent="0.3">
      <c r="N124" s="14" t="s">
        <v>9</v>
      </c>
      <c r="R124" s="21">
        <f t="shared" ref="R124:AB124" si="67">R98+R107+R116</f>
        <v>0</v>
      </c>
      <c r="S124" s="21">
        <f t="shared" si="67"/>
        <v>0</v>
      </c>
      <c r="T124" s="21">
        <f t="shared" si="67"/>
        <v>0</v>
      </c>
      <c r="U124" s="21">
        <f t="shared" si="67"/>
        <v>0</v>
      </c>
      <c r="V124" s="21">
        <f t="shared" si="67"/>
        <v>0</v>
      </c>
      <c r="W124" s="21">
        <f t="shared" si="67"/>
        <v>5544.9122807017548</v>
      </c>
      <c r="X124" s="21">
        <f t="shared" si="67"/>
        <v>5544.9122807017548</v>
      </c>
      <c r="Y124" s="21">
        <f t="shared" si="67"/>
        <v>5544.9122807017548</v>
      </c>
      <c r="Z124" s="21">
        <f t="shared" si="67"/>
        <v>5544.9122807017548</v>
      </c>
      <c r="AA124" s="21">
        <f t="shared" si="67"/>
        <v>5544.9122807017548</v>
      </c>
      <c r="AB124" s="20">
        <f t="shared" si="67"/>
        <v>27724.561403508778</v>
      </c>
      <c r="AC124" s="1" t="s">
        <v>9</v>
      </c>
    </row>
    <row r="125" spans="1:29" outlineLevel="1" x14ac:dyDescent="0.3">
      <c r="N125" s="14" t="s">
        <v>10</v>
      </c>
      <c r="R125" s="21">
        <f t="shared" ref="R125:AB125" si="68">R99+R108+R117</f>
        <v>0</v>
      </c>
      <c r="S125" s="21">
        <f t="shared" si="68"/>
        <v>0</v>
      </c>
      <c r="T125" s="21">
        <f t="shared" si="68"/>
        <v>0</v>
      </c>
      <c r="U125" s="21">
        <f t="shared" si="68"/>
        <v>0</v>
      </c>
      <c r="V125" s="21">
        <f t="shared" si="68"/>
        <v>0</v>
      </c>
      <c r="W125" s="21">
        <f t="shared" si="68"/>
        <v>0</v>
      </c>
      <c r="X125" s="21">
        <f t="shared" si="68"/>
        <v>0</v>
      </c>
      <c r="Y125" s="21">
        <f t="shared" si="68"/>
        <v>0</v>
      </c>
      <c r="Z125" s="21">
        <f t="shared" si="68"/>
        <v>0</v>
      </c>
      <c r="AA125" s="21">
        <f t="shared" si="68"/>
        <v>0</v>
      </c>
      <c r="AB125" s="20">
        <f t="shared" si="68"/>
        <v>0</v>
      </c>
      <c r="AC125" s="1" t="s">
        <v>10</v>
      </c>
    </row>
    <row r="126" spans="1:29" x14ac:dyDescent="0.3">
      <c r="O126" s="39" t="s">
        <v>84</v>
      </c>
      <c r="R126" s="62">
        <f t="shared" ref="R126:AB126" si="69">R100+R109+R118</f>
        <v>0</v>
      </c>
      <c r="S126" s="62">
        <f t="shared" si="69"/>
        <v>0</v>
      </c>
      <c r="T126" s="62">
        <f t="shared" si="69"/>
        <v>0</v>
      </c>
      <c r="U126" s="62">
        <f t="shared" si="69"/>
        <v>0</v>
      </c>
      <c r="V126" s="62">
        <f t="shared" si="69"/>
        <v>0</v>
      </c>
      <c r="W126" s="62">
        <f t="shared" si="69"/>
        <v>16634.736842105267</v>
      </c>
      <c r="X126" s="62">
        <f t="shared" si="69"/>
        <v>16634.736842105267</v>
      </c>
      <c r="Y126" s="62">
        <f t="shared" si="69"/>
        <v>16634.736842105267</v>
      </c>
      <c r="Z126" s="62">
        <f t="shared" si="69"/>
        <v>16634.736842105267</v>
      </c>
      <c r="AA126" s="62">
        <f t="shared" si="69"/>
        <v>16634.736842105267</v>
      </c>
      <c r="AB126" s="62">
        <f t="shared" si="69"/>
        <v>83173.684210526335</v>
      </c>
      <c r="AC126" s="5" t="s">
        <v>19</v>
      </c>
    </row>
    <row r="128" spans="1:29" s="60" customFormat="1" ht="28.5" customHeight="1" x14ac:dyDescent="0.3">
      <c r="A128" s="58"/>
      <c r="B128" s="58"/>
      <c r="R128" s="59"/>
      <c r="S128" s="59"/>
      <c r="T128" s="59"/>
      <c r="U128" s="59"/>
      <c r="V128" s="59"/>
      <c r="W128" s="59"/>
      <c r="X128" s="59"/>
      <c r="Y128" s="59"/>
      <c r="Z128" s="59"/>
      <c r="AA128" s="59"/>
      <c r="AB128" s="59"/>
      <c r="AC128" s="59"/>
    </row>
    <row r="129" spans="16:29" x14ac:dyDescent="0.3">
      <c r="P129" s="64" t="s">
        <v>108</v>
      </c>
      <c r="R129" s="62">
        <f t="shared" ref="R129:AB129" si="70">R15+R73+R82+R91+R126</f>
        <v>2351600</v>
      </c>
      <c r="S129" s="62">
        <f t="shared" si="70"/>
        <v>0</v>
      </c>
      <c r="T129" s="62">
        <f t="shared" si="70"/>
        <v>0</v>
      </c>
      <c r="U129" s="62">
        <f t="shared" si="70"/>
        <v>0</v>
      </c>
      <c r="V129" s="62">
        <f t="shared" si="70"/>
        <v>0</v>
      </c>
      <c r="W129" s="62">
        <f t="shared" si="70"/>
        <v>225634.73684210528</v>
      </c>
      <c r="X129" s="62">
        <f t="shared" si="70"/>
        <v>385994.73684210528</v>
      </c>
      <c r="Y129" s="62">
        <f t="shared" si="70"/>
        <v>385994.73684210528</v>
      </c>
      <c r="Z129" s="62">
        <f t="shared" si="70"/>
        <v>539994.73684210528</v>
      </c>
      <c r="AA129" s="62">
        <f t="shared" si="70"/>
        <v>539994.73684210528</v>
      </c>
      <c r="AB129" s="62">
        <f t="shared" si="70"/>
        <v>4429213.6842105268</v>
      </c>
      <c r="AC129" s="5" t="s">
        <v>19</v>
      </c>
    </row>
    <row r="130" spans="16:29" x14ac:dyDescent="0.3">
      <c r="P130" s="64" t="s">
        <v>109</v>
      </c>
      <c r="W130" s="62">
        <f>R129+W129</f>
        <v>2577234.7368421052</v>
      </c>
      <c r="X130" s="62">
        <f>S129+X129</f>
        <v>385994.73684210528</v>
      </c>
      <c r="Y130" s="62">
        <f>T129+Y129</f>
        <v>385994.73684210528</v>
      </c>
      <c r="Z130" s="62">
        <f>U129+Z129</f>
        <v>539994.73684210528</v>
      </c>
      <c r="AA130" s="62">
        <f>V129+AA129</f>
        <v>539994.73684210528</v>
      </c>
      <c r="AB130" s="62">
        <f>SUM(W130:AA130)</f>
        <v>4429213.6842105258</v>
      </c>
    </row>
    <row r="131" spans="16:29" x14ac:dyDescent="0.3">
      <c r="P131" s="64" t="s">
        <v>110</v>
      </c>
      <c r="W131" s="62">
        <f>W130</f>
        <v>2577234.7368421052</v>
      </c>
      <c r="X131" s="62">
        <f>W131+X130</f>
        <v>2963229.4736842103</v>
      </c>
      <c r="Y131" s="62">
        <f>X131+Y130</f>
        <v>3349224.2105263155</v>
      </c>
      <c r="Z131" s="62">
        <f>Y131+Z130</f>
        <v>3889218.9473684207</v>
      </c>
      <c r="AA131" s="62">
        <f>Z131+AA130</f>
        <v>4429213.6842105258</v>
      </c>
    </row>
  </sheetData>
  <mergeCells count="2">
    <mergeCell ref="R1:V1"/>
    <mergeCell ref="W1:AA1"/>
  </mergeCells>
  <hyperlinks>
    <hyperlink ref="C6" r:id="rId1" xr:uid="{899420D5-CAC1-4523-9E29-77E586E3B3B2}"/>
  </hyperlinks>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33"/>
  <sheetViews>
    <sheetView zoomScale="90" zoomScaleNormal="90" workbookViewId="0">
      <pane xSplit="2" ySplit="4" topLeftCell="F5" activePane="bottomRight" state="frozen"/>
      <selection pane="topRight" activeCell="C1" sqref="C1"/>
      <selection pane="bottomLeft" activeCell="A4" sqref="A4"/>
      <selection pane="bottomRight" activeCell="Q11" sqref="Q11"/>
    </sheetView>
  </sheetViews>
  <sheetFormatPr defaultRowHeight="14.4" x14ac:dyDescent="0.3"/>
  <cols>
    <col min="1" max="1" width="5.33203125" customWidth="1"/>
    <col min="2" max="2" width="17.5546875" customWidth="1"/>
    <col min="3" max="7" width="12.88671875" customWidth="1"/>
    <col min="8" max="8" width="14.109375" style="39" bestFit="1" customWidth="1"/>
    <col min="10" max="10" width="5.33203125" customWidth="1"/>
    <col min="11" max="11" width="13.88671875" customWidth="1"/>
    <col min="12" max="16" width="12.88671875" customWidth="1"/>
    <col min="17" max="17" width="14.109375" style="39" bestFit="1" customWidth="1"/>
  </cols>
  <sheetData>
    <row r="1" spans="1:17" x14ac:dyDescent="0.3">
      <c r="B1" s="122" t="s">
        <v>140</v>
      </c>
      <c r="C1" s="123">
        <f>sizing!C2</f>
        <v>2000</v>
      </c>
    </row>
    <row r="3" spans="1:17" s="108" customFormat="1" ht="21" x14ac:dyDescent="0.4">
      <c r="B3" s="109" t="s">
        <v>107</v>
      </c>
      <c r="C3" s="215" t="s">
        <v>11</v>
      </c>
      <c r="D3" s="215"/>
      <c r="E3" s="215"/>
      <c r="F3" s="215"/>
      <c r="G3" s="215"/>
      <c r="H3" s="41"/>
      <c r="K3" s="109" t="s">
        <v>145</v>
      </c>
      <c r="L3" s="215" t="s">
        <v>11</v>
      </c>
      <c r="M3" s="215"/>
      <c r="N3" s="215"/>
      <c r="O3" s="215"/>
      <c r="P3" s="215"/>
      <c r="Q3" s="41"/>
    </row>
    <row r="4" spans="1:17" s="3" customFormat="1" ht="53.4" customHeight="1" x14ac:dyDescent="0.3">
      <c r="A4" s="217" t="str">
        <f>'x86 TCO'!A5</f>
        <v>Lenovo Rack server ThinkSystem 2U SR665 AMD EPYC 7352 24C 155W 2.3GHz Processor w/o Fan(Standard)  (2 Chips, 48 Cores)</v>
      </c>
      <c r="B4" s="217"/>
      <c r="C4" s="105" t="s">
        <v>6</v>
      </c>
      <c r="D4" s="105" t="s">
        <v>7</v>
      </c>
      <c r="E4" s="105" t="s">
        <v>8</v>
      </c>
      <c r="F4" s="105" t="s">
        <v>59</v>
      </c>
      <c r="G4" s="105" t="s">
        <v>10</v>
      </c>
      <c r="H4" s="91" t="s">
        <v>114</v>
      </c>
      <c r="L4" s="105" t="s">
        <v>6</v>
      </c>
      <c r="M4" s="105" t="s">
        <v>7</v>
      </c>
      <c r="N4" s="105" t="s">
        <v>8</v>
      </c>
      <c r="O4" s="105" t="s">
        <v>59</v>
      </c>
      <c r="P4" s="105" t="s">
        <v>10</v>
      </c>
      <c r="Q4" s="91" t="s">
        <v>114</v>
      </c>
    </row>
    <row r="5" spans="1:17" s="3" customFormat="1" ht="29.25" customHeight="1" x14ac:dyDescent="0.3">
      <c r="A5" s="216" t="s">
        <v>0</v>
      </c>
      <c r="B5" s="2" t="s">
        <v>1</v>
      </c>
      <c r="C5" s="124">
        <f>'x86 TCO'!AB19</f>
        <v>55183.8</v>
      </c>
      <c r="D5" s="68">
        <f>'x86 TCO'!AB20</f>
        <v>22073.52</v>
      </c>
      <c r="E5" s="68">
        <f>'x86 TCO'!AB21</f>
        <v>22073.52</v>
      </c>
      <c r="F5" s="68">
        <f>'x86 TCO'!AB22</f>
        <v>33110.28</v>
      </c>
      <c r="G5" s="68">
        <f>'x86 TCO'!AB23</f>
        <v>110367.6</v>
      </c>
      <c r="H5" s="69">
        <f t="shared" ref="H5:H10" si="0">SUM(C5:G5)</f>
        <v>242808.72</v>
      </c>
      <c r="J5" s="216" t="s">
        <v>0</v>
      </c>
      <c r="K5" s="2" t="s">
        <v>1</v>
      </c>
      <c r="L5" s="124">
        <f>'LinuxONE TCO'!AB10</f>
        <v>588000</v>
      </c>
      <c r="M5" s="68">
        <f>'LinuxONE TCO'!AB11</f>
        <v>294000</v>
      </c>
      <c r="N5" s="68">
        <f>'LinuxONE TCO'!AB12</f>
        <v>294000</v>
      </c>
      <c r="O5" s="68">
        <f>'LinuxONE TCO'!AB13</f>
        <v>588000</v>
      </c>
      <c r="P5" s="68">
        <f>'LinuxONE TCO'!AB14</f>
        <v>84000</v>
      </c>
      <c r="Q5" s="69">
        <f t="shared" ref="Q5:Q10" si="1">SUM(L5:P5)</f>
        <v>1848000</v>
      </c>
    </row>
    <row r="6" spans="1:17" s="3" customFormat="1" ht="29.25" customHeight="1" x14ac:dyDescent="0.3">
      <c r="A6" s="216"/>
      <c r="B6" s="2" t="s">
        <v>2</v>
      </c>
      <c r="C6" s="141">
        <f>'x86 TCO'!AB35</f>
        <v>2439195.7000000002</v>
      </c>
      <c r="D6" s="68">
        <f>'x86 TCO'!AB45</f>
        <v>685560.2</v>
      </c>
      <c r="E6" s="68">
        <f>'x86 TCO'!AB55</f>
        <v>685560.2</v>
      </c>
      <c r="F6" s="68">
        <f>'x86 TCO'!AB65</f>
        <v>1276560.2</v>
      </c>
      <c r="G6" s="68">
        <f>'x86 TCO'!AB75</f>
        <v>3621195.7</v>
      </c>
      <c r="H6" s="69">
        <f t="shared" si="0"/>
        <v>8708072</v>
      </c>
      <c r="J6" s="216"/>
      <c r="K6" s="2" t="s">
        <v>2</v>
      </c>
      <c r="L6" s="141">
        <f>'LinuxONE TCO'!AB31</f>
        <v>790200</v>
      </c>
      <c r="M6" s="68">
        <f>'LinuxONE TCO'!AB41</f>
        <v>395100</v>
      </c>
      <c r="N6" s="68">
        <f>'LinuxONE TCO'!AB51</f>
        <v>395100</v>
      </c>
      <c r="O6" s="68">
        <f>'LinuxONE TCO'!AB61</f>
        <v>790200</v>
      </c>
      <c r="P6" s="68">
        <f>'LinuxONE TCO'!AB71</f>
        <v>0</v>
      </c>
      <c r="Q6" s="69">
        <f t="shared" si="1"/>
        <v>2370600</v>
      </c>
    </row>
    <row r="7" spans="1:17" s="3" customFormat="1" ht="29.25" customHeight="1" x14ac:dyDescent="0.3">
      <c r="A7" s="216"/>
      <c r="B7" s="2" t="s">
        <v>3</v>
      </c>
      <c r="C7" s="218">
        <f>'x86 TCO'!AB86</f>
        <v>366666.66666666663</v>
      </c>
      <c r="D7" s="219"/>
      <c r="E7" s="219"/>
      <c r="F7" s="219"/>
      <c r="G7" s="220"/>
      <c r="H7" s="69">
        <f t="shared" si="0"/>
        <v>366666.66666666663</v>
      </c>
      <c r="J7" s="216"/>
      <c r="K7" s="2" t="s">
        <v>3</v>
      </c>
      <c r="L7" s="218">
        <f>'LinuxONE TCO'!AB82</f>
        <v>100000</v>
      </c>
      <c r="M7" s="219"/>
      <c r="N7" s="219"/>
      <c r="O7" s="219"/>
      <c r="P7" s="220"/>
      <c r="Q7" s="69">
        <f t="shared" si="1"/>
        <v>100000</v>
      </c>
    </row>
    <row r="8" spans="1:17" s="3" customFormat="1" ht="29.25" customHeight="1" x14ac:dyDescent="0.3">
      <c r="A8" s="216"/>
      <c r="B8" s="2" t="s">
        <v>4</v>
      </c>
      <c r="C8" s="68">
        <f>'x86 TCO'!AB90</f>
        <v>34300</v>
      </c>
      <c r="D8" s="68">
        <f>'x86 TCO'!AB91</f>
        <v>13720</v>
      </c>
      <c r="E8" s="68">
        <f>'x86 TCO'!AB92</f>
        <v>13720</v>
      </c>
      <c r="F8" s="68">
        <f>'x86 TCO'!AB93</f>
        <v>20580</v>
      </c>
      <c r="G8" s="68">
        <f>'x86 TCO'!AB94</f>
        <v>68600</v>
      </c>
      <c r="H8" s="69">
        <f t="shared" si="0"/>
        <v>150920</v>
      </c>
      <c r="J8" s="216"/>
      <c r="K8" s="2" t="s">
        <v>4</v>
      </c>
      <c r="L8" s="68">
        <f>'LinuxONE TCO'!AB86</f>
        <v>9146.6666666666661</v>
      </c>
      <c r="M8" s="68">
        <f>'LinuxONE TCO'!AB87</f>
        <v>4573.333333333333</v>
      </c>
      <c r="N8" s="68">
        <f>'LinuxONE TCO'!AB88</f>
        <v>4573.333333333333</v>
      </c>
      <c r="O8" s="68">
        <f>'LinuxONE TCO'!AB89</f>
        <v>9146.6666666666661</v>
      </c>
      <c r="P8" s="68">
        <f>'LinuxONE TCO'!AB90</f>
        <v>0</v>
      </c>
      <c r="Q8" s="69">
        <f t="shared" si="1"/>
        <v>27440</v>
      </c>
    </row>
    <row r="9" spans="1:17" s="3" customFormat="1" ht="29.25" customHeight="1" x14ac:dyDescent="0.3">
      <c r="A9" s="216"/>
      <c r="B9" s="2" t="s">
        <v>48</v>
      </c>
      <c r="C9" s="68">
        <f>'x86 TCO'!AB99</f>
        <v>13000</v>
      </c>
      <c r="D9" s="68">
        <f>'x86 TCO'!AB100</f>
        <v>4506.666666666667</v>
      </c>
      <c r="E9" s="68">
        <f>'x86 TCO'!AB101</f>
        <v>4506.666666666667</v>
      </c>
      <c r="F9" s="68">
        <f>'x86 TCO'!AB102</f>
        <v>6760</v>
      </c>
      <c r="G9" s="68">
        <f>'x86 TCO'!AB103</f>
        <v>26000</v>
      </c>
      <c r="H9" s="69">
        <f t="shared" si="0"/>
        <v>54773.333333333336</v>
      </c>
      <c r="J9" s="216"/>
      <c r="K9" s="2" t="s">
        <v>48</v>
      </c>
      <c r="L9" s="68">
        <f>'LinuxONE TCO'!AB95</f>
        <v>24266.666666666672</v>
      </c>
      <c r="M9" s="68">
        <f>'LinuxONE TCO'!AB96</f>
        <v>12133.333333333336</v>
      </c>
      <c r="N9" s="68">
        <f>'LinuxONE TCO'!AB97</f>
        <v>12133.333333333336</v>
      </c>
      <c r="O9" s="68">
        <f>'LinuxONE TCO'!AB98</f>
        <v>24266.666666666672</v>
      </c>
      <c r="P9" s="68">
        <f>'LinuxONE TCO'!AB99</f>
        <v>0</v>
      </c>
      <c r="Q9" s="69">
        <f t="shared" si="1"/>
        <v>72800.000000000015</v>
      </c>
    </row>
    <row r="10" spans="1:17" s="3" customFormat="1" ht="29.25" customHeight="1" x14ac:dyDescent="0.3">
      <c r="A10" s="216"/>
      <c r="B10" s="2" t="s">
        <v>51</v>
      </c>
      <c r="C10" s="68">
        <f>'x86 TCO'!AB108</f>
        <v>16425</v>
      </c>
      <c r="D10" s="68">
        <f>'x86 TCO'!AB109</f>
        <v>6570</v>
      </c>
      <c r="E10" s="68">
        <f>'x86 TCO'!AB110</f>
        <v>6570</v>
      </c>
      <c r="F10" s="68">
        <f>'x86 TCO'!AB111</f>
        <v>9855</v>
      </c>
      <c r="G10" s="68">
        <f>'x86 TCO'!AB112</f>
        <v>32850</v>
      </c>
      <c r="H10" s="69">
        <f t="shared" si="0"/>
        <v>72270</v>
      </c>
      <c r="J10" s="216"/>
      <c r="K10" s="2" t="s">
        <v>51</v>
      </c>
      <c r="L10" s="68">
        <f>'LinuxONE TCO'!AB104</f>
        <v>3457.894736842105</v>
      </c>
      <c r="M10" s="68">
        <f>'LinuxONE TCO'!AB105</f>
        <v>1728.9473684210525</v>
      </c>
      <c r="N10" s="68">
        <f>'LinuxONE TCO'!AB106</f>
        <v>1728.9473684210525</v>
      </c>
      <c r="O10" s="68">
        <f>'LinuxONE TCO'!AB107</f>
        <v>3457.894736842105</v>
      </c>
      <c r="P10" s="68">
        <f>'LinuxONE TCO'!AB108</f>
        <v>0</v>
      </c>
      <c r="Q10" s="69">
        <f t="shared" si="1"/>
        <v>10373.684210526315</v>
      </c>
    </row>
    <row r="11" spans="1:17" x14ac:dyDescent="0.3">
      <c r="B11" s="89" t="s">
        <v>113</v>
      </c>
      <c r="C11" s="90">
        <f t="shared" ref="C11:H11" si="2">SUM(C5:C10)</f>
        <v>2924771.1666666665</v>
      </c>
      <c r="D11" s="90">
        <f t="shared" si="2"/>
        <v>732430.3866666666</v>
      </c>
      <c r="E11" s="90">
        <f t="shared" si="2"/>
        <v>732430.3866666666</v>
      </c>
      <c r="F11" s="90">
        <f t="shared" si="2"/>
        <v>1346865.48</v>
      </c>
      <c r="G11" s="90">
        <f t="shared" si="2"/>
        <v>3859013.3000000003</v>
      </c>
      <c r="H11" s="142">
        <f t="shared" si="2"/>
        <v>9595510.7200000007</v>
      </c>
      <c r="K11" s="89" t="s">
        <v>113</v>
      </c>
      <c r="L11" s="90">
        <f t="shared" ref="L11:Q11" si="3">SUM(L5:L10)</f>
        <v>1515071.2280701755</v>
      </c>
      <c r="M11" s="90">
        <f t="shared" si="3"/>
        <v>707535.61403508775</v>
      </c>
      <c r="N11" s="90">
        <f t="shared" si="3"/>
        <v>707535.61403508775</v>
      </c>
      <c r="O11" s="90">
        <f t="shared" si="3"/>
        <v>1415071.2280701755</v>
      </c>
      <c r="P11" s="90">
        <f t="shared" si="3"/>
        <v>84000</v>
      </c>
      <c r="Q11" s="142">
        <f t="shared" si="3"/>
        <v>4429213.6842105268</v>
      </c>
    </row>
    <row r="12" spans="1:17" x14ac:dyDescent="0.3">
      <c r="P12" t="s">
        <v>180</v>
      </c>
      <c r="Q12" s="160">
        <f>(H11-Q11)/H11</f>
        <v>0.53840771862422276</v>
      </c>
    </row>
    <row r="15" spans="1:17" x14ac:dyDescent="0.3">
      <c r="B15" s="104" t="s">
        <v>1</v>
      </c>
      <c r="C15" s="104" t="s">
        <v>2</v>
      </c>
      <c r="D15" s="104" t="s">
        <v>3</v>
      </c>
      <c r="E15" s="104" t="s">
        <v>4</v>
      </c>
      <c r="F15" s="104" t="s">
        <v>5</v>
      </c>
      <c r="G15" s="105" t="s">
        <v>10</v>
      </c>
      <c r="H15" s="5" t="s">
        <v>19</v>
      </c>
    </row>
    <row r="16" spans="1:17" x14ac:dyDescent="0.3">
      <c r="A16" s="5" t="str">
        <f>B3</f>
        <v>x86</v>
      </c>
      <c r="B16" s="70">
        <f>SUM(C5:F5)</f>
        <v>132441.12</v>
      </c>
      <c r="C16" s="70">
        <f>SUM(C6:F6)</f>
        <v>5086876.3000000007</v>
      </c>
      <c r="D16" s="70">
        <f>SUM(C7:F7)</f>
        <v>366666.66666666663</v>
      </c>
      <c r="E16" s="70" t="e">
        <f>SUM(#REF!)</f>
        <v>#REF!</v>
      </c>
      <c r="F16" s="70" t="e">
        <f>SUM(#REF!)</f>
        <v>#REF!</v>
      </c>
      <c r="G16" s="70">
        <f>G11</f>
        <v>3859013.3000000003</v>
      </c>
      <c r="H16" s="103" t="e">
        <f>SUM(B16:G16)</f>
        <v>#REF!</v>
      </c>
    </row>
    <row r="17" spans="1:8" x14ac:dyDescent="0.3">
      <c r="A17" s="5" t="str">
        <f>K3</f>
        <v>LinuxONE</v>
      </c>
      <c r="B17" s="70">
        <f>SUM(L5:O5)</f>
        <v>1764000</v>
      </c>
      <c r="C17" s="70">
        <f>SUM(L6:O6)</f>
        <v>2370600</v>
      </c>
      <c r="D17" s="70">
        <f>SUM(L7:O7)</f>
        <v>100000</v>
      </c>
      <c r="E17" s="70" t="e">
        <f>SUM(#REF!)</f>
        <v>#REF!</v>
      </c>
      <c r="F17" s="70" t="e">
        <f>SUM(#REF!)</f>
        <v>#REF!</v>
      </c>
      <c r="G17" s="70">
        <f>P11</f>
        <v>84000</v>
      </c>
      <c r="H17" s="103" t="e">
        <f>SUM(B17:G17)</f>
        <v>#REF!</v>
      </c>
    </row>
    <row r="19" spans="1:8" x14ac:dyDescent="0.3">
      <c r="B19" t="s">
        <v>106</v>
      </c>
      <c r="C19" s="50" t="s">
        <v>101</v>
      </c>
      <c r="D19" s="50" t="s">
        <v>102</v>
      </c>
      <c r="E19" s="50" t="s">
        <v>103</v>
      </c>
      <c r="F19" s="50" t="s">
        <v>104</v>
      </c>
      <c r="G19" s="50" t="s">
        <v>105</v>
      </c>
    </row>
    <row r="20" spans="1:8" x14ac:dyDescent="0.3">
      <c r="B20" s="106" t="str">
        <f>B3</f>
        <v>x86</v>
      </c>
      <c r="C20" s="88">
        <f>'x86 TCO'!W126</f>
        <v>4927632.8</v>
      </c>
      <c r="D20" s="88">
        <f>'x86 TCO'!X126</f>
        <v>6077258.7999999998</v>
      </c>
      <c r="E20" s="88">
        <f>'x86 TCO'!Y126</f>
        <v>7226884.7999999998</v>
      </c>
      <c r="F20" s="88">
        <f>'x86 TCO'!Z126</f>
        <v>8411197.7599999998</v>
      </c>
      <c r="G20" s="88">
        <f>'x86 TCO'!AA126</f>
        <v>9595510.7199999988</v>
      </c>
    </row>
    <row r="21" spans="1:8" x14ac:dyDescent="0.3">
      <c r="B21" s="106" t="str">
        <f>K3</f>
        <v>LinuxONE</v>
      </c>
      <c r="C21" s="88">
        <f>'LinuxONE TCO'!W131</f>
        <v>2577234.7368421052</v>
      </c>
      <c r="D21" s="88">
        <f>'LinuxONE TCO'!X131</f>
        <v>2963229.4736842103</v>
      </c>
      <c r="E21" s="88">
        <f>'LinuxONE TCO'!Y131</f>
        <v>3349224.2105263155</v>
      </c>
      <c r="F21" s="88">
        <f>'LinuxONE TCO'!Z131</f>
        <v>3889218.9473684207</v>
      </c>
      <c r="G21" s="88">
        <f>'LinuxONE TCO'!AA131</f>
        <v>4429213.6842105258</v>
      </c>
    </row>
    <row r="31" spans="1:8" x14ac:dyDescent="0.3">
      <c r="B31" s="39" t="s">
        <v>142</v>
      </c>
      <c r="C31" s="48" t="s">
        <v>1</v>
      </c>
      <c r="D31" s="48" t="s">
        <v>2</v>
      </c>
      <c r="E31" s="48" t="s">
        <v>19</v>
      </c>
    </row>
    <row r="32" spans="1:8" x14ac:dyDescent="0.3">
      <c r="B32" s="39" t="s">
        <v>107</v>
      </c>
      <c r="C32" s="68">
        <f>'x86 TCO'!R24</f>
        <v>173434.8</v>
      </c>
      <c r="D32" s="68">
        <f>'x86 TCO'!R35</f>
        <v>1262190.5</v>
      </c>
      <c r="E32" s="70">
        <f>SUM(C32:D32)</f>
        <v>1435625.3</v>
      </c>
    </row>
    <row r="33" spans="2:6" x14ac:dyDescent="0.3">
      <c r="B33" s="39" t="s">
        <v>145</v>
      </c>
      <c r="C33" s="68">
        <f>'LinuxONE TCO'!R15</f>
        <v>1539999.9999999998</v>
      </c>
      <c r="D33" s="68">
        <f>'LinuxONE TCO'!R31</f>
        <v>264000</v>
      </c>
      <c r="E33" s="70">
        <f>SUM(C33:D33)</f>
        <v>1803999.9999999998</v>
      </c>
      <c r="F33" s="125">
        <f>E33/E32</f>
        <v>1.2565952968368554</v>
      </c>
    </row>
  </sheetData>
  <mergeCells count="7">
    <mergeCell ref="L3:P3"/>
    <mergeCell ref="J5:J10"/>
    <mergeCell ref="A4:B4"/>
    <mergeCell ref="C3:G3"/>
    <mergeCell ref="A5:A10"/>
    <mergeCell ref="C7:G7"/>
    <mergeCell ref="L7:P7"/>
  </mergeCells>
  <phoneticPr fontId="5" type="noConversion"/>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50E428-F66E-49D6-896E-8F04F2E389D3}">
  <dimension ref="B3:D21"/>
  <sheetViews>
    <sheetView zoomScale="85" zoomScaleNormal="85" workbookViewId="0">
      <selection activeCell="I29" sqref="I29"/>
    </sheetView>
  </sheetViews>
  <sheetFormatPr defaultRowHeight="14.4" x14ac:dyDescent="0.3"/>
  <cols>
    <col min="3" max="3" width="13.109375" bestFit="1" customWidth="1"/>
    <col min="4" max="4" width="13.5546875" bestFit="1" customWidth="1"/>
  </cols>
  <sheetData>
    <row r="3" spans="2:4" x14ac:dyDescent="0.3">
      <c r="B3" s="232" t="s">
        <v>276</v>
      </c>
      <c r="C3" s="232" t="s">
        <v>283</v>
      </c>
      <c r="D3" s="232" t="s">
        <v>282</v>
      </c>
    </row>
    <row r="4" spans="2:4" x14ac:dyDescent="0.3">
      <c r="B4" s="38">
        <v>10</v>
      </c>
      <c r="C4" s="235">
        <v>915770.98666666669</v>
      </c>
      <c r="D4" s="235">
        <v>1552823.1578947369</v>
      </c>
    </row>
    <row r="5" spans="2:4" x14ac:dyDescent="0.3">
      <c r="B5" s="38">
        <v>50</v>
      </c>
      <c r="C5" s="235">
        <v>1076770.9866666668</v>
      </c>
      <c r="D5" s="235">
        <v>1552823.1578947369</v>
      </c>
    </row>
    <row r="6" spans="2:4" x14ac:dyDescent="0.3">
      <c r="B6" s="38">
        <v>100</v>
      </c>
      <c r="C6" s="235">
        <v>1237770.9866666668</v>
      </c>
      <c r="D6" s="235">
        <v>1552823.1578947369</v>
      </c>
    </row>
    <row r="7" spans="2:4" x14ac:dyDescent="0.3">
      <c r="B7" s="38">
        <v>150</v>
      </c>
      <c r="C7" s="235">
        <v>1467770.9866666668</v>
      </c>
      <c r="D7" s="235">
        <v>1552823.1578947369</v>
      </c>
    </row>
    <row r="8" spans="2:4" x14ac:dyDescent="0.3">
      <c r="B8" s="38">
        <v>200</v>
      </c>
      <c r="C8" s="235">
        <v>1636770.9866666668</v>
      </c>
      <c r="D8" s="235">
        <v>1552823.1578947369</v>
      </c>
    </row>
    <row r="9" spans="2:4" x14ac:dyDescent="0.3">
      <c r="B9" s="38">
        <v>250</v>
      </c>
      <c r="C9" s="235">
        <v>1897770.9866666668</v>
      </c>
      <c r="D9" s="235">
        <v>1718514.7368421052</v>
      </c>
    </row>
    <row r="10" spans="2:4" x14ac:dyDescent="0.3">
      <c r="B10" s="38">
        <v>300</v>
      </c>
      <c r="C10" s="235">
        <v>2058770.9866666668</v>
      </c>
      <c r="D10" s="235">
        <v>1718514.7368421052</v>
      </c>
    </row>
    <row r="11" spans="2:4" x14ac:dyDescent="0.3">
      <c r="B11" s="38">
        <v>350</v>
      </c>
      <c r="C11" s="235">
        <v>2296770.9866666663</v>
      </c>
      <c r="D11" s="235">
        <v>1718514.7368421052</v>
      </c>
    </row>
    <row r="12" spans="2:4" x14ac:dyDescent="0.3">
      <c r="B12" s="38">
        <v>400</v>
      </c>
      <c r="C12" s="235">
        <v>2457770.9866666663</v>
      </c>
      <c r="D12" s="235">
        <v>1718514.7368421052</v>
      </c>
    </row>
    <row r="13" spans="2:4" x14ac:dyDescent="0.3">
      <c r="B13" s="38">
        <v>450</v>
      </c>
      <c r="C13" s="235">
        <v>2710770.9866666663</v>
      </c>
      <c r="D13" s="235">
        <v>2041497.894736842</v>
      </c>
    </row>
    <row r="14" spans="2:4" x14ac:dyDescent="0.3">
      <c r="B14" s="38">
        <v>500</v>
      </c>
      <c r="C14" s="235">
        <v>2971467.84</v>
      </c>
      <c r="D14" s="235">
        <v>2041497.894736842</v>
      </c>
    </row>
    <row r="15" spans="2:4" x14ac:dyDescent="0.3">
      <c r="C15" s="234"/>
      <c r="D15" s="234"/>
    </row>
    <row r="16" spans="2:4" x14ac:dyDescent="0.3">
      <c r="B16" s="232" t="s">
        <v>276</v>
      </c>
      <c r="C16" s="232" t="s">
        <v>283</v>
      </c>
      <c r="D16" s="232" t="s">
        <v>282</v>
      </c>
    </row>
    <row r="17" spans="2:4" x14ac:dyDescent="0.3">
      <c r="B17" s="236">
        <v>2000</v>
      </c>
      <c r="C17" s="235">
        <v>9595510.7200000007</v>
      </c>
      <c r="D17" s="235">
        <v>4429213.6842105268</v>
      </c>
    </row>
    <row r="18" spans="2:4" x14ac:dyDescent="0.3">
      <c r="B18" s="236">
        <v>4000</v>
      </c>
      <c r="C18" s="235">
        <v>15956856.746666666</v>
      </c>
      <c r="D18" s="235">
        <v>8132587.3684210526</v>
      </c>
    </row>
    <row r="19" spans="2:4" x14ac:dyDescent="0.3">
      <c r="B19" s="236">
        <v>6000</v>
      </c>
      <c r="C19" s="235">
        <v>22305202.773333333</v>
      </c>
      <c r="D19" s="235">
        <v>11835961.052631579</v>
      </c>
    </row>
    <row r="20" spans="2:4" x14ac:dyDescent="0.3">
      <c r="B20" s="236">
        <v>8000</v>
      </c>
      <c r="C20" s="235">
        <v>28661548.800000001</v>
      </c>
      <c r="D20" s="235">
        <v>15539334.736842105</v>
      </c>
    </row>
    <row r="21" spans="2:4" x14ac:dyDescent="0.3">
      <c r="B21" s="236">
        <v>10000</v>
      </c>
      <c r="C21" s="235">
        <v>35022894.826666661</v>
      </c>
      <c r="D21" s="235">
        <v>19242708.421052631</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E18B0C-7F10-4209-A6B9-95EEDB470B90}">
  <dimension ref="B3:L30"/>
  <sheetViews>
    <sheetView zoomScale="85" zoomScaleNormal="85" workbookViewId="0">
      <selection activeCell="H24" sqref="H24"/>
    </sheetView>
  </sheetViews>
  <sheetFormatPr defaultRowHeight="14.4" x14ac:dyDescent="0.3"/>
  <cols>
    <col min="2" max="2" width="22.109375" bestFit="1" customWidth="1"/>
    <col min="3" max="3" width="39.88671875" bestFit="1" customWidth="1"/>
    <col min="4" max="4" width="13.88671875" customWidth="1"/>
    <col min="5" max="5" width="13.6640625" customWidth="1"/>
    <col min="6" max="6" width="22.109375" bestFit="1" customWidth="1"/>
    <col min="7" max="7" width="17.21875" bestFit="1" customWidth="1"/>
    <col min="8" max="12" width="17.21875" customWidth="1"/>
  </cols>
  <sheetData>
    <row r="3" spans="2:12" ht="24.6" thickBot="1" x14ac:dyDescent="0.35">
      <c r="D3" s="11" t="s">
        <v>64</v>
      </c>
      <c r="E3" s="11" t="s">
        <v>126</v>
      </c>
      <c r="F3" s="11" t="s">
        <v>65</v>
      </c>
      <c r="G3" s="11" t="s">
        <v>256</v>
      </c>
      <c r="H3" s="11" t="s">
        <v>95</v>
      </c>
      <c r="I3" s="11" t="s">
        <v>257</v>
      </c>
      <c r="J3" s="11" t="s">
        <v>254</v>
      </c>
      <c r="K3" s="11" t="s">
        <v>253</v>
      </c>
      <c r="L3" s="11" t="s">
        <v>258</v>
      </c>
    </row>
    <row r="4" spans="2:12" ht="15" thickBot="1" x14ac:dyDescent="0.35">
      <c r="B4" s="241" t="s">
        <v>30</v>
      </c>
      <c r="C4" s="242" t="s">
        <v>244</v>
      </c>
      <c r="D4" s="242">
        <v>0</v>
      </c>
      <c r="E4" s="242">
        <v>2000</v>
      </c>
      <c r="F4" s="242" t="s">
        <v>32</v>
      </c>
      <c r="G4" s="242">
        <f>'x86 TCO'!P19</f>
        <v>9</v>
      </c>
      <c r="H4" s="242">
        <v>1</v>
      </c>
      <c r="I4" s="243">
        <f>'x86 TCO'!F28</f>
        <v>0.2</v>
      </c>
      <c r="J4" s="242"/>
      <c r="K4" s="242">
        <f>E4*5*(1-I4)*G4</f>
        <v>72000</v>
      </c>
      <c r="L4" s="244">
        <f>J4+K4</f>
        <v>72000</v>
      </c>
    </row>
    <row r="5" spans="2:12" x14ac:dyDescent="0.3">
      <c r="B5" s="221" t="s">
        <v>28</v>
      </c>
      <c r="C5" s="184" t="s">
        <v>245</v>
      </c>
      <c r="D5" s="185">
        <v>4500</v>
      </c>
      <c r="E5" s="185">
        <f>0.2*D5</f>
        <v>900</v>
      </c>
      <c r="F5" s="185" t="s">
        <v>32</v>
      </c>
      <c r="G5" s="185">
        <f>'x86 TCO'!P19</f>
        <v>9</v>
      </c>
      <c r="H5" s="185">
        <v>1</v>
      </c>
      <c r="I5" s="186">
        <f>'x86 TCO'!F30</f>
        <v>0.75</v>
      </c>
      <c r="J5" s="185">
        <f>D5*G5*(1-I5)</f>
        <v>10125</v>
      </c>
      <c r="K5" s="185">
        <f>E5*G5*(1-I5)*4</f>
        <v>8100</v>
      </c>
      <c r="L5" s="187">
        <f t="shared" ref="L5:L16" si="0">J5+K5</f>
        <v>18225</v>
      </c>
    </row>
    <row r="6" spans="2:12" ht="15" thickBot="1" x14ac:dyDescent="0.35">
      <c r="B6" s="222"/>
      <c r="C6" s="188" t="s">
        <v>246</v>
      </c>
      <c r="D6" s="189">
        <v>0</v>
      </c>
      <c r="E6" s="189">
        <f t="shared" ref="E6:E10" si="1">0.2*D6</f>
        <v>0</v>
      </c>
      <c r="F6" s="189" t="s">
        <v>32</v>
      </c>
      <c r="G6" s="189">
        <f>'x86 TCO'!P19</f>
        <v>9</v>
      </c>
      <c r="H6" s="189">
        <v>1</v>
      </c>
      <c r="I6" s="190">
        <f>'x86 TCO'!F30</f>
        <v>0.75</v>
      </c>
      <c r="J6" s="189"/>
      <c r="K6" s="189"/>
      <c r="L6" s="248">
        <f t="shared" si="0"/>
        <v>0</v>
      </c>
    </row>
    <row r="7" spans="2:12" x14ac:dyDescent="0.3">
      <c r="B7" s="225" t="s">
        <v>29</v>
      </c>
      <c r="C7" s="245" t="s">
        <v>248</v>
      </c>
      <c r="D7" s="206">
        <v>500</v>
      </c>
      <c r="E7" s="206">
        <f t="shared" si="1"/>
        <v>100</v>
      </c>
      <c r="F7" s="206" t="s">
        <v>251</v>
      </c>
      <c r="G7" s="206"/>
      <c r="H7" s="206"/>
      <c r="I7" s="246">
        <f>'x86 TCO'!F30</f>
        <v>0.75</v>
      </c>
      <c r="J7" s="206">
        <f>D7*25*'x86 TCO'!Q19*(1-'x86 TCO'!F30)</f>
        <v>612500</v>
      </c>
      <c r="K7" s="206"/>
      <c r="L7" s="247">
        <f t="shared" si="0"/>
        <v>612500</v>
      </c>
    </row>
    <row r="8" spans="2:12" x14ac:dyDescent="0.3">
      <c r="B8" s="225"/>
      <c r="C8" s="12" t="s">
        <v>250</v>
      </c>
      <c r="D8" s="26">
        <v>100</v>
      </c>
      <c r="E8" s="26">
        <f t="shared" si="1"/>
        <v>20</v>
      </c>
      <c r="F8" s="26" t="s">
        <v>96</v>
      </c>
      <c r="G8" s="26">
        <f>'x86 TCO'!Q19</f>
        <v>196</v>
      </c>
      <c r="H8" s="26">
        <v>70</v>
      </c>
      <c r="I8" s="17">
        <f>'x86 TCO'!F30</f>
        <v>0.75</v>
      </c>
      <c r="J8" s="26">
        <f>D8*G8*H8*(1-I8)</f>
        <v>343000</v>
      </c>
      <c r="K8" s="26">
        <f>20*200*70*4*(1-I8)</f>
        <v>280000</v>
      </c>
      <c r="L8" s="192">
        <f t="shared" si="0"/>
        <v>623000</v>
      </c>
    </row>
    <row r="9" spans="2:12" ht="15" thickBot="1" x14ac:dyDescent="0.35">
      <c r="B9" s="224"/>
      <c r="C9" s="188" t="s">
        <v>249</v>
      </c>
      <c r="D9" s="189">
        <v>12000</v>
      </c>
      <c r="E9" s="189">
        <f t="shared" si="1"/>
        <v>2400</v>
      </c>
      <c r="F9" s="189" t="s">
        <v>33</v>
      </c>
      <c r="G9" s="189">
        <f>'x86 TCO'!Q19</f>
        <v>196</v>
      </c>
      <c r="H9" s="198">
        <f>1/16</f>
        <v>6.25E-2</v>
      </c>
      <c r="I9" s="190">
        <f>'x86 TCO'!F30</f>
        <v>0.75</v>
      </c>
      <c r="J9" s="189">
        <f>D9*H9*'x86 TCO'!Q19*(1-I9)</f>
        <v>36750</v>
      </c>
      <c r="K9" s="189">
        <f>E9*G9*H9*(1-I9)*4</f>
        <v>29400</v>
      </c>
      <c r="L9" s="191">
        <f t="shared" si="0"/>
        <v>66150</v>
      </c>
    </row>
    <row r="10" spans="2:12" s="1" customFormat="1" x14ac:dyDescent="0.3">
      <c r="B10" s="223" t="s">
        <v>27</v>
      </c>
      <c r="C10" s="193"/>
      <c r="D10" s="194">
        <v>40000</v>
      </c>
      <c r="E10" s="194">
        <f t="shared" si="1"/>
        <v>8000</v>
      </c>
      <c r="F10" s="194" t="s">
        <v>33</v>
      </c>
      <c r="G10" s="194">
        <f>'x86 TCO'!Q19</f>
        <v>196</v>
      </c>
      <c r="H10" s="199">
        <v>0.5</v>
      </c>
      <c r="I10" s="186">
        <f>'x86 TCO'!F30</f>
        <v>0.75</v>
      </c>
      <c r="J10" s="185">
        <f>D10*G10*H10*(1-I10)</f>
        <v>980000</v>
      </c>
      <c r="K10" s="185">
        <f>E10*G10*H10*(1-I10)</f>
        <v>196000</v>
      </c>
      <c r="L10" s="187">
        <f t="shared" si="0"/>
        <v>1176000</v>
      </c>
    </row>
    <row r="11" spans="2:12" s="1" customFormat="1" x14ac:dyDescent="0.3">
      <c r="B11" s="225"/>
      <c r="C11" s="183" t="s">
        <v>255</v>
      </c>
      <c r="D11" s="34">
        <v>13748</v>
      </c>
      <c r="E11" s="34">
        <v>5434</v>
      </c>
      <c r="F11" s="34" t="s">
        <v>33</v>
      </c>
      <c r="G11" s="34">
        <f>'x86 TCO'!Q19</f>
        <v>196</v>
      </c>
      <c r="H11" s="198">
        <v>0.5</v>
      </c>
      <c r="I11" s="17">
        <f>'x86 TCO'!F30</f>
        <v>0.75</v>
      </c>
      <c r="J11" s="26">
        <f>D11*G11*H11*(1-I11)</f>
        <v>336826</v>
      </c>
      <c r="K11" s="26">
        <f>E11*G11*H11*(1-I11)</f>
        <v>133133</v>
      </c>
      <c r="L11" s="192">
        <f t="shared" si="0"/>
        <v>469959</v>
      </c>
    </row>
    <row r="12" spans="2:12" s="1" customFormat="1" x14ac:dyDescent="0.3">
      <c r="B12" s="225"/>
      <c r="C12" s="200" t="s">
        <v>275</v>
      </c>
      <c r="D12" s="202">
        <v>47500</v>
      </c>
      <c r="E12" s="202">
        <v>10450</v>
      </c>
      <c r="F12" s="202" t="s">
        <v>33</v>
      </c>
      <c r="G12" s="202">
        <f>'x86 TCO'!Q19</f>
        <v>196</v>
      </c>
      <c r="H12" s="211">
        <v>0.5</v>
      </c>
      <c r="I12" s="204">
        <v>0.75</v>
      </c>
      <c r="J12" s="201">
        <f>D12*H12*(1-I12)*G12</f>
        <v>1163750</v>
      </c>
      <c r="K12" s="201">
        <f>E12*G12*H12*(1-I12)*4</f>
        <v>1024100</v>
      </c>
      <c r="L12" s="205">
        <f>J12+K12</f>
        <v>2187850</v>
      </c>
    </row>
    <row r="13" spans="2:12" s="1" customFormat="1" ht="15" thickBot="1" x14ac:dyDescent="0.35">
      <c r="B13" s="225"/>
      <c r="C13" s="200" t="s">
        <v>252</v>
      </c>
      <c r="D13" s="201">
        <v>0</v>
      </c>
      <c r="E13" s="202">
        <v>4488</v>
      </c>
      <c r="F13" s="202" t="s">
        <v>261</v>
      </c>
      <c r="G13" s="202">
        <f>'x86 TCO'!O19</f>
        <v>5</v>
      </c>
      <c r="H13" s="203">
        <v>1</v>
      </c>
      <c r="I13" s="204">
        <f>'x86 TCO'!F28</f>
        <v>0.2</v>
      </c>
      <c r="J13" s="201">
        <f>D13</f>
        <v>0</v>
      </c>
      <c r="K13" s="201">
        <f>E13*G13*(1-I13)*5</f>
        <v>89760</v>
      </c>
      <c r="L13" s="205">
        <f t="shared" si="0"/>
        <v>89760</v>
      </c>
    </row>
    <row r="14" spans="2:12" ht="29.4" thickBot="1" x14ac:dyDescent="0.35">
      <c r="B14" s="237" t="s">
        <v>111</v>
      </c>
      <c r="C14" s="238" t="s">
        <v>265</v>
      </c>
      <c r="D14" s="195">
        <f>24625</f>
        <v>24625</v>
      </c>
      <c r="E14" s="195">
        <f>11732/2</f>
        <v>5866</v>
      </c>
      <c r="F14" s="195" t="s">
        <v>266</v>
      </c>
      <c r="G14" s="195" t="s">
        <v>267</v>
      </c>
      <c r="H14" s="239">
        <v>2</v>
      </c>
      <c r="I14" s="197">
        <v>0.1</v>
      </c>
      <c r="J14" s="195">
        <f>D14*H14*(1-I14)</f>
        <v>44325</v>
      </c>
      <c r="K14" s="195">
        <f>E14*H14*4*(1-I14)</f>
        <v>42235.200000000004</v>
      </c>
      <c r="L14" s="196">
        <f t="shared" si="0"/>
        <v>86560.200000000012</v>
      </c>
    </row>
    <row r="15" spans="2:12" ht="15" thickBot="1" x14ac:dyDescent="0.35">
      <c r="B15" s="237" t="s">
        <v>127</v>
      </c>
      <c r="C15" s="240" t="s">
        <v>263</v>
      </c>
      <c r="D15" s="195">
        <v>3495</v>
      </c>
      <c r="E15" s="195">
        <f>1780+795</f>
        <v>2575</v>
      </c>
      <c r="F15" s="195" t="s">
        <v>272</v>
      </c>
      <c r="G15" s="195" t="s">
        <v>284</v>
      </c>
      <c r="H15" s="195" t="s">
        <v>272</v>
      </c>
      <c r="I15" s="197">
        <v>0.1</v>
      </c>
      <c r="J15" s="195">
        <f>D15*(1-I15)</f>
        <v>3145.5</v>
      </c>
      <c r="K15" s="195">
        <f>E15*4*(1-I15)</f>
        <v>9270</v>
      </c>
      <c r="L15" s="196">
        <f t="shared" si="0"/>
        <v>12415.5</v>
      </c>
    </row>
    <row r="16" spans="2:12" ht="43.8" thickBot="1" x14ac:dyDescent="0.35">
      <c r="B16" s="209" t="s">
        <v>128</v>
      </c>
      <c r="C16" s="208" t="s">
        <v>268</v>
      </c>
      <c r="D16" s="189">
        <v>17775</v>
      </c>
      <c r="E16" s="189" t="s">
        <v>269</v>
      </c>
      <c r="F16" s="189" t="s">
        <v>272</v>
      </c>
      <c r="G16" s="189" t="s">
        <v>284</v>
      </c>
      <c r="H16" s="189" t="s">
        <v>272</v>
      </c>
      <c r="I16" s="190">
        <v>0.2</v>
      </c>
      <c r="J16" s="189">
        <f>D16*(1-I16)</f>
        <v>14220</v>
      </c>
      <c r="K16" s="189" t="s">
        <v>285</v>
      </c>
      <c r="L16" s="191">
        <f>J16</f>
        <v>14220</v>
      </c>
    </row>
    <row r="19" spans="2:6" x14ac:dyDescent="0.3">
      <c r="B19" s="232" t="s">
        <v>276</v>
      </c>
      <c r="C19" s="232" t="s">
        <v>277</v>
      </c>
    </row>
    <row r="20" spans="2:6" x14ac:dyDescent="0.3">
      <c r="B20" s="228" t="s">
        <v>279</v>
      </c>
      <c r="C20" s="229">
        <v>8383813.8666666662</v>
      </c>
    </row>
    <row r="21" spans="2:6" x14ac:dyDescent="0.3">
      <c r="B21" s="228" t="s">
        <v>280</v>
      </c>
      <c r="C21" s="229">
        <v>9595510.7200000007</v>
      </c>
    </row>
    <row r="22" spans="2:6" x14ac:dyDescent="0.3">
      <c r="B22" s="228">
        <v>8000</v>
      </c>
      <c r="C22" s="229">
        <v>32309639.359999999</v>
      </c>
    </row>
    <row r="25" spans="2:6" x14ac:dyDescent="0.3">
      <c r="B25" s="232" t="s">
        <v>27</v>
      </c>
      <c r="C25" s="232" t="s">
        <v>277</v>
      </c>
      <c r="D25" s="233" t="s">
        <v>278</v>
      </c>
    </row>
    <row r="26" spans="2:6" ht="28.8" x14ac:dyDescent="0.3">
      <c r="B26" s="231" t="s">
        <v>275</v>
      </c>
      <c r="C26" s="229">
        <v>9595510.7200000007</v>
      </c>
      <c r="D26" s="229">
        <v>7724450</v>
      </c>
    </row>
    <row r="27" spans="2:6" x14ac:dyDescent="0.3">
      <c r="B27" s="38" t="s">
        <v>252</v>
      </c>
      <c r="C27" s="229">
        <v>2266004.7200000002</v>
      </c>
      <c r="D27" s="229">
        <v>394944</v>
      </c>
    </row>
    <row r="29" spans="2:6" x14ac:dyDescent="0.3">
      <c r="F29" s="230"/>
    </row>
    <row r="30" spans="2:6" x14ac:dyDescent="0.3">
      <c r="D30" s="230">
        <f>C26-C27</f>
        <v>7329506</v>
      </c>
    </row>
  </sheetData>
  <mergeCells count="3">
    <mergeCell ref="B5:B6"/>
    <mergeCell ref="B7:B9"/>
    <mergeCell ref="B10:B13"/>
  </mergeCells>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11E3C4-070C-4256-830D-D56A6E019457}">
  <sheetPr>
    <pageSetUpPr fitToPage="1"/>
  </sheetPr>
  <dimension ref="A2:J125"/>
  <sheetViews>
    <sheetView showGridLines="0" zoomScale="75" workbookViewId="0">
      <selection activeCell="F9" sqref="F9"/>
    </sheetView>
  </sheetViews>
  <sheetFormatPr defaultRowHeight="13.2" x14ac:dyDescent="0.25"/>
  <cols>
    <col min="1" max="1" width="21" style="167" customWidth="1"/>
    <col min="2" max="2" width="21" style="167" hidden="1" customWidth="1"/>
    <col min="3" max="3" width="88" style="167" customWidth="1"/>
    <col min="4" max="5" width="21" style="167" customWidth="1"/>
    <col min="6" max="6" width="19" style="167" bestFit="1" customWidth="1"/>
    <col min="7" max="7" width="27.21875" style="167" bestFit="1" customWidth="1"/>
    <col min="8" max="9" width="21" style="167" customWidth="1"/>
    <col min="10" max="10" width="22" style="167" customWidth="1"/>
    <col min="11" max="256" width="8.88671875" style="167"/>
    <col min="257" max="257" width="21" style="167" customWidth="1"/>
    <col min="258" max="258" width="0" style="167" hidden="1" customWidth="1"/>
    <col min="259" max="259" width="88" style="167" customWidth="1"/>
    <col min="260" max="265" width="21" style="167" customWidth="1"/>
    <col min="266" max="266" width="22" style="167" customWidth="1"/>
    <col min="267" max="512" width="8.88671875" style="167"/>
    <col min="513" max="513" width="21" style="167" customWidth="1"/>
    <col min="514" max="514" width="0" style="167" hidden="1" customWidth="1"/>
    <col min="515" max="515" width="88" style="167" customWidth="1"/>
    <col min="516" max="521" width="21" style="167" customWidth="1"/>
    <col min="522" max="522" width="22" style="167" customWidth="1"/>
    <col min="523" max="768" width="8.88671875" style="167"/>
    <col min="769" max="769" width="21" style="167" customWidth="1"/>
    <col min="770" max="770" width="0" style="167" hidden="1" customWidth="1"/>
    <col min="771" max="771" width="88" style="167" customWidth="1"/>
    <col min="772" max="777" width="21" style="167" customWidth="1"/>
    <col min="778" max="778" width="22" style="167" customWidth="1"/>
    <col min="779" max="1024" width="8.88671875" style="167"/>
    <col min="1025" max="1025" width="21" style="167" customWidth="1"/>
    <col min="1026" max="1026" width="0" style="167" hidden="1" customWidth="1"/>
    <col min="1027" max="1027" width="88" style="167" customWidth="1"/>
    <col min="1028" max="1033" width="21" style="167" customWidth="1"/>
    <col min="1034" max="1034" width="22" style="167" customWidth="1"/>
    <col min="1035" max="1280" width="8.88671875" style="167"/>
    <col min="1281" max="1281" width="21" style="167" customWidth="1"/>
    <col min="1282" max="1282" width="0" style="167" hidden="1" customWidth="1"/>
    <col min="1283" max="1283" width="88" style="167" customWidth="1"/>
    <col min="1284" max="1289" width="21" style="167" customWidth="1"/>
    <col min="1290" max="1290" width="22" style="167" customWidth="1"/>
    <col min="1291" max="1536" width="8.88671875" style="167"/>
    <col min="1537" max="1537" width="21" style="167" customWidth="1"/>
    <col min="1538" max="1538" width="0" style="167" hidden="1" customWidth="1"/>
    <col min="1539" max="1539" width="88" style="167" customWidth="1"/>
    <col min="1540" max="1545" width="21" style="167" customWidth="1"/>
    <col min="1546" max="1546" width="22" style="167" customWidth="1"/>
    <col min="1547" max="1792" width="8.88671875" style="167"/>
    <col min="1793" max="1793" width="21" style="167" customWidth="1"/>
    <col min="1794" max="1794" width="0" style="167" hidden="1" customWidth="1"/>
    <col min="1795" max="1795" width="88" style="167" customWidth="1"/>
    <col min="1796" max="1801" width="21" style="167" customWidth="1"/>
    <col min="1802" max="1802" width="22" style="167" customWidth="1"/>
    <col min="1803" max="2048" width="8.88671875" style="167"/>
    <col min="2049" max="2049" width="21" style="167" customWidth="1"/>
    <col min="2050" max="2050" width="0" style="167" hidden="1" customWidth="1"/>
    <col min="2051" max="2051" width="88" style="167" customWidth="1"/>
    <col min="2052" max="2057" width="21" style="167" customWidth="1"/>
    <col min="2058" max="2058" width="22" style="167" customWidth="1"/>
    <col min="2059" max="2304" width="8.88671875" style="167"/>
    <col min="2305" max="2305" width="21" style="167" customWidth="1"/>
    <col min="2306" max="2306" width="0" style="167" hidden="1" customWidth="1"/>
    <col min="2307" max="2307" width="88" style="167" customWidth="1"/>
    <col min="2308" max="2313" width="21" style="167" customWidth="1"/>
    <col min="2314" max="2314" width="22" style="167" customWidth="1"/>
    <col min="2315" max="2560" width="8.88671875" style="167"/>
    <col min="2561" max="2561" width="21" style="167" customWidth="1"/>
    <col min="2562" max="2562" width="0" style="167" hidden="1" customWidth="1"/>
    <col min="2563" max="2563" width="88" style="167" customWidth="1"/>
    <col min="2564" max="2569" width="21" style="167" customWidth="1"/>
    <col min="2570" max="2570" width="22" style="167" customWidth="1"/>
    <col min="2571" max="2816" width="8.88671875" style="167"/>
    <col min="2817" max="2817" width="21" style="167" customWidth="1"/>
    <col min="2818" max="2818" width="0" style="167" hidden="1" customWidth="1"/>
    <col min="2819" max="2819" width="88" style="167" customWidth="1"/>
    <col min="2820" max="2825" width="21" style="167" customWidth="1"/>
    <col min="2826" max="2826" width="22" style="167" customWidth="1"/>
    <col min="2827" max="3072" width="8.88671875" style="167"/>
    <col min="3073" max="3073" width="21" style="167" customWidth="1"/>
    <col min="3074" max="3074" width="0" style="167" hidden="1" customWidth="1"/>
    <col min="3075" max="3075" width="88" style="167" customWidth="1"/>
    <col min="3076" max="3081" width="21" style="167" customWidth="1"/>
    <col min="3082" max="3082" width="22" style="167" customWidth="1"/>
    <col min="3083" max="3328" width="8.88671875" style="167"/>
    <col min="3329" max="3329" width="21" style="167" customWidth="1"/>
    <col min="3330" max="3330" width="0" style="167" hidden="1" customWidth="1"/>
    <col min="3331" max="3331" width="88" style="167" customWidth="1"/>
    <col min="3332" max="3337" width="21" style="167" customWidth="1"/>
    <col min="3338" max="3338" width="22" style="167" customWidth="1"/>
    <col min="3339" max="3584" width="8.88671875" style="167"/>
    <col min="3585" max="3585" width="21" style="167" customWidth="1"/>
    <col min="3586" max="3586" width="0" style="167" hidden="1" customWidth="1"/>
    <col min="3587" max="3587" width="88" style="167" customWidth="1"/>
    <col min="3588" max="3593" width="21" style="167" customWidth="1"/>
    <col min="3594" max="3594" width="22" style="167" customWidth="1"/>
    <col min="3595" max="3840" width="8.88671875" style="167"/>
    <col min="3841" max="3841" width="21" style="167" customWidth="1"/>
    <col min="3842" max="3842" width="0" style="167" hidden="1" customWidth="1"/>
    <col min="3843" max="3843" width="88" style="167" customWidth="1"/>
    <col min="3844" max="3849" width="21" style="167" customWidth="1"/>
    <col min="3850" max="3850" width="22" style="167" customWidth="1"/>
    <col min="3851" max="4096" width="8.88671875" style="167"/>
    <col min="4097" max="4097" width="21" style="167" customWidth="1"/>
    <col min="4098" max="4098" width="0" style="167" hidden="1" customWidth="1"/>
    <col min="4099" max="4099" width="88" style="167" customWidth="1"/>
    <col min="4100" max="4105" width="21" style="167" customWidth="1"/>
    <col min="4106" max="4106" width="22" style="167" customWidth="1"/>
    <col min="4107" max="4352" width="8.88671875" style="167"/>
    <col min="4353" max="4353" width="21" style="167" customWidth="1"/>
    <col min="4354" max="4354" width="0" style="167" hidden="1" customWidth="1"/>
    <col min="4355" max="4355" width="88" style="167" customWidth="1"/>
    <col min="4356" max="4361" width="21" style="167" customWidth="1"/>
    <col min="4362" max="4362" width="22" style="167" customWidth="1"/>
    <col min="4363" max="4608" width="8.88671875" style="167"/>
    <col min="4609" max="4609" width="21" style="167" customWidth="1"/>
    <col min="4610" max="4610" width="0" style="167" hidden="1" customWidth="1"/>
    <col min="4611" max="4611" width="88" style="167" customWidth="1"/>
    <col min="4612" max="4617" width="21" style="167" customWidth="1"/>
    <col min="4618" max="4618" width="22" style="167" customWidth="1"/>
    <col min="4619" max="4864" width="8.88671875" style="167"/>
    <col min="4865" max="4865" width="21" style="167" customWidth="1"/>
    <col min="4866" max="4866" width="0" style="167" hidden="1" customWidth="1"/>
    <col min="4867" max="4867" width="88" style="167" customWidth="1"/>
    <col min="4868" max="4873" width="21" style="167" customWidth="1"/>
    <col min="4874" max="4874" width="22" style="167" customWidth="1"/>
    <col min="4875" max="5120" width="8.88671875" style="167"/>
    <col min="5121" max="5121" width="21" style="167" customWidth="1"/>
    <col min="5122" max="5122" width="0" style="167" hidden="1" customWidth="1"/>
    <col min="5123" max="5123" width="88" style="167" customWidth="1"/>
    <col min="5124" max="5129" width="21" style="167" customWidth="1"/>
    <col min="5130" max="5130" width="22" style="167" customWidth="1"/>
    <col min="5131" max="5376" width="8.88671875" style="167"/>
    <col min="5377" max="5377" width="21" style="167" customWidth="1"/>
    <col min="5378" max="5378" width="0" style="167" hidden="1" customWidth="1"/>
    <col min="5379" max="5379" width="88" style="167" customWidth="1"/>
    <col min="5380" max="5385" width="21" style="167" customWidth="1"/>
    <col min="5386" max="5386" width="22" style="167" customWidth="1"/>
    <col min="5387" max="5632" width="8.88671875" style="167"/>
    <col min="5633" max="5633" width="21" style="167" customWidth="1"/>
    <col min="5634" max="5634" width="0" style="167" hidden="1" customWidth="1"/>
    <col min="5635" max="5635" width="88" style="167" customWidth="1"/>
    <col min="5636" max="5641" width="21" style="167" customWidth="1"/>
    <col min="5642" max="5642" width="22" style="167" customWidth="1"/>
    <col min="5643" max="5888" width="8.88671875" style="167"/>
    <col min="5889" max="5889" width="21" style="167" customWidth="1"/>
    <col min="5890" max="5890" width="0" style="167" hidden="1" customWidth="1"/>
    <col min="5891" max="5891" width="88" style="167" customWidth="1"/>
    <col min="5892" max="5897" width="21" style="167" customWidth="1"/>
    <col min="5898" max="5898" width="22" style="167" customWidth="1"/>
    <col min="5899" max="6144" width="8.88671875" style="167"/>
    <col min="6145" max="6145" width="21" style="167" customWidth="1"/>
    <col min="6146" max="6146" width="0" style="167" hidden="1" customWidth="1"/>
    <col min="6147" max="6147" width="88" style="167" customWidth="1"/>
    <col min="6148" max="6153" width="21" style="167" customWidth="1"/>
    <col min="6154" max="6154" width="22" style="167" customWidth="1"/>
    <col min="6155" max="6400" width="8.88671875" style="167"/>
    <col min="6401" max="6401" width="21" style="167" customWidth="1"/>
    <col min="6402" max="6402" width="0" style="167" hidden="1" customWidth="1"/>
    <col min="6403" max="6403" width="88" style="167" customWidth="1"/>
    <col min="6404" max="6409" width="21" style="167" customWidth="1"/>
    <col min="6410" max="6410" width="22" style="167" customWidth="1"/>
    <col min="6411" max="6656" width="8.88671875" style="167"/>
    <col min="6657" max="6657" width="21" style="167" customWidth="1"/>
    <col min="6658" max="6658" width="0" style="167" hidden="1" customWidth="1"/>
    <col min="6659" max="6659" width="88" style="167" customWidth="1"/>
    <col min="6660" max="6665" width="21" style="167" customWidth="1"/>
    <col min="6666" max="6666" width="22" style="167" customWidth="1"/>
    <col min="6667" max="6912" width="8.88671875" style="167"/>
    <col min="6913" max="6913" width="21" style="167" customWidth="1"/>
    <col min="6914" max="6914" width="0" style="167" hidden="1" customWidth="1"/>
    <col min="6915" max="6915" width="88" style="167" customWidth="1"/>
    <col min="6916" max="6921" width="21" style="167" customWidth="1"/>
    <col min="6922" max="6922" width="22" style="167" customWidth="1"/>
    <col min="6923" max="7168" width="8.88671875" style="167"/>
    <col min="7169" max="7169" width="21" style="167" customWidth="1"/>
    <col min="7170" max="7170" width="0" style="167" hidden="1" customWidth="1"/>
    <col min="7171" max="7171" width="88" style="167" customWidth="1"/>
    <col min="7172" max="7177" width="21" style="167" customWidth="1"/>
    <col min="7178" max="7178" width="22" style="167" customWidth="1"/>
    <col min="7179" max="7424" width="8.88671875" style="167"/>
    <col min="7425" max="7425" width="21" style="167" customWidth="1"/>
    <col min="7426" max="7426" width="0" style="167" hidden="1" customWidth="1"/>
    <col min="7427" max="7427" width="88" style="167" customWidth="1"/>
    <col min="7428" max="7433" width="21" style="167" customWidth="1"/>
    <col min="7434" max="7434" width="22" style="167" customWidth="1"/>
    <col min="7435" max="7680" width="8.88671875" style="167"/>
    <col min="7681" max="7681" width="21" style="167" customWidth="1"/>
    <col min="7682" max="7682" width="0" style="167" hidden="1" customWidth="1"/>
    <col min="7683" max="7683" width="88" style="167" customWidth="1"/>
    <col min="7684" max="7689" width="21" style="167" customWidth="1"/>
    <col min="7690" max="7690" width="22" style="167" customWidth="1"/>
    <col min="7691" max="7936" width="8.88671875" style="167"/>
    <col min="7937" max="7937" width="21" style="167" customWidth="1"/>
    <col min="7938" max="7938" width="0" style="167" hidden="1" customWidth="1"/>
    <col min="7939" max="7939" width="88" style="167" customWidth="1"/>
    <col min="7940" max="7945" width="21" style="167" customWidth="1"/>
    <col min="7946" max="7946" width="22" style="167" customWidth="1"/>
    <col min="7947" max="8192" width="8.88671875" style="167"/>
    <col min="8193" max="8193" width="21" style="167" customWidth="1"/>
    <col min="8194" max="8194" width="0" style="167" hidden="1" customWidth="1"/>
    <col min="8195" max="8195" width="88" style="167" customWidth="1"/>
    <col min="8196" max="8201" width="21" style="167" customWidth="1"/>
    <col min="8202" max="8202" width="22" style="167" customWidth="1"/>
    <col min="8203" max="8448" width="8.88671875" style="167"/>
    <col min="8449" max="8449" width="21" style="167" customWidth="1"/>
    <col min="8450" max="8450" width="0" style="167" hidden="1" customWidth="1"/>
    <col min="8451" max="8451" width="88" style="167" customWidth="1"/>
    <col min="8452" max="8457" width="21" style="167" customWidth="1"/>
    <col min="8458" max="8458" width="22" style="167" customWidth="1"/>
    <col min="8459" max="8704" width="8.88671875" style="167"/>
    <col min="8705" max="8705" width="21" style="167" customWidth="1"/>
    <col min="8706" max="8706" width="0" style="167" hidden="1" customWidth="1"/>
    <col min="8707" max="8707" width="88" style="167" customWidth="1"/>
    <col min="8708" max="8713" width="21" style="167" customWidth="1"/>
    <col min="8714" max="8714" width="22" style="167" customWidth="1"/>
    <col min="8715" max="8960" width="8.88671875" style="167"/>
    <col min="8961" max="8961" width="21" style="167" customWidth="1"/>
    <col min="8962" max="8962" width="0" style="167" hidden="1" customWidth="1"/>
    <col min="8963" max="8963" width="88" style="167" customWidth="1"/>
    <col min="8964" max="8969" width="21" style="167" customWidth="1"/>
    <col min="8970" max="8970" width="22" style="167" customWidth="1"/>
    <col min="8971" max="9216" width="8.88671875" style="167"/>
    <col min="9217" max="9217" width="21" style="167" customWidth="1"/>
    <col min="9218" max="9218" width="0" style="167" hidden="1" customWidth="1"/>
    <col min="9219" max="9219" width="88" style="167" customWidth="1"/>
    <col min="9220" max="9225" width="21" style="167" customWidth="1"/>
    <col min="9226" max="9226" width="22" style="167" customWidth="1"/>
    <col min="9227" max="9472" width="8.88671875" style="167"/>
    <col min="9473" max="9473" width="21" style="167" customWidth="1"/>
    <col min="9474" max="9474" width="0" style="167" hidden="1" customWidth="1"/>
    <col min="9475" max="9475" width="88" style="167" customWidth="1"/>
    <col min="9476" max="9481" width="21" style="167" customWidth="1"/>
    <col min="9482" max="9482" width="22" style="167" customWidth="1"/>
    <col min="9483" max="9728" width="8.88671875" style="167"/>
    <col min="9729" max="9729" width="21" style="167" customWidth="1"/>
    <col min="9730" max="9730" width="0" style="167" hidden="1" customWidth="1"/>
    <col min="9731" max="9731" width="88" style="167" customWidth="1"/>
    <col min="9732" max="9737" width="21" style="167" customWidth="1"/>
    <col min="9738" max="9738" width="22" style="167" customWidth="1"/>
    <col min="9739" max="9984" width="8.88671875" style="167"/>
    <col min="9985" max="9985" width="21" style="167" customWidth="1"/>
    <col min="9986" max="9986" width="0" style="167" hidden="1" customWidth="1"/>
    <col min="9987" max="9987" width="88" style="167" customWidth="1"/>
    <col min="9988" max="9993" width="21" style="167" customWidth="1"/>
    <col min="9994" max="9994" width="22" style="167" customWidth="1"/>
    <col min="9995" max="10240" width="8.88671875" style="167"/>
    <col min="10241" max="10241" width="21" style="167" customWidth="1"/>
    <col min="10242" max="10242" width="0" style="167" hidden="1" customWidth="1"/>
    <col min="10243" max="10243" width="88" style="167" customWidth="1"/>
    <col min="10244" max="10249" width="21" style="167" customWidth="1"/>
    <col min="10250" max="10250" width="22" style="167" customWidth="1"/>
    <col min="10251" max="10496" width="8.88671875" style="167"/>
    <col min="10497" max="10497" width="21" style="167" customWidth="1"/>
    <col min="10498" max="10498" width="0" style="167" hidden="1" customWidth="1"/>
    <col min="10499" max="10499" width="88" style="167" customWidth="1"/>
    <col min="10500" max="10505" width="21" style="167" customWidth="1"/>
    <col min="10506" max="10506" width="22" style="167" customWidth="1"/>
    <col min="10507" max="10752" width="8.88671875" style="167"/>
    <col min="10753" max="10753" width="21" style="167" customWidth="1"/>
    <col min="10754" max="10754" width="0" style="167" hidden="1" customWidth="1"/>
    <col min="10755" max="10755" width="88" style="167" customWidth="1"/>
    <col min="10756" max="10761" width="21" style="167" customWidth="1"/>
    <col min="10762" max="10762" width="22" style="167" customWidth="1"/>
    <col min="10763" max="11008" width="8.88671875" style="167"/>
    <col min="11009" max="11009" width="21" style="167" customWidth="1"/>
    <col min="11010" max="11010" width="0" style="167" hidden="1" customWidth="1"/>
    <col min="11011" max="11011" width="88" style="167" customWidth="1"/>
    <col min="11012" max="11017" width="21" style="167" customWidth="1"/>
    <col min="11018" max="11018" width="22" style="167" customWidth="1"/>
    <col min="11019" max="11264" width="8.88671875" style="167"/>
    <col min="11265" max="11265" width="21" style="167" customWidth="1"/>
    <col min="11266" max="11266" width="0" style="167" hidden="1" customWidth="1"/>
    <col min="11267" max="11267" width="88" style="167" customWidth="1"/>
    <col min="11268" max="11273" width="21" style="167" customWidth="1"/>
    <col min="11274" max="11274" width="22" style="167" customWidth="1"/>
    <col min="11275" max="11520" width="8.88671875" style="167"/>
    <col min="11521" max="11521" width="21" style="167" customWidth="1"/>
    <col min="11522" max="11522" width="0" style="167" hidden="1" customWidth="1"/>
    <col min="11523" max="11523" width="88" style="167" customWidth="1"/>
    <col min="11524" max="11529" width="21" style="167" customWidth="1"/>
    <col min="11530" max="11530" width="22" style="167" customWidth="1"/>
    <col min="11531" max="11776" width="8.88671875" style="167"/>
    <col min="11777" max="11777" width="21" style="167" customWidth="1"/>
    <col min="11778" max="11778" width="0" style="167" hidden="1" customWidth="1"/>
    <col min="11779" max="11779" width="88" style="167" customWidth="1"/>
    <col min="11780" max="11785" width="21" style="167" customWidth="1"/>
    <col min="11786" max="11786" width="22" style="167" customWidth="1"/>
    <col min="11787" max="12032" width="8.88671875" style="167"/>
    <col min="12033" max="12033" width="21" style="167" customWidth="1"/>
    <col min="12034" max="12034" width="0" style="167" hidden="1" customWidth="1"/>
    <col min="12035" max="12035" width="88" style="167" customWidth="1"/>
    <col min="12036" max="12041" width="21" style="167" customWidth="1"/>
    <col min="12042" max="12042" width="22" style="167" customWidth="1"/>
    <col min="12043" max="12288" width="8.88671875" style="167"/>
    <col min="12289" max="12289" width="21" style="167" customWidth="1"/>
    <col min="12290" max="12290" width="0" style="167" hidden="1" customWidth="1"/>
    <col min="12291" max="12291" width="88" style="167" customWidth="1"/>
    <col min="12292" max="12297" width="21" style="167" customWidth="1"/>
    <col min="12298" max="12298" width="22" style="167" customWidth="1"/>
    <col min="12299" max="12544" width="8.88671875" style="167"/>
    <col min="12545" max="12545" width="21" style="167" customWidth="1"/>
    <col min="12546" max="12546" width="0" style="167" hidden="1" customWidth="1"/>
    <col min="12547" max="12547" width="88" style="167" customWidth="1"/>
    <col min="12548" max="12553" width="21" style="167" customWidth="1"/>
    <col min="12554" max="12554" width="22" style="167" customWidth="1"/>
    <col min="12555" max="12800" width="8.88671875" style="167"/>
    <col min="12801" max="12801" width="21" style="167" customWidth="1"/>
    <col min="12802" max="12802" width="0" style="167" hidden="1" customWidth="1"/>
    <col min="12803" max="12803" width="88" style="167" customWidth="1"/>
    <col min="12804" max="12809" width="21" style="167" customWidth="1"/>
    <col min="12810" max="12810" width="22" style="167" customWidth="1"/>
    <col min="12811" max="13056" width="8.88671875" style="167"/>
    <col min="13057" max="13057" width="21" style="167" customWidth="1"/>
    <col min="13058" max="13058" width="0" style="167" hidden="1" customWidth="1"/>
    <col min="13059" max="13059" width="88" style="167" customWidth="1"/>
    <col min="13060" max="13065" width="21" style="167" customWidth="1"/>
    <col min="13066" max="13066" width="22" style="167" customWidth="1"/>
    <col min="13067" max="13312" width="8.88671875" style="167"/>
    <col min="13313" max="13313" width="21" style="167" customWidth="1"/>
    <col min="13314" max="13314" width="0" style="167" hidden="1" customWidth="1"/>
    <col min="13315" max="13315" width="88" style="167" customWidth="1"/>
    <col min="13316" max="13321" width="21" style="167" customWidth="1"/>
    <col min="13322" max="13322" width="22" style="167" customWidth="1"/>
    <col min="13323" max="13568" width="8.88671875" style="167"/>
    <col min="13569" max="13569" width="21" style="167" customWidth="1"/>
    <col min="13570" max="13570" width="0" style="167" hidden="1" customWidth="1"/>
    <col min="13571" max="13571" width="88" style="167" customWidth="1"/>
    <col min="13572" max="13577" width="21" style="167" customWidth="1"/>
    <col min="13578" max="13578" width="22" style="167" customWidth="1"/>
    <col min="13579" max="13824" width="8.88671875" style="167"/>
    <col min="13825" max="13825" width="21" style="167" customWidth="1"/>
    <col min="13826" max="13826" width="0" style="167" hidden="1" customWidth="1"/>
    <col min="13827" max="13827" width="88" style="167" customWidth="1"/>
    <col min="13828" max="13833" width="21" style="167" customWidth="1"/>
    <col min="13834" max="13834" width="22" style="167" customWidth="1"/>
    <col min="13835" max="14080" width="8.88671875" style="167"/>
    <col min="14081" max="14081" width="21" style="167" customWidth="1"/>
    <col min="14082" max="14082" width="0" style="167" hidden="1" customWidth="1"/>
    <col min="14083" max="14083" width="88" style="167" customWidth="1"/>
    <col min="14084" max="14089" width="21" style="167" customWidth="1"/>
    <col min="14090" max="14090" width="22" style="167" customWidth="1"/>
    <col min="14091" max="14336" width="8.88671875" style="167"/>
    <col min="14337" max="14337" width="21" style="167" customWidth="1"/>
    <col min="14338" max="14338" width="0" style="167" hidden="1" customWidth="1"/>
    <col min="14339" max="14339" width="88" style="167" customWidth="1"/>
    <col min="14340" max="14345" width="21" style="167" customWidth="1"/>
    <col min="14346" max="14346" width="22" style="167" customWidth="1"/>
    <col min="14347" max="14592" width="8.88671875" style="167"/>
    <col min="14593" max="14593" width="21" style="167" customWidth="1"/>
    <col min="14594" max="14594" width="0" style="167" hidden="1" customWidth="1"/>
    <col min="14595" max="14595" width="88" style="167" customWidth="1"/>
    <col min="14596" max="14601" width="21" style="167" customWidth="1"/>
    <col min="14602" max="14602" width="22" style="167" customWidth="1"/>
    <col min="14603" max="14848" width="8.88671875" style="167"/>
    <col min="14849" max="14849" width="21" style="167" customWidth="1"/>
    <col min="14850" max="14850" width="0" style="167" hidden="1" customWidth="1"/>
    <col min="14851" max="14851" width="88" style="167" customWidth="1"/>
    <col min="14852" max="14857" width="21" style="167" customWidth="1"/>
    <col min="14858" max="14858" width="22" style="167" customWidth="1"/>
    <col min="14859" max="15104" width="8.88671875" style="167"/>
    <col min="15105" max="15105" width="21" style="167" customWidth="1"/>
    <col min="15106" max="15106" width="0" style="167" hidden="1" customWidth="1"/>
    <col min="15107" max="15107" width="88" style="167" customWidth="1"/>
    <col min="15108" max="15113" width="21" style="167" customWidth="1"/>
    <col min="15114" max="15114" width="22" style="167" customWidth="1"/>
    <col min="15115" max="15360" width="8.88671875" style="167"/>
    <col min="15361" max="15361" width="21" style="167" customWidth="1"/>
    <col min="15362" max="15362" width="0" style="167" hidden="1" customWidth="1"/>
    <col min="15363" max="15363" width="88" style="167" customWidth="1"/>
    <col min="15364" max="15369" width="21" style="167" customWidth="1"/>
    <col min="15370" max="15370" width="22" style="167" customWidth="1"/>
    <col min="15371" max="15616" width="8.88671875" style="167"/>
    <col min="15617" max="15617" width="21" style="167" customWidth="1"/>
    <col min="15618" max="15618" width="0" style="167" hidden="1" customWidth="1"/>
    <col min="15619" max="15619" width="88" style="167" customWidth="1"/>
    <col min="15620" max="15625" width="21" style="167" customWidth="1"/>
    <col min="15626" max="15626" width="22" style="167" customWidth="1"/>
    <col min="15627" max="15872" width="8.88671875" style="167"/>
    <col min="15873" max="15873" width="21" style="167" customWidth="1"/>
    <col min="15874" max="15874" width="0" style="167" hidden="1" customWidth="1"/>
    <col min="15875" max="15875" width="88" style="167" customWidth="1"/>
    <col min="15876" max="15881" width="21" style="167" customWidth="1"/>
    <col min="15882" max="15882" width="22" style="167" customWidth="1"/>
    <col min="15883" max="16128" width="8.88671875" style="167"/>
    <col min="16129" max="16129" width="21" style="167" customWidth="1"/>
    <col min="16130" max="16130" width="0" style="167" hidden="1" customWidth="1"/>
    <col min="16131" max="16131" width="88" style="167" customWidth="1"/>
    <col min="16132" max="16137" width="21" style="167" customWidth="1"/>
    <col min="16138" max="16138" width="22" style="167" customWidth="1"/>
    <col min="16139" max="16384" width="8.88671875" style="167"/>
  </cols>
  <sheetData>
    <row r="2" spans="1:10" ht="39.6" x14ac:dyDescent="0.65">
      <c r="A2" s="166"/>
      <c r="B2" s="166"/>
      <c r="C2" s="166" t="s">
        <v>184</v>
      </c>
      <c r="D2" s="166"/>
      <c r="E2" s="166"/>
      <c r="F2" s="166"/>
      <c r="G2" s="166"/>
      <c r="H2" s="166"/>
      <c r="I2" s="166"/>
      <c r="J2" s="166"/>
    </row>
    <row r="3" spans="1:10" ht="15" x14ac:dyDescent="0.25">
      <c r="C3" s="168" t="s">
        <v>185</v>
      </c>
      <c r="D3" s="168" t="s">
        <v>186</v>
      </c>
      <c r="H3" s="169" t="s">
        <v>187</v>
      </c>
    </row>
    <row r="4" spans="1:10" ht="15" x14ac:dyDescent="0.25">
      <c r="D4" s="168" t="s">
        <v>188</v>
      </c>
      <c r="E4" s="168" t="s">
        <v>189</v>
      </c>
    </row>
    <row r="5" spans="1:10" ht="45" x14ac:dyDescent="0.25">
      <c r="C5" s="169" t="s">
        <v>190</v>
      </c>
      <c r="D5" s="169" t="s">
        <v>191</v>
      </c>
      <c r="F5" s="169" t="s">
        <v>192</v>
      </c>
      <c r="H5" s="169" t="s">
        <v>193</v>
      </c>
      <c r="I5" s="169"/>
    </row>
    <row r="6" spans="1:10" ht="15.6" x14ac:dyDescent="0.3">
      <c r="A6" s="170" t="s">
        <v>194</v>
      </c>
      <c r="B6" s="170"/>
      <c r="C6" s="170" t="s">
        <v>195</v>
      </c>
      <c r="D6" s="170"/>
      <c r="E6" s="171" t="s">
        <v>196</v>
      </c>
      <c r="F6" s="171" t="s">
        <v>197</v>
      </c>
      <c r="G6" s="171" t="s">
        <v>198</v>
      </c>
      <c r="H6" s="171"/>
      <c r="I6" s="170"/>
      <c r="J6" s="170"/>
    </row>
    <row r="7" spans="1:10" ht="30" x14ac:dyDescent="0.25">
      <c r="F7" s="172" t="s">
        <v>199</v>
      </c>
      <c r="G7" s="172" t="s">
        <v>200</v>
      </c>
      <c r="H7" s="172"/>
      <c r="I7" s="172"/>
      <c r="J7" s="172"/>
    </row>
    <row r="8" spans="1:10" ht="15" x14ac:dyDescent="0.25">
      <c r="F8" s="169"/>
      <c r="G8" s="169" t="s">
        <v>201</v>
      </c>
      <c r="H8" s="167" t="s">
        <v>201</v>
      </c>
    </row>
    <row r="9" spans="1:10" ht="45" x14ac:dyDescent="0.25">
      <c r="A9" s="180" t="s">
        <v>202</v>
      </c>
      <c r="B9" s="180"/>
      <c r="C9" s="180" t="s">
        <v>203</v>
      </c>
      <c r="D9" s="180"/>
      <c r="E9" s="181">
        <v>1</v>
      </c>
      <c r="F9" s="182">
        <v>6137</v>
      </c>
      <c r="G9" s="182">
        <f>IF(ISNUMBER(F9),IF($E9*F9&gt;0,$E9*F9,""),"")</f>
        <v>6137</v>
      </c>
      <c r="H9" s="180"/>
      <c r="I9" s="180"/>
      <c r="J9" s="180"/>
    </row>
    <row r="10" spans="1:10" ht="15" customHeight="1" x14ac:dyDescent="0.25">
      <c r="A10" s="173"/>
      <c r="B10" s="173"/>
      <c r="C10" s="174" t="s">
        <v>204</v>
      </c>
      <c r="D10" s="173"/>
      <c r="E10" s="173"/>
      <c r="F10" s="173"/>
      <c r="G10" s="173"/>
      <c r="H10" s="173"/>
      <c r="I10" s="173"/>
      <c r="J10" s="173"/>
    </row>
    <row r="11" spans="1:10" ht="15" x14ac:dyDescent="0.25">
      <c r="A11" s="180" t="s">
        <v>205</v>
      </c>
      <c r="B11" s="180"/>
      <c r="C11" s="180" t="s">
        <v>206</v>
      </c>
      <c r="D11" s="180"/>
      <c r="E11" s="181">
        <v>1</v>
      </c>
      <c r="F11" s="182">
        <v>1939</v>
      </c>
      <c r="G11" s="182">
        <f>IF(ISNUMBER(F11),IF($E11*F11&gt;0,$E11*F11,""),"")</f>
        <v>1939</v>
      </c>
      <c r="H11" s="180"/>
      <c r="I11" s="180"/>
      <c r="J11" s="180"/>
    </row>
    <row r="12" spans="1:10" ht="15" x14ac:dyDescent="0.25">
      <c r="A12" s="173" t="s">
        <v>207</v>
      </c>
      <c r="B12" s="173"/>
      <c r="C12" s="173" t="s">
        <v>208</v>
      </c>
      <c r="D12" s="173"/>
      <c r="E12" s="175">
        <v>1</v>
      </c>
      <c r="F12" s="176">
        <v>80</v>
      </c>
      <c r="G12" s="176">
        <f>IF(ISNUMBER(F12),IF($E12*F12&gt;0,$E12*F12,""),"")</f>
        <v>80</v>
      </c>
      <c r="H12" s="173"/>
      <c r="I12" s="173"/>
      <c r="J12" s="173"/>
    </row>
    <row r="13" spans="1:10" ht="15" x14ac:dyDescent="0.25">
      <c r="A13" s="180" t="s">
        <v>209</v>
      </c>
      <c r="B13" s="180"/>
      <c r="C13" s="180" t="s">
        <v>210</v>
      </c>
      <c r="D13" s="180"/>
      <c r="E13" s="181">
        <v>1</v>
      </c>
      <c r="F13" s="182">
        <v>3106</v>
      </c>
      <c r="G13" s="182">
        <f>IF(ISNUMBER(F13),IF($E13*F13&gt;0,$E13*F13,""),"")</f>
        <v>3106</v>
      </c>
      <c r="H13" s="180"/>
      <c r="I13" s="180"/>
      <c r="J13" s="180"/>
    </row>
    <row r="15" spans="1:10" ht="15" customHeight="1" x14ac:dyDescent="0.3">
      <c r="A15" s="177"/>
      <c r="B15" s="177"/>
      <c r="C15" s="177"/>
      <c r="D15" s="177"/>
      <c r="E15" s="177"/>
      <c r="F15" s="177" t="s">
        <v>211</v>
      </c>
      <c r="G15" s="177">
        <f>IF(SUM($G$9:$G$14)=0,"",SUM($G$9:$G$14))</f>
        <v>11262</v>
      </c>
      <c r="H15" s="177"/>
      <c r="I15" s="177" t="str">
        <f>IF(SUM($I$9:$I$14)=0,"",SUM($I$9:$I$14))</f>
        <v/>
      </c>
      <c r="J15" s="177"/>
    </row>
    <row r="16" spans="1:10" ht="15.6" x14ac:dyDescent="0.3">
      <c r="A16" s="178"/>
      <c r="B16" s="178"/>
      <c r="C16" s="178"/>
      <c r="D16" s="178"/>
      <c r="E16" s="178"/>
      <c r="F16" s="178"/>
      <c r="G16" s="178"/>
      <c r="H16" s="178"/>
      <c r="I16" s="178"/>
      <c r="J16" s="178"/>
    </row>
    <row r="18" spans="1:6" ht="15.6" x14ac:dyDescent="0.3">
      <c r="A18" s="179" t="s">
        <v>212</v>
      </c>
    </row>
    <row r="20" spans="1:6" ht="15.6" x14ac:dyDescent="0.3">
      <c r="A20" s="179" t="s">
        <v>213</v>
      </c>
    </row>
    <row r="21" spans="1:6" x14ac:dyDescent="0.25">
      <c r="A21" s="226" t="s">
        <v>214</v>
      </c>
      <c r="B21" s="227"/>
      <c r="C21" s="227"/>
      <c r="D21" s="227"/>
      <c r="E21" s="227"/>
      <c r="F21" s="227"/>
    </row>
    <row r="22" spans="1:6" x14ac:dyDescent="0.25">
      <c r="A22" s="227"/>
      <c r="B22" s="227"/>
      <c r="C22" s="227"/>
      <c r="D22" s="227"/>
      <c r="E22" s="227"/>
      <c r="F22" s="227"/>
    </row>
    <row r="23" spans="1:6" x14ac:dyDescent="0.25">
      <c r="A23" s="227"/>
      <c r="B23" s="227"/>
      <c r="C23" s="227"/>
      <c r="D23" s="227"/>
      <c r="E23" s="227"/>
      <c r="F23" s="227"/>
    </row>
    <row r="24" spans="1:6" x14ac:dyDescent="0.25">
      <c r="A24" s="227"/>
      <c r="B24" s="227"/>
      <c r="C24" s="227"/>
      <c r="D24" s="227"/>
      <c r="E24" s="227"/>
      <c r="F24" s="227"/>
    </row>
    <row r="25" spans="1:6" ht="15.6" x14ac:dyDescent="0.3">
      <c r="A25" s="179" t="s">
        <v>215</v>
      </c>
    </row>
    <row r="26" spans="1:6" x14ac:dyDescent="0.25">
      <c r="A26" s="226" t="s">
        <v>216</v>
      </c>
      <c r="B26" s="227"/>
      <c r="C26" s="227"/>
      <c r="D26" s="227"/>
      <c r="E26" s="227"/>
      <c r="F26" s="227"/>
    </row>
    <row r="27" spans="1:6" x14ac:dyDescent="0.25">
      <c r="A27" s="227"/>
      <c r="B27" s="227"/>
      <c r="C27" s="227"/>
      <c r="D27" s="227"/>
      <c r="E27" s="227"/>
      <c r="F27" s="227"/>
    </row>
    <row r="28" spans="1:6" x14ac:dyDescent="0.25">
      <c r="A28" s="227"/>
      <c r="B28" s="227"/>
      <c r="C28" s="227"/>
      <c r="D28" s="227"/>
      <c r="E28" s="227"/>
      <c r="F28" s="227"/>
    </row>
    <row r="29" spans="1:6" x14ac:dyDescent="0.25">
      <c r="A29" s="227"/>
      <c r="B29" s="227"/>
      <c r="C29" s="227"/>
      <c r="D29" s="227"/>
      <c r="E29" s="227"/>
      <c r="F29" s="227"/>
    </row>
    <row r="30" spans="1:6" x14ac:dyDescent="0.25">
      <c r="A30" s="226" t="s">
        <v>217</v>
      </c>
      <c r="B30" s="227"/>
      <c r="C30" s="227"/>
      <c r="D30" s="227"/>
      <c r="E30" s="227"/>
      <c r="F30" s="227"/>
    </row>
    <row r="31" spans="1:6" x14ac:dyDescent="0.25">
      <c r="A31" s="227"/>
      <c r="B31" s="227"/>
      <c r="C31" s="227"/>
      <c r="D31" s="227"/>
      <c r="E31" s="227"/>
      <c r="F31" s="227"/>
    </row>
    <row r="32" spans="1:6" x14ac:dyDescent="0.25">
      <c r="A32" s="227"/>
      <c r="B32" s="227"/>
      <c r="C32" s="227"/>
      <c r="D32" s="227"/>
      <c r="E32" s="227"/>
      <c r="F32" s="227"/>
    </row>
    <row r="33" spans="1:6" x14ac:dyDescent="0.25">
      <c r="A33" s="227"/>
      <c r="B33" s="227"/>
      <c r="C33" s="227"/>
      <c r="D33" s="227"/>
      <c r="E33" s="227"/>
      <c r="F33" s="227"/>
    </row>
    <row r="34" spans="1:6" x14ac:dyDescent="0.25">
      <c r="A34" s="226" t="s">
        <v>218</v>
      </c>
      <c r="B34" s="227"/>
      <c r="C34" s="227"/>
      <c r="D34" s="227"/>
      <c r="E34" s="227"/>
      <c r="F34" s="227"/>
    </row>
    <row r="35" spans="1:6" x14ac:dyDescent="0.25">
      <c r="A35" s="227"/>
      <c r="B35" s="227"/>
      <c r="C35" s="227"/>
      <c r="D35" s="227"/>
      <c r="E35" s="227"/>
      <c r="F35" s="227"/>
    </row>
    <row r="36" spans="1:6" x14ac:dyDescent="0.25">
      <c r="A36" s="227"/>
      <c r="B36" s="227"/>
      <c r="C36" s="227"/>
      <c r="D36" s="227"/>
      <c r="E36" s="227"/>
      <c r="F36" s="227"/>
    </row>
    <row r="37" spans="1:6" x14ac:dyDescent="0.25">
      <c r="A37" s="227"/>
      <c r="B37" s="227"/>
      <c r="C37" s="227"/>
      <c r="D37" s="227"/>
      <c r="E37" s="227"/>
      <c r="F37" s="227"/>
    </row>
    <row r="38" spans="1:6" ht="15" x14ac:dyDescent="0.25">
      <c r="A38" s="168" t="s">
        <v>219</v>
      </c>
    </row>
    <row r="39" spans="1:6" x14ac:dyDescent="0.25">
      <c r="A39" s="226" t="s">
        <v>220</v>
      </c>
      <c r="B39" s="227"/>
      <c r="C39" s="227"/>
      <c r="D39" s="227"/>
      <c r="E39" s="227"/>
      <c r="F39" s="227"/>
    </row>
    <row r="40" spans="1:6" x14ac:dyDescent="0.25">
      <c r="A40" s="227"/>
      <c r="B40" s="227"/>
      <c r="C40" s="227"/>
      <c r="D40" s="227"/>
      <c r="E40" s="227"/>
      <c r="F40" s="227"/>
    </row>
    <row r="41" spans="1:6" x14ac:dyDescent="0.25">
      <c r="A41" s="227"/>
      <c r="B41" s="227"/>
      <c r="C41" s="227"/>
      <c r="D41" s="227"/>
      <c r="E41" s="227"/>
      <c r="F41" s="227"/>
    </row>
    <row r="42" spans="1:6" x14ac:dyDescent="0.25">
      <c r="A42" s="227"/>
      <c r="B42" s="227"/>
      <c r="C42" s="227"/>
      <c r="D42" s="227"/>
      <c r="E42" s="227"/>
      <c r="F42" s="227"/>
    </row>
    <row r="44" spans="1:6" ht="15.6" x14ac:dyDescent="0.3">
      <c r="A44" s="179" t="s">
        <v>221</v>
      </c>
    </row>
    <row r="45" spans="1:6" x14ac:dyDescent="0.25">
      <c r="A45" s="226" t="s">
        <v>222</v>
      </c>
      <c r="B45" s="227"/>
      <c r="C45" s="227"/>
      <c r="D45" s="227"/>
      <c r="E45" s="227"/>
      <c r="F45" s="227"/>
    </row>
    <row r="46" spans="1:6" x14ac:dyDescent="0.25">
      <c r="A46" s="227"/>
      <c r="B46" s="227"/>
      <c r="C46" s="227"/>
      <c r="D46" s="227"/>
      <c r="E46" s="227"/>
      <c r="F46" s="227"/>
    </row>
    <row r="47" spans="1:6" x14ac:dyDescent="0.25">
      <c r="A47" s="227"/>
      <c r="B47" s="227"/>
      <c r="C47" s="227"/>
      <c r="D47" s="227"/>
      <c r="E47" s="227"/>
      <c r="F47" s="227"/>
    </row>
    <row r="48" spans="1:6" x14ac:dyDescent="0.25">
      <c r="A48" s="227"/>
      <c r="B48" s="227"/>
      <c r="C48" s="227"/>
      <c r="D48" s="227"/>
      <c r="E48" s="227"/>
      <c r="F48" s="227"/>
    </row>
    <row r="49" spans="1:6" x14ac:dyDescent="0.25">
      <c r="A49" s="226" t="s">
        <v>223</v>
      </c>
      <c r="B49" s="227"/>
      <c r="C49" s="227"/>
      <c r="D49" s="227"/>
      <c r="E49" s="227"/>
      <c r="F49" s="227"/>
    </row>
    <row r="50" spans="1:6" x14ac:dyDescent="0.25">
      <c r="A50" s="227"/>
      <c r="B50" s="227"/>
      <c r="C50" s="227"/>
      <c r="D50" s="227"/>
      <c r="E50" s="227"/>
      <c r="F50" s="227"/>
    </row>
    <row r="51" spans="1:6" x14ac:dyDescent="0.25">
      <c r="A51" s="227"/>
      <c r="B51" s="227"/>
      <c r="C51" s="227"/>
      <c r="D51" s="227"/>
      <c r="E51" s="227"/>
      <c r="F51" s="227"/>
    </row>
    <row r="52" spans="1:6" x14ac:dyDescent="0.25">
      <c r="A52" s="227"/>
      <c r="B52" s="227"/>
      <c r="C52" s="227"/>
      <c r="D52" s="227"/>
      <c r="E52" s="227"/>
      <c r="F52" s="227"/>
    </row>
    <row r="54" spans="1:6" ht="15.6" x14ac:dyDescent="0.3">
      <c r="A54" s="179" t="s">
        <v>224</v>
      </c>
    </row>
    <row r="55" spans="1:6" x14ac:dyDescent="0.25">
      <c r="A55" s="226" t="s">
        <v>225</v>
      </c>
      <c r="B55" s="227"/>
      <c r="C55" s="227"/>
      <c r="D55" s="227"/>
      <c r="E55" s="227"/>
      <c r="F55" s="227"/>
    </row>
    <row r="56" spans="1:6" x14ac:dyDescent="0.25">
      <c r="A56" s="227"/>
      <c r="B56" s="227"/>
      <c r="C56" s="227"/>
      <c r="D56" s="227"/>
      <c r="E56" s="227"/>
      <c r="F56" s="227"/>
    </row>
    <row r="57" spans="1:6" x14ac:dyDescent="0.25">
      <c r="A57" s="227"/>
      <c r="B57" s="227"/>
      <c r="C57" s="227"/>
      <c r="D57" s="227"/>
      <c r="E57" s="227"/>
      <c r="F57" s="227"/>
    </row>
    <row r="58" spans="1:6" x14ac:dyDescent="0.25">
      <c r="A58" s="227"/>
      <c r="B58" s="227"/>
      <c r="C58" s="227"/>
      <c r="D58" s="227"/>
      <c r="E58" s="227"/>
      <c r="F58" s="227"/>
    </row>
    <row r="59" spans="1:6" x14ac:dyDescent="0.25">
      <c r="A59" s="226" t="s">
        <v>226</v>
      </c>
      <c r="B59" s="227"/>
      <c r="C59" s="227"/>
      <c r="D59" s="227"/>
      <c r="E59" s="227"/>
      <c r="F59" s="227"/>
    </row>
    <row r="60" spans="1:6" x14ac:dyDescent="0.25">
      <c r="A60" s="227"/>
      <c r="B60" s="227"/>
      <c r="C60" s="227"/>
      <c r="D60" s="227"/>
      <c r="E60" s="227"/>
      <c r="F60" s="227"/>
    </row>
    <row r="61" spans="1:6" x14ac:dyDescent="0.25">
      <c r="A61" s="227"/>
      <c r="B61" s="227"/>
      <c r="C61" s="227"/>
      <c r="D61" s="227"/>
      <c r="E61" s="227"/>
      <c r="F61" s="227"/>
    </row>
    <row r="62" spans="1:6" x14ac:dyDescent="0.25">
      <c r="A62" s="227"/>
      <c r="B62" s="227"/>
      <c r="C62" s="227"/>
      <c r="D62" s="227"/>
      <c r="E62" s="227"/>
      <c r="F62" s="227"/>
    </row>
    <row r="63" spans="1:6" x14ac:dyDescent="0.25">
      <c r="A63" s="226" t="s">
        <v>227</v>
      </c>
      <c r="B63" s="227"/>
      <c r="C63" s="227"/>
      <c r="D63" s="227"/>
      <c r="E63" s="227"/>
      <c r="F63" s="227"/>
    </row>
    <row r="64" spans="1:6" x14ac:dyDescent="0.25">
      <c r="A64" s="227"/>
      <c r="B64" s="227"/>
      <c r="C64" s="227"/>
      <c r="D64" s="227"/>
      <c r="E64" s="227"/>
      <c r="F64" s="227"/>
    </row>
    <row r="65" spans="1:6" x14ac:dyDescent="0.25">
      <c r="A65" s="227"/>
      <c r="B65" s="227"/>
      <c r="C65" s="227"/>
      <c r="D65" s="227"/>
      <c r="E65" s="227"/>
      <c r="F65" s="227"/>
    </row>
    <row r="66" spans="1:6" x14ac:dyDescent="0.25">
      <c r="A66" s="227"/>
      <c r="B66" s="227"/>
      <c r="C66" s="227"/>
      <c r="D66" s="227"/>
      <c r="E66" s="227"/>
      <c r="F66" s="227"/>
    </row>
    <row r="67" spans="1:6" x14ac:dyDescent="0.25">
      <c r="A67" s="226" t="s">
        <v>228</v>
      </c>
      <c r="B67" s="227"/>
      <c r="C67" s="227"/>
      <c r="D67" s="227"/>
      <c r="E67" s="227"/>
      <c r="F67" s="227"/>
    </row>
    <row r="68" spans="1:6" x14ac:dyDescent="0.25">
      <c r="A68" s="227"/>
      <c r="B68" s="227"/>
      <c r="C68" s="227"/>
      <c r="D68" s="227"/>
      <c r="E68" s="227"/>
      <c r="F68" s="227"/>
    </row>
    <row r="69" spans="1:6" x14ac:dyDescent="0.25">
      <c r="A69" s="227"/>
      <c r="B69" s="227"/>
      <c r="C69" s="227"/>
      <c r="D69" s="227"/>
      <c r="E69" s="227"/>
      <c r="F69" s="227"/>
    </row>
    <row r="70" spans="1:6" x14ac:dyDescent="0.25">
      <c r="A70" s="227"/>
      <c r="B70" s="227"/>
      <c r="C70" s="227"/>
      <c r="D70" s="227"/>
      <c r="E70" s="227"/>
      <c r="F70" s="227"/>
    </row>
    <row r="72" spans="1:6" ht="15.6" x14ac:dyDescent="0.3">
      <c r="A72" s="179" t="s">
        <v>229</v>
      </c>
    </row>
    <row r="73" spans="1:6" x14ac:dyDescent="0.25">
      <c r="A73" s="226" t="s">
        <v>230</v>
      </c>
      <c r="B73" s="227"/>
      <c r="C73" s="227"/>
      <c r="D73" s="227"/>
      <c r="E73" s="227"/>
      <c r="F73" s="227"/>
    </row>
    <row r="74" spans="1:6" x14ac:dyDescent="0.25">
      <c r="A74" s="227"/>
      <c r="B74" s="227"/>
      <c r="C74" s="227"/>
      <c r="D74" s="227"/>
      <c r="E74" s="227"/>
      <c r="F74" s="227"/>
    </row>
    <row r="75" spans="1:6" x14ac:dyDescent="0.25">
      <c r="A75" s="227"/>
      <c r="B75" s="227"/>
      <c r="C75" s="227"/>
      <c r="D75" s="227"/>
      <c r="E75" s="227"/>
      <c r="F75" s="227"/>
    </row>
    <row r="76" spans="1:6" x14ac:dyDescent="0.25">
      <c r="A76" s="227"/>
      <c r="B76" s="227"/>
      <c r="C76" s="227"/>
      <c r="D76" s="227"/>
      <c r="E76" s="227"/>
      <c r="F76" s="227"/>
    </row>
    <row r="77" spans="1:6" x14ac:dyDescent="0.25">
      <c r="A77" s="226" t="s">
        <v>231</v>
      </c>
      <c r="B77" s="227"/>
      <c r="C77" s="227"/>
      <c r="D77" s="227"/>
      <c r="E77" s="227"/>
      <c r="F77" s="227"/>
    </row>
    <row r="78" spans="1:6" x14ac:dyDescent="0.25">
      <c r="A78" s="227"/>
      <c r="B78" s="227"/>
      <c r="C78" s="227"/>
      <c r="D78" s="227"/>
      <c r="E78" s="227"/>
      <c r="F78" s="227"/>
    </row>
    <row r="79" spans="1:6" x14ac:dyDescent="0.25">
      <c r="A79" s="227"/>
      <c r="B79" s="227"/>
      <c r="C79" s="227"/>
      <c r="D79" s="227"/>
      <c r="E79" s="227"/>
      <c r="F79" s="227"/>
    </row>
    <row r="80" spans="1:6" x14ac:dyDescent="0.25">
      <c r="A80" s="227"/>
      <c r="B80" s="227"/>
      <c r="C80" s="227"/>
      <c r="D80" s="227"/>
      <c r="E80" s="227"/>
      <c r="F80" s="227"/>
    </row>
    <row r="81" spans="1:6" x14ac:dyDescent="0.25">
      <c r="A81" s="226" t="s">
        <v>232</v>
      </c>
      <c r="B81" s="227"/>
      <c r="C81" s="227"/>
      <c r="D81" s="227"/>
      <c r="E81" s="227"/>
      <c r="F81" s="227"/>
    </row>
    <row r="82" spans="1:6" x14ac:dyDescent="0.25">
      <c r="A82" s="227"/>
      <c r="B82" s="227"/>
      <c r="C82" s="227"/>
      <c r="D82" s="227"/>
      <c r="E82" s="227"/>
      <c r="F82" s="227"/>
    </row>
    <row r="83" spans="1:6" x14ac:dyDescent="0.25">
      <c r="A83" s="227"/>
      <c r="B83" s="227"/>
      <c r="C83" s="227"/>
      <c r="D83" s="227"/>
      <c r="E83" s="227"/>
      <c r="F83" s="227"/>
    </row>
    <row r="84" spans="1:6" x14ac:dyDescent="0.25">
      <c r="A84" s="227"/>
      <c r="B84" s="227"/>
      <c r="C84" s="227"/>
      <c r="D84" s="227"/>
      <c r="E84" s="227"/>
      <c r="F84" s="227"/>
    </row>
    <row r="86" spans="1:6" ht="15.6" x14ac:dyDescent="0.3">
      <c r="A86" s="179" t="s">
        <v>233</v>
      </c>
    </row>
    <row r="87" spans="1:6" x14ac:dyDescent="0.25">
      <c r="A87" s="226" t="s">
        <v>234</v>
      </c>
      <c r="B87" s="227"/>
      <c r="C87" s="227"/>
      <c r="D87" s="227"/>
      <c r="E87" s="227"/>
      <c r="F87" s="227"/>
    </row>
    <row r="88" spans="1:6" x14ac:dyDescent="0.25">
      <c r="A88" s="227"/>
      <c r="B88" s="227"/>
      <c r="C88" s="227"/>
      <c r="D88" s="227"/>
      <c r="E88" s="227"/>
      <c r="F88" s="227"/>
    </row>
    <row r="89" spans="1:6" x14ac:dyDescent="0.25">
      <c r="A89" s="227"/>
      <c r="B89" s="227"/>
      <c r="C89" s="227"/>
      <c r="D89" s="227"/>
      <c r="E89" s="227"/>
      <c r="F89" s="227"/>
    </row>
    <row r="90" spans="1:6" x14ac:dyDescent="0.25">
      <c r="A90" s="227"/>
      <c r="B90" s="227"/>
      <c r="C90" s="227"/>
      <c r="D90" s="227"/>
      <c r="E90" s="227"/>
      <c r="F90" s="227"/>
    </row>
    <row r="91" spans="1:6" x14ac:dyDescent="0.25">
      <c r="A91" s="226" t="s">
        <v>235</v>
      </c>
      <c r="B91" s="227"/>
      <c r="C91" s="227"/>
      <c r="D91" s="227"/>
      <c r="E91" s="227"/>
      <c r="F91" s="227"/>
    </row>
    <row r="92" spans="1:6" x14ac:dyDescent="0.25">
      <c r="A92" s="227"/>
      <c r="B92" s="227"/>
      <c r="C92" s="227"/>
      <c r="D92" s="227"/>
      <c r="E92" s="227"/>
      <c r="F92" s="227"/>
    </row>
    <row r="93" spans="1:6" x14ac:dyDescent="0.25">
      <c r="A93" s="227"/>
      <c r="B93" s="227"/>
      <c r="C93" s="227"/>
      <c r="D93" s="227"/>
      <c r="E93" s="227"/>
      <c r="F93" s="227"/>
    </row>
    <row r="94" spans="1:6" x14ac:dyDescent="0.25">
      <c r="A94" s="227"/>
      <c r="B94" s="227"/>
      <c r="C94" s="227"/>
      <c r="D94" s="227"/>
      <c r="E94" s="227"/>
      <c r="F94" s="227"/>
    </row>
    <row r="96" spans="1:6" ht="15.6" x14ac:dyDescent="0.3">
      <c r="A96" s="179" t="s">
        <v>236</v>
      </c>
    </row>
    <row r="97" spans="1:6" x14ac:dyDescent="0.25">
      <c r="A97" s="226" t="s">
        <v>237</v>
      </c>
      <c r="B97" s="227"/>
      <c r="C97" s="227"/>
      <c r="D97" s="227"/>
      <c r="E97" s="227"/>
      <c r="F97" s="227"/>
    </row>
    <row r="98" spans="1:6" x14ac:dyDescent="0.25">
      <c r="A98" s="227"/>
      <c r="B98" s="227"/>
      <c r="C98" s="227"/>
      <c r="D98" s="227"/>
      <c r="E98" s="227"/>
      <c r="F98" s="227"/>
    </row>
    <row r="99" spans="1:6" x14ac:dyDescent="0.25">
      <c r="A99" s="227"/>
      <c r="B99" s="227"/>
      <c r="C99" s="227"/>
      <c r="D99" s="227"/>
      <c r="E99" s="227"/>
      <c r="F99" s="227"/>
    </row>
    <row r="100" spans="1:6" x14ac:dyDescent="0.25">
      <c r="A100" s="227"/>
      <c r="B100" s="227"/>
      <c r="C100" s="227"/>
      <c r="D100" s="227"/>
      <c r="E100" s="227"/>
      <c r="F100" s="227"/>
    </row>
    <row r="101" spans="1:6" x14ac:dyDescent="0.25">
      <c r="A101" s="226" t="s">
        <v>238</v>
      </c>
      <c r="B101" s="227"/>
      <c r="C101" s="227"/>
      <c r="D101" s="227"/>
      <c r="E101" s="227"/>
      <c r="F101" s="227"/>
    </row>
    <row r="102" spans="1:6" x14ac:dyDescent="0.25">
      <c r="A102" s="227"/>
      <c r="B102" s="227"/>
      <c r="C102" s="227"/>
      <c r="D102" s="227"/>
      <c r="E102" s="227"/>
      <c r="F102" s="227"/>
    </row>
    <row r="103" spans="1:6" x14ac:dyDescent="0.25">
      <c r="A103" s="227"/>
      <c r="B103" s="227"/>
      <c r="C103" s="227"/>
      <c r="D103" s="227"/>
      <c r="E103" s="227"/>
      <c r="F103" s="227"/>
    </row>
    <row r="104" spans="1:6" x14ac:dyDescent="0.25">
      <c r="A104" s="227"/>
      <c r="B104" s="227"/>
      <c r="C104" s="227"/>
      <c r="D104" s="227"/>
      <c r="E104" s="227"/>
      <c r="F104" s="227"/>
    </row>
    <row r="105" spans="1:6" x14ac:dyDescent="0.25">
      <c r="A105" s="226" t="s">
        <v>239</v>
      </c>
      <c r="B105" s="227"/>
      <c r="C105" s="227"/>
      <c r="D105" s="227"/>
      <c r="E105" s="227"/>
      <c r="F105" s="227"/>
    </row>
    <row r="106" spans="1:6" x14ac:dyDescent="0.25">
      <c r="A106" s="227"/>
      <c r="B106" s="227"/>
      <c r="C106" s="227"/>
      <c r="D106" s="227"/>
      <c r="E106" s="227"/>
      <c r="F106" s="227"/>
    </row>
    <row r="107" spans="1:6" x14ac:dyDescent="0.25">
      <c r="A107" s="227"/>
      <c r="B107" s="227"/>
      <c r="C107" s="227"/>
      <c r="D107" s="227"/>
      <c r="E107" s="227"/>
      <c r="F107" s="227"/>
    </row>
    <row r="108" spans="1:6" x14ac:dyDescent="0.25">
      <c r="A108" s="227"/>
      <c r="B108" s="227"/>
      <c r="C108" s="227"/>
      <c r="D108" s="227"/>
      <c r="E108" s="227"/>
      <c r="F108" s="227"/>
    </row>
    <row r="109" spans="1:6" x14ac:dyDescent="0.25">
      <c r="A109" s="226" t="s">
        <v>240</v>
      </c>
      <c r="B109" s="227"/>
      <c r="C109" s="227"/>
      <c r="D109" s="227"/>
      <c r="E109" s="227"/>
      <c r="F109" s="227"/>
    </row>
    <row r="110" spans="1:6" x14ac:dyDescent="0.25">
      <c r="A110" s="227"/>
      <c r="B110" s="227"/>
      <c r="C110" s="227"/>
      <c r="D110" s="227"/>
      <c r="E110" s="227"/>
      <c r="F110" s="227"/>
    </row>
    <row r="111" spans="1:6" x14ac:dyDescent="0.25">
      <c r="A111" s="227"/>
      <c r="B111" s="227"/>
      <c r="C111" s="227"/>
      <c r="D111" s="227"/>
      <c r="E111" s="227"/>
      <c r="F111" s="227"/>
    </row>
    <row r="112" spans="1:6" x14ac:dyDescent="0.25">
      <c r="A112" s="227"/>
      <c r="B112" s="227"/>
      <c r="C112" s="227"/>
      <c r="D112" s="227"/>
      <c r="E112" s="227"/>
      <c r="F112" s="227"/>
    </row>
    <row r="113" spans="1:6" x14ac:dyDescent="0.25">
      <c r="A113" s="226" t="s">
        <v>241</v>
      </c>
      <c r="B113" s="227"/>
      <c r="C113" s="227"/>
      <c r="D113" s="227"/>
      <c r="E113" s="227"/>
      <c r="F113" s="227"/>
    </row>
    <row r="114" spans="1:6" x14ac:dyDescent="0.25">
      <c r="A114" s="227"/>
      <c r="B114" s="227"/>
      <c r="C114" s="227"/>
      <c r="D114" s="227"/>
      <c r="E114" s="227"/>
      <c r="F114" s="227"/>
    </row>
    <row r="115" spans="1:6" x14ac:dyDescent="0.25">
      <c r="A115" s="227"/>
      <c r="B115" s="227"/>
      <c r="C115" s="227"/>
      <c r="D115" s="227"/>
      <c r="E115" s="227"/>
      <c r="F115" s="227"/>
    </row>
    <row r="116" spans="1:6" x14ac:dyDescent="0.25">
      <c r="A116" s="227"/>
      <c r="B116" s="227"/>
      <c r="C116" s="227"/>
      <c r="D116" s="227"/>
      <c r="E116" s="227"/>
      <c r="F116" s="227"/>
    </row>
    <row r="117" spans="1:6" x14ac:dyDescent="0.25">
      <c r="A117" s="226" t="s">
        <v>242</v>
      </c>
      <c r="B117" s="227"/>
      <c r="C117" s="227"/>
      <c r="D117" s="227"/>
      <c r="E117" s="227"/>
      <c r="F117" s="227"/>
    </row>
    <row r="118" spans="1:6" x14ac:dyDescent="0.25">
      <c r="A118" s="227"/>
      <c r="B118" s="227"/>
      <c r="C118" s="227"/>
      <c r="D118" s="227"/>
      <c r="E118" s="227"/>
      <c r="F118" s="227"/>
    </row>
    <row r="119" spans="1:6" x14ac:dyDescent="0.25">
      <c r="A119" s="227"/>
      <c r="B119" s="227"/>
      <c r="C119" s="227"/>
      <c r="D119" s="227"/>
      <c r="E119" s="227"/>
      <c r="F119" s="227"/>
    </row>
    <row r="120" spans="1:6" x14ac:dyDescent="0.25">
      <c r="A120" s="227"/>
      <c r="B120" s="227"/>
      <c r="C120" s="227"/>
      <c r="D120" s="227"/>
      <c r="E120" s="227"/>
      <c r="F120" s="227"/>
    </row>
    <row r="122" spans="1:6" x14ac:dyDescent="0.25">
      <c r="A122" s="226" t="s">
        <v>243</v>
      </c>
      <c r="B122" s="227"/>
      <c r="C122" s="227"/>
      <c r="D122" s="227"/>
      <c r="E122" s="227"/>
      <c r="F122" s="227"/>
    </row>
    <row r="123" spans="1:6" x14ac:dyDescent="0.25">
      <c r="A123" s="227"/>
      <c r="B123" s="227"/>
      <c r="C123" s="227"/>
      <c r="D123" s="227"/>
      <c r="E123" s="227"/>
      <c r="F123" s="227"/>
    </row>
    <row r="124" spans="1:6" x14ac:dyDescent="0.25">
      <c r="A124" s="227"/>
      <c r="B124" s="227"/>
      <c r="C124" s="227"/>
      <c r="D124" s="227"/>
      <c r="E124" s="227"/>
      <c r="F124" s="227"/>
    </row>
    <row r="125" spans="1:6" x14ac:dyDescent="0.25">
      <c r="A125" s="227"/>
      <c r="B125" s="227"/>
      <c r="C125" s="227"/>
      <c r="D125" s="227"/>
      <c r="E125" s="227"/>
      <c r="F125" s="227"/>
    </row>
  </sheetData>
  <mergeCells count="23">
    <mergeCell ref="A45:F48"/>
    <mergeCell ref="A21:F24"/>
    <mergeCell ref="A26:F29"/>
    <mergeCell ref="A30:F33"/>
    <mergeCell ref="A34:F37"/>
    <mergeCell ref="A39:F42"/>
    <mergeCell ref="A101:F104"/>
    <mergeCell ref="A49:F52"/>
    <mergeCell ref="A55:F58"/>
    <mergeCell ref="A59:F62"/>
    <mergeCell ref="A63:F66"/>
    <mergeCell ref="A67:F70"/>
    <mergeCell ref="A73:F76"/>
    <mergeCell ref="A77:F80"/>
    <mergeCell ref="A81:F84"/>
    <mergeCell ref="A87:F90"/>
    <mergeCell ref="A91:F94"/>
    <mergeCell ref="A97:F100"/>
    <mergeCell ref="A105:F108"/>
    <mergeCell ref="A109:F112"/>
    <mergeCell ref="A113:F116"/>
    <mergeCell ref="A117:F120"/>
    <mergeCell ref="A122:F125"/>
  </mergeCells>
  <pageMargins left="0.5" right="0.5" top="0.5" bottom="0.65" header="0.5" footer="0.5"/>
  <pageSetup fitToHeight="127" orientation="portrait" horizontalDpi="300" verticalDpi="300"/>
  <headerFooter alignWithMargins="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C3949-9E20-4332-B572-1A1554469CE9}">
  <dimension ref="B28:O32"/>
  <sheetViews>
    <sheetView workbookViewId="0">
      <selection activeCell="O33" sqref="O33"/>
    </sheetView>
  </sheetViews>
  <sheetFormatPr defaultRowHeight="14.4" x14ac:dyDescent="0.3"/>
  <cols>
    <col min="2" max="2" width="8.88671875" customWidth="1"/>
  </cols>
  <sheetData>
    <row r="28" spans="2:15" x14ac:dyDescent="0.3">
      <c r="B28" s="130"/>
    </row>
    <row r="32" spans="2:15" x14ac:dyDescent="0.3">
      <c r="O32" s="130" t="s">
        <v>247</v>
      </c>
    </row>
  </sheetData>
  <hyperlinks>
    <hyperlink ref="O32" r:id="rId1" xr:uid="{45774360-1D86-4300-8E29-E62ADDF21F8B}"/>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60B3B-87AA-40DC-BE56-B2BB58E835A7}">
  <dimension ref="A1"/>
  <sheetViews>
    <sheetView workbookViewId="0">
      <selection activeCell="B28" sqref="B28"/>
    </sheetView>
  </sheetViews>
  <sheetFormatPr defaultRowHeight="14.4" x14ac:dyDescent="0.3"/>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CE6B0-80DA-4E4C-8793-46536E69E04A}">
  <dimension ref="A20:B61"/>
  <sheetViews>
    <sheetView topLeftCell="A64" workbookViewId="0">
      <selection activeCell="A65" sqref="A65"/>
    </sheetView>
  </sheetViews>
  <sheetFormatPr defaultRowHeight="14.4" x14ac:dyDescent="0.3"/>
  <sheetData>
    <row r="20" spans="1:2" x14ac:dyDescent="0.3">
      <c r="A20" s="130"/>
    </row>
    <row r="26" spans="1:2" x14ac:dyDescent="0.3">
      <c r="B26" s="130" t="s">
        <v>259</v>
      </c>
    </row>
    <row r="61" spans="1:1" x14ac:dyDescent="0.3">
      <c r="A61" s="130" t="s">
        <v>260</v>
      </c>
    </row>
  </sheetData>
  <hyperlinks>
    <hyperlink ref="B26" r:id="rId1" xr:uid="{16B06F2A-3355-49EF-B0F1-9E9258C13273}"/>
    <hyperlink ref="A61" r:id="rId2" xr:uid="{DB6FB469-4BBD-40F3-99ED-CE1C54B70911}"/>
  </hyperlinks>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03DC7-FE2D-4AEE-8878-0014B7B6DC46}">
  <dimension ref="B10"/>
  <sheetViews>
    <sheetView topLeftCell="A25" workbookViewId="0">
      <selection activeCell="V30" sqref="V30"/>
    </sheetView>
  </sheetViews>
  <sheetFormatPr defaultRowHeight="14.4" x14ac:dyDescent="0.3"/>
  <sheetData>
    <row r="10" spans="2:2" x14ac:dyDescent="0.3">
      <c r="B10" s="130" t="s">
        <v>264</v>
      </c>
    </row>
  </sheetData>
  <hyperlinks>
    <hyperlink ref="B10" r:id="rId1" xr:uid="{CA8ED2F9-5843-48D3-BED2-A459578414DB}"/>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22BDDB-06CA-4344-AC99-2100434D36A2}">
  <dimension ref="B26:B27"/>
  <sheetViews>
    <sheetView workbookViewId="0">
      <selection activeCell="B28" sqref="B28"/>
    </sheetView>
  </sheetViews>
  <sheetFormatPr defaultRowHeight="14.4" x14ac:dyDescent="0.3"/>
  <sheetData>
    <row r="26" spans="2:2" x14ac:dyDescent="0.3">
      <c r="B26" s="130" t="s">
        <v>273</v>
      </c>
    </row>
    <row r="27" spans="2:2" x14ac:dyDescent="0.3">
      <c r="B27" s="130" t="s">
        <v>274</v>
      </c>
    </row>
  </sheetData>
  <hyperlinks>
    <hyperlink ref="B26" r:id="rId1" xr:uid="{61AC710A-0CBB-4A09-8C85-B8FF8EF45CA5}"/>
    <hyperlink ref="B27" r:id="rId2" xr:uid="{E7D7D920-9ED2-42A9-8F31-CF5106C24D2D}"/>
  </hyperlinks>
  <pageMargins left="0.7" right="0.7" top="0.75" bottom="0.75" header="0.3" footer="0.3"/>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409E9-E2CD-4BCD-9FD4-F4865F4FEE07}">
  <dimension ref="A1"/>
  <sheetViews>
    <sheetView tabSelected="1" workbookViewId="0">
      <selection activeCell="P34" sqref="P34"/>
    </sheetView>
  </sheetViews>
  <sheetFormatPr defaultRowHeight="14.4"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13</vt:i4>
      </vt:variant>
    </vt:vector>
  </HeadingPairs>
  <TitlesOfParts>
    <vt:vector size="13" baseType="lpstr">
      <vt:lpstr>sizing</vt:lpstr>
      <vt:lpstr>x86 TCO</vt:lpstr>
      <vt:lpstr>LinuxONE TCO</vt:lpstr>
      <vt:lpstr>TCO comparison</vt:lpstr>
      <vt:lpstr>TCO vs TPS</vt:lpstr>
      <vt:lpstr>Price Comparation</vt:lpstr>
      <vt:lpstr>Rack server</vt:lpstr>
      <vt:lpstr>VM</vt:lpstr>
      <vt:lpstr>AS</vt:lpstr>
      <vt:lpstr>DB</vt:lpstr>
      <vt:lpstr>Data Replication</vt:lpstr>
      <vt:lpstr>Security</vt:lpstr>
      <vt:lpstr>Monitoring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Giuseppe Calavaro</dc:creator>
  <cp:lastModifiedBy>Martina</cp:lastModifiedBy>
  <dcterms:created xsi:type="dcterms:W3CDTF">2015-06-05T18:17:20Z</dcterms:created>
  <dcterms:modified xsi:type="dcterms:W3CDTF">2021-04-04T16:45:21Z</dcterms:modified>
</cp:coreProperties>
</file>