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ropbox\Elgama\"/>
    </mc:Choice>
  </mc:AlternateContent>
  <bookViews>
    <workbookView xWindow="0" yWindow="120" windowWidth="28800" windowHeight="12315" activeTab="1"/>
  </bookViews>
  <sheets>
    <sheet name="Nustatymai" sheetId="12" r:id="rId1"/>
    <sheet name="RECO2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3" l="1"/>
  <c r="D20" i="13" s="1"/>
  <c r="C22" i="13"/>
  <c r="D22" i="13" s="1"/>
  <c r="C23" i="13"/>
  <c r="D23" i="13" s="1"/>
  <c r="M13" i="13" l="1"/>
  <c r="L13" i="13"/>
  <c r="N13" i="13"/>
  <c r="K8" i="13" l="1"/>
  <c r="K7" i="13"/>
  <c r="K6" i="13" l="1"/>
  <c r="L18" i="13" l="1"/>
  <c r="N18" i="13"/>
  <c r="M18" i="13"/>
  <c r="C23" i="12"/>
  <c r="C12" i="12" l="1"/>
  <c r="C4" i="12" l="1"/>
  <c r="C28" i="12" l="1"/>
  <c r="C19" i="13" l="1"/>
  <c r="D19" i="13" s="1"/>
  <c r="C21" i="13"/>
  <c r="D21" i="13" s="1"/>
  <c r="C18" i="13"/>
  <c r="D18" i="13" s="1"/>
  <c r="C20" i="12"/>
  <c r="C7" i="12"/>
  <c r="C9" i="12" s="1"/>
  <c r="N17" i="13" l="1"/>
  <c r="C17" i="13"/>
  <c r="D17" i="13" s="1"/>
  <c r="C16" i="13"/>
  <c r="D16" i="13" s="1"/>
  <c r="M17" i="13"/>
  <c r="L17" i="13"/>
  <c r="N16" i="13" l="1"/>
  <c r="N19" i="13" s="1"/>
  <c r="D25" i="13"/>
  <c r="L16" i="13"/>
  <c r="L19" i="13" s="1"/>
  <c r="M16" i="13"/>
  <c r="M19" i="13" s="1"/>
  <c r="C25" i="13"/>
</calcChain>
</file>

<file path=xl/comments1.xml><?xml version="1.0" encoding="utf-8"?>
<comments xmlns="http://schemas.openxmlformats.org/spreadsheetml/2006/main">
  <authors>
    <author>Marius Leita</author>
    <author>Aurimas Sendzikaitis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Marius Leita:</t>
        </r>
        <r>
          <rPr>
            <sz val="9"/>
            <color indexed="81"/>
            <rFont val="Tahoma"/>
            <charset val="1"/>
          </rPr>
          <t xml:space="preserve">
realiai galima multiplikuoti 4 vnt.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  <charset val="186"/>
          </rPr>
          <t>Aurimas Sendzikaitis:</t>
        </r>
        <r>
          <rPr>
            <sz val="9"/>
            <color indexed="81"/>
            <rFont val="Tahoma"/>
            <family val="2"/>
            <charset val="186"/>
          </rPr>
          <t xml:space="preserve">
Pagal nominalus dideja pakrovimo kaina (60,120,240)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Marius Leita:</t>
        </r>
        <r>
          <rPr>
            <sz val="9"/>
            <color indexed="81"/>
            <rFont val="Tahoma"/>
            <charset val="1"/>
          </rPr>
          <t xml:space="preserve">
realiai 130 taškų</t>
        </r>
      </text>
    </comment>
  </commentList>
</comments>
</file>

<file path=xl/sharedStrings.xml><?xml version="1.0" encoding="utf-8"?>
<sst xmlns="http://schemas.openxmlformats.org/spreadsheetml/2006/main" count="85" uniqueCount="81">
  <si>
    <t>Medžiagų sąnaudos</t>
  </si>
  <si>
    <t>Azoto kaina:</t>
  </si>
  <si>
    <t>Pastos kaina:</t>
  </si>
  <si>
    <t>kokia pastos kaina? Paprastai plokstei (nemultiplikuotai svoris yra apie 0,5g, didesnems gali siekti ir 1g. Manau galima daryti taip, paimti kokias 3 plokstes su skirtingu komponentu skaiciumi tada pasiziureti kokie ju svoriai. Pagal tai padaryti skaiciuokle su automatiniu parinkimu pagal svori</t>
  </si>
  <si>
    <t>visa azoto kaina padalinam is tiek kiek galima pcb pagaminti per valanda</t>
  </si>
  <si>
    <t>Pastos suvartojimas panelei:</t>
  </si>
  <si>
    <t>Pastos gramo kaina:</t>
  </si>
  <si>
    <t>Pastos kaina panelei:</t>
  </si>
  <si>
    <t>Įrangos sąnaudos</t>
  </si>
  <si>
    <t>Elektra:</t>
  </si>
  <si>
    <t>Pagal kokia kaina skaiciuoti elektra?</t>
  </si>
  <si>
    <t>Įrangos nusidevėjimas:</t>
  </si>
  <si>
    <t>Koks irangos nusidevejimas?</t>
  </si>
  <si>
    <t>Darbuotojų darbo užmokestis:</t>
  </si>
  <si>
    <t>Koks darbuotojo darbo užmokestis?</t>
  </si>
  <si>
    <t>SMT darbuotojų skaičius:</t>
  </si>
  <si>
    <t>Įrangos surinkimo greitis:</t>
  </si>
  <si>
    <t>SMT įrangos valandinė kaina:</t>
  </si>
  <si>
    <t>Plokščių kiekis panelėje:</t>
  </si>
  <si>
    <t>Plokštės tipas:</t>
  </si>
  <si>
    <t>1 - vienpusė, 2 - dvipusė</t>
  </si>
  <si>
    <t>Surenkamų panelių skaičius per h:</t>
  </si>
  <si>
    <t>Azoto kaina panelei:</t>
  </si>
  <si>
    <t>SMT panelės surinkimo kaina:</t>
  </si>
  <si>
    <t>LL darbo sąnaudos</t>
  </si>
  <si>
    <t>LL darbuotojų skaičius:</t>
  </si>
  <si>
    <t>SMT komponentų nomenklatūra:</t>
  </si>
  <si>
    <t>SMT komponentų skaičius plokštėje:</t>
  </si>
  <si>
    <t>LL komponentų skaičius plokštėje:</t>
  </si>
  <si>
    <t>LL komponento montavimo laikas:</t>
  </si>
  <si>
    <t>LL valandinė kaina:</t>
  </si>
  <si>
    <t>SMT rankinis darbas (komponentų sk.)</t>
  </si>
  <si>
    <t>SMT rankinio darbo laikas:</t>
  </si>
  <si>
    <t>SMT panelės rankinio darbo kaina:</t>
  </si>
  <si>
    <t>LL maskavimo laikas:</t>
  </si>
  <si>
    <t>LL maskavimo kiaurymių skaičius:</t>
  </si>
  <si>
    <t>LL maskavimo kaina:</t>
  </si>
  <si>
    <t>Maskavimo pastos kaina:</t>
  </si>
  <si>
    <t>Maskavimo taško kaina:</t>
  </si>
  <si>
    <t>Maskavimo pastos tepimo taškų kiekis:</t>
  </si>
  <si>
    <t>Bangos surinkimo greitis:</t>
  </si>
  <si>
    <t>Bangos darbo kaina:</t>
  </si>
  <si>
    <t>RS darbo kaina:</t>
  </si>
  <si>
    <t>RS litavimo taškų skaičius:</t>
  </si>
  <si>
    <t>(SMT kaina / surenkamu ploksciu sk per h * plokstes tipas) + azoto kaina + pastos kaina</t>
  </si>
  <si>
    <t>(SMT rankinio darbo komp sk. * SMT rankinio darbo laikas * ploksciu skaicius paneleje) / 3600 * SMT kaina</t>
  </si>
  <si>
    <t>LL surinkimo kaina:</t>
  </si>
  <si>
    <t>(LL komponentu sk * LL montavimo laikas) / 3600 * LL valandine kaina</t>
  </si>
  <si>
    <t>((LL maskavimo tasku sk pl * LL maskavimo laikas) / 3600 * LL valandine kaina)+ (LL maskavimo sk pl * maskavimo tasko kaina)</t>
  </si>
  <si>
    <t>(azoto kaina + bangos darbuotojo kaina) / bangos pl skaicius per h</t>
  </si>
  <si>
    <t>RS litavimo laikas:</t>
  </si>
  <si>
    <t>(litavimo taškų sk * taško litavimo laikas) / 60 * darbuotojo kaina (h)</t>
  </si>
  <si>
    <t>Pradiniai duomenys</t>
  </si>
  <si>
    <t>Programavimo ir tęstavimo darbai:</t>
  </si>
  <si>
    <t>Programavimo ir testavimo darbų kaina:</t>
  </si>
  <si>
    <t>Testuotojo darbo užmokestis:</t>
  </si>
  <si>
    <t>(programavimo laikas / 60min) * testuotojo kaina</t>
  </si>
  <si>
    <t>Bendra plokštės kaina:</t>
  </si>
  <si>
    <t>suma visu auksciau isvardintu darbu</t>
  </si>
  <si>
    <t>Papildomų darbų laikas:</t>
  </si>
  <si>
    <t>tarkim jei sujungimejam kaladeles ar kazka papildomai darom, tai cia yra laikas panaudotas vieno gaminio papildomiems darbams</t>
  </si>
  <si>
    <t>Papildomų darbų kaina:</t>
  </si>
  <si>
    <t>(papildomu darbu laikas / 60) * darbuotojo kaina</t>
  </si>
  <si>
    <t>Komponentų sk.</t>
  </si>
  <si>
    <t>Nuo</t>
  </si>
  <si>
    <t>Iki</t>
  </si>
  <si>
    <t>Koeficientas</t>
  </si>
  <si>
    <t>Trafareto kaina:</t>
  </si>
  <si>
    <t>Pick&amp;Place programos rašymas:</t>
  </si>
  <si>
    <t>Mašinų derinimo darbai:</t>
  </si>
  <si>
    <t>Plokštė</t>
  </si>
  <si>
    <t>Panelė</t>
  </si>
  <si>
    <t>Įveskite planuojamą užsakymo kiekį:</t>
  </si>
  <si>
    <t>Sąvikainų marža</t>
  </si>
  <si>
    <t>Užsakomų gaminių sąvikainų lentelė</t>
  </si>
  <si>
    <t>Įmonės sąvikainų maržą pagal užsakymo kiekį:</t>
  </si>
  <si>
    <t>EMS paslaugų kainos</t>
  </si>
  <si>
    <t>Gaminio kaina:</t>
  </si>
  <si>
    <t>SMT darbų kaina:</t>
  </si>
  <si>
    <t>THT darbų kaina:</t>
  </si>
  <si>
    <t>kokia azoto kaina? Kodel pagal sena skaiciuokle buvo parinkti Xeu kaina valandine?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</si>
</sst>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9" formatCode="General\ &quot;komp/h&quot;"/>
    <numFmt numFmtId="170" formatCode="General\ &quot;darbuotojai&quot;"/>
    <numFmt numFmtId="171" formatCode="#,##0.00\ &quot;€&quot;"/>
    <numFmt numFmtId="172" formatCode="General\ &quot;€/g&quot;"/>
    <numFmt numFmtId="173" formatCode="General\ &quot;panelių/h&quot;"/>
    <numFmt numFmtId="174" formatCode="General\ &quot;€/h&quot;"/>
    <numFmt numFmtId="175" formatCode="General\ &quot;g&quot;"/>
    <numFmt numFmtId="176" formatCode="General\ &quot;€&quot;"/>
    <numFmt numFmtId="177" formatCode="General\ &quot;sec&quot;"/>
    <numFmt numFmtId="178" formatCode="General\ &quot;vnt&quot;"/>
    <numFmt numFmtId="179" formatCode="#,##0.00000\ &quot;€&quot;"/>
    <numFmt numFmtId="180" formatCode="General\ &quot;panelės/h&quot;"/>
    <numFmt numFmtId="181" formatCode="General\ &quot;min&quot;"/>
    <numFmt numFmtId="182" formatCode="General\ &quot;komp.&quot;"/>
    <numFmt numFmtId="183" formatCode="General\ &quot;kiaurym.&quot;"/>
  </numFmts>
  <fonts count="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b/>
      <u/>
      <sz val="10"/>
      <color theme="1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171" fontId="2" fillId="0" borderId="1" xfId="0" applyNumberFormat="1" applyFont="1" applyBorder="1"/>
    <xf numFmtId="0" fontId="4" fillId="0" borderId="1" xfId="0" applyFont="1" applyBorder="1"/>
    <xf numFmtId="171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171" fontId="2" fillId="0" borderId="2" xfId="0" applyNumberFormat="1" applyFont="1" applyBorder="1"/>
    <xf numFmtId="0" fontId="3" fillId="0" borderId="1" xfId="0" applyFont="1" applyBorder="1"/>
    <xf numFmtId="0" fontId="2" fillId="0" borderId="1" xfId="0" applyFont="1" applyFill="1" applyBorder="1"/>
    <xf numFmtId="9" fontId="2" fillId="0" borderId="1" xfId="1" applyFont="1" applyFill="1" applyBorder="1"/>
    <xf numFmtId="0" fontId="3" fillId="0" borderId="1" xfId="0" applyFont="1" applyBorder="1" applyAlignment="1"/>
    <xf numFmtId="9" fontId="3" fillId="0" borderId="1" xfId="1" applyFont="1" applyBorder="1"/>
    <xf numFmtId="174" fontId="2" fillId="0" borderId="0" xfId="0" applyNumberFormat="1" applyFont="1"/>
    <xf numFmtId="0" fontId="3" fillId="0" borderId="0" xfId="0" applyFont="1"/>
    <xf numFmtId="174" fontId="3" fillId="0" borderId="0" xfId="0" applyNumberFormat="1" applyFont="1"/>
    <xf numFmtId="171" fontId="2" fillId="0" borderId="0" xfId="0" applyNumberFormat="1" applyFont="1"/>
    <xf numFmtId="172" fontId="2" fillId="0" borderId="0" xfId="0" applyNumberFormat="1" applyFont="1"/>
    <xf numFmtId="175" fontId="2" fillId="0" borderId="0" xfId="0" applyNumberFormat="1" applyFont="1"/>
    <xf numFmtId="176" fontId="2" fillId="0" borderId="0" xfId="0" applyNumberFormat="1" applyFont="1"/>
    <xf numFmtId="178" fontId="2" fillId="0" borderId="0" xfId="0" applyNumberFormat="1" applyFont="1"/>
    <xf numFmtId="179" fontId="2" fillId="0" borderId="0" xfId="0" applyNumberFormat="1" applyFont="1"/>
    <xf numFmtId="170" fontId="2" fillId="0" borderId="0" xfId="0" applyNumberFormat="1" applyFont="1"/>
    <xf numFmtId="177" fontId="2" fillId="0" borderId="0" xfId="0" applyNumberFormat="1" applyFont="1"/>
    <xf numFmtId="171" fontId="3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180" fontId="2" fillId="0" borderId="0" xfId="0" applyNumberFormat="1" applyFont="1"/>
    <xf numFmtId="181" fontId="2" fillId="0" borderId="0" xfId="0" applyNumberFormat="1" applyFont="1"/>
    <xf numFmtId="178" fontId="3" fillId="2" borderId="1" xfId="0" applyNumberFormat="1" applyFont="1" applyFill="1" applyBorder="1" applyProtection="1">
      <protection locked="0"/>
    </xf>
    <xf numFmtId="171" fontId="3" fillId="3" borderId="1" xfId="0" applyNumberFormat="1" applyFont="1" applyFill="1" applyBorder="1"/>
    <xf numFmtId="0" fontId="2" fillId="4" borderId="1" xfId="0" applyFont="1" applyFill="1" applyBorder="1" applyProtection="1">
      <protection locked="0"/>
    </xf>
    <xf numFmtId="182" fontId="2" fillId="4" borderId="1" xfId="0" applyNumberFormat="1" applyFont="1" applyFill="1" applyBorder="1" applyProtection="1">
      <protection locked="0"/>
    </xf>
    <xf numFmtId="183" fontId="2" fillId="4" borderId="1" xfId="0" applyNumberFormat="1" applyFont="1" applyFill="1" applyBorder="1" applyProtection="1">
      <protection locked="0"/>
    </xf>
    <xf numFmtId="181" fontId="2" fillId="4" borderId="1" xfId="0" applyNumberFormat="1" applyFont="1" applyFill="1" applyBorder="1" applyProtection="1">
      <protection locked="0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Sąvikainų marža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Nustatymai!$J$30:$J$39</c:f>
              <c:numCache>
                <c:formatCode>0%</c:formatCode>
                <c:ptCount val="10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7.5</c:v>
                </c:pt>
                <c:pt idx="4">
                  <c:v>5.5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1-494C-8326-56395A33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8252000"/>
        <c:axId val="-1408249280"/>
      </c:lineChart>
      <c:catAx>
        <c:axId val="-140825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249280"/>
        <c:crosses val="autoZero"/>
        <c:auto val="1"/>
        <c:lblAlgn val="ctr"/>
        <c:lblOffset val="100"/>
        <c:noMultiLvlLbl val="0"/>
      </c:catAx>
      <c:valAx>
        <c:axId val="-14082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2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27</xdr:row>
      <xdr:rowOff>33336</xdr:rowOff>
    </xdr:from>
    <xdr:to>
      <xdr:col>17</xdr:col>
      <xdr:colOff>533400</xdr:colOff>
      <xdr:row>38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9"/>
  <sheetViews>
    <sheetView workbookViewId="0">
      <selection activeCell="J25" sqref="J25"/>
    </sheetView>
  </sheetViews>
  <sheetFormatPr defaultRowHeight="12.75" x14ac:dyDescent="0.2"/>
  <cols>
    <col min="1" max="1" width="9.140625" style="2"/>
    <col min="2" max="2" width="36.140625" style="2" bestFit="1" customWidth="1"/>
    <col min="3" max="3" width="14.28515625" style="2" bestFit="1" customWidth="1"/>
    <col min="4" max="4" width="3" style="2" customWidth="1"/>
    <col min="5" max="9" width="9.140625" style="2"/>
    <col min="10" max="10" width="13.42578125" style="2" bestFit="1" customWidth="1"/>
    <col min="11" max="16384" width="9.140625" style="2"/>
  </cols>
  <sheetData>
    <row r="2" spans="2:22" x14ac:dyDescent="0.2">
      <c r="B2" s="37" t="s">
        <v>0</v>
      </c>
      <c r="C2" s="37"/>
    </row>
    <row r="3" spans="2:22" x14ac:dyDescent="0.2">
      <c r="B3" s="2" t="s">
        <v>1</v>
      </c>
      <c r="C3" s="14">
        <v>15</v>
      </c>
      <c r="E3" s="2" t="s">
        <v>80</v>
      </c>
    </row>
    <row r="4" spans="2:22" x14ac:dyDescent="0.2">
      <c r="B4" s="15" t="s">
        <v>22</v>
      </c>
      <c r="C4" s="16">
        <f>C3/C23</f>
        <v>0.33300000000000002</v>
      </c>
      <c r="E4" s="2" t="s">
        <v>4</v>
      </c>
    </row>
    <row r="5" spans="2:22" ht="5.25" customHeight="1" x14ac:dyDescent="0.2"/>
    <row r="6" spans="2:22" x14ac:dyDescent="0.2">
      <c r="B6" s="2" t="s">
        <v>2</v>
      </c>
      <c r="C6" s="17">
        <v>39</v>
      </c>
      <c r="E6" s="38" t="s">
        <v>3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2:22" x14ac:dyDescent="0.2">
      <c r="B7" s="2" t="s">
        <v>6</v>
      </c>
      <c r="C7" s="18">
        <f>C6/500</f>
        <v>7.8E-2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2:22" x14ac:dyDescent="0.2">
      <c r="B8" s="2" t="s">
        <v>5</v>
      </c>
      <c r="C8" s="19">
        <v>2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2:22" x14ac:dyDescent="0.2">
      <c r="B9" s="2" t="s">
        <v>7</v>
      </c>
      <c r="C9" s="20">
        <f>C7*C8</f>
        <v>0.156</v>
      </c>
    </row>
    <row r="10" spans="2:22" x14ac:dyDescent="0.2">
      <c r="B10" s="2" t="s">
        <v>37</v>
      </c>
      <c r="C10" s="17">
        <v>19</v>
      </c>
    </row>
    <row r="11" spans="2:22" x14ac:dyDescent="0.2">
      <c r="B11" s="2" t="s">
        <v>39</v>
      </c>
      <c r="C11" s="21">
        <v>3200</v>
      </c>
    </row>
    <row r="12" spans="2:22" x14ac:dyDescent="0.2">
      <c r="B12" s="2" t="s">
        <v>38</v>
      </c>
      <c r="C12" s="22">
        <f>C10/C11</f>
        <v>5.9375000000000001E-3</v>
      </c>
    </row>
    <row r="14" spans="2:22" x14ac:dyDescent="0.2">
      <c r="B14" s="39" t="s">
        <v>8</v>
      </c>
      <c r="C14" s="39"/>
    </row>
    <row r="15" spans="2:22" x14ac:dyDescent="0.2">
      <c r="B15" s="2" t="s">
        <v>9</v>
      </c>
      <c r="C15" s="17">
        <v>7</v>
      </c>
      <c r="E15" s="2" t="s">
        <v>10</v>
      </c>
    </row>
    <row r="16" spans="2:22" x14ac:dyDescent="0.2">
      <c r="B16" s="2" t="s">
        <v>11</v>
      </c>
      <c r="C16" s="17">
        <v>13</v>
      </c>
      <c r="E16" s="2" t="s">
        <v>12</v>
      </c>
    </row>
    <row r="17" spans="2:10" x14ac:dyDescent="0.2">
      <c r="B17" s="2" t="s">
        <v>13</v>
      </c>
      <c r="C17" s="17">
        <v>17</v>
      </c>
      <c r="E17" s="2" t="s">
        <v>14</v>
      </c>
    </row>
    <row r="18" spans="2:10" x14ac:dyDescent="0.2">
      <c r="B18" s="2" t="s">
        <v>15</v>
      </c>
      <c r="C18" s="23">
        <v>2</v>
      </c>
    </row>
    <row r="19" spans="2:10" x14ac:dyDescent="0.2">
      <c r="B19" s="2" t="s">
        <v>32</v>
      </c>
      <c r="C19" s="24">
        <v>10</v>
      </c>
      <c r="H19" s="12" t="s">
        <v>63</v>
      </c>
      <c r="I19" s="12"/>
      <c r="J19" s="9"/>
    </row>
    <row r="20" spans="2:10" x14ac:dyDescent="0.2">
      <c r="B20" s="15" t="s">
        <v>17</v>
      </c>
      <c r="C20" s="25">
        <f>C15+C16+C18*C17</f>
        <v>54</v>
      </c>
      <c r="H20" s="9" t="s">
        <v>64</v>
      </c>
      <c r="I20" s="9" t="s">
        <v>65</v>
      </c>
      <c r="J20" s="9" t="s">
        <v>66</v>
      </c>
    </row>
    <row r="21" spans="2:10" ht="3" customHeight="1" x14ac:dyDescent="0.2">
      <c r="C21" s="23"/>
      <c r="H21" s="3"/>
      <c r="I21" s="3"/>
      <c r="J21" s="3"/>
    </row>
    <row r="22" spans="2:10" x14ac:dyDescent="0.2">
      <c r="B22" s="2" t="s">
        <v>16</v>
      </c>
      <c r="C22" s="26">
        <v>10000</v>
      </c>
      <c r="H22" s="3">
        <v>0</v>
      </c>
      <c r="I22" s="3">
        <v>50</v>
      </c>
      <c r="J22" s="3">
        <v>1</v>
      </c>
    </row>
    <row r="23" spans="2:10" x14ac:dyDescent="0.2">
      <c r="B23" s="2" t="s">
        <v>21</v>
      </c>
      <c r="C23" s="27">
        <f>C22/(RECO2!C7*RECO2!C3)</f>
        <v>45.045045045045043</v>
      </c>
      <c r="H23" s="3">
        <v>50</v>
      </c>
      <c r="I23" s="3">
        <v>100</v>
      </c>
      <c r="J23" s="3">
        <v>1.25</v>
      </c>
    </row>
    <row r="24" spans="2:10" x14ac:dyDescent="0.2">
      <c r="H24" s="3">
        <v>100</v>
      </c>
      <c r="I24" s="3">
        <v>200</v>
      </c>
      <c r="J24" s="3">
        <v>1.5</v>
      </c>
    </row>
    <row r="25" spans="2:10" x14ac:dyDescent="0.2">
      <c r="B25" s="37" t="s">
        <v>24</v>
      </c>
      <c r="C25" s="37"/>
      <c r="H25" s="3">
        <v>200</v>
      </c>
      <c r="I25" s="3">
        <v>300</v>
      </c>
      <c r="J25" s="3">
        <v>1.75</v>
      </c>
    </row>
    <row r="26" spans="2:10" x14ac:dyDescent="0.2">
      <c r="B26" s="2" t="s">
        <v>13</v>
      </c>
      <c r="C26" s="17">
        <v>9.9</v>
      </c>
      <c r="H26" s="3">
        <v>300</v>
      </c>
      <c r="I26" s="3"/>
      <c r="J26" s="3">
        <v>2</v>
      </c>
    </row>
    <row r="27" spans="2:10" x14ac:dyDescent="0.2">
      <c r="B27" s="2" t="s">
        <v>25</v>
      </c>
      <c r="C27" s="23">
        <v>1</v>
      </c>
    </row>
    <row r="28" spans="2:10" x14ac:dyDescent="0.2">
      <c r="B28" s="15" t="s">
        <v>30</v>
      </c>
      <c r="C28" s="25">
        <f>C27*C26</f>
        <v>9.9</v>
      </c>
      <c r="H28" s="36" t="s">
        <v>74</v>
      </c>
      <c r="I28" s="36"/>
      <c r="J28" s="36"/>
    </row>
    <row r="29" spans="2:10" x14ac:dyDescent="0.2">
      <c r="B29" s="2" t="s">
        <v>29</v>
      </c>
      <c r="C29" s="24">
        <v>6</v>
      </c>
      <c r="H29" s="7" t="s">
        <v>64</v>
      </c>
      <c r="I29" s="7" t="s">
        <v>65</v>
      </c>
      <c r="J29" s="7" t="s">
        <v>73</v>
      </c>
    </row>
    <row r="30" spans="2:10" x14ac:dyDescent="0.2">
      <c r="B30" s="2" t="s">
        <v>34</v>
      </c>
      <c r="C30" s="24">
        <v>3</v>
      </c>
      <c r="H30" s="10">
        <v>0</v>
      </c>
      <c r="I30" s="3">
        <v>5</v>
      </c>
      <c r="J30" s="11">
        <v>20</v>
      </c>
    </row>
    <row r="31" spans="2:10" x14ac:dyDescent="0.2">
      <c r="B31" s="2" t="s">
        <v>40</v>
      </c>
      <c r="C31" s="28">
        <v>80</v>
      </c>
      <c r="H31" s="10">
        <v>5</v>
      </c>
      <c r="I31" s="3">
        <v>10</v>
      </c>
      <c r="J31" s="11">
        <v>14</v>
      </c>
    </row>
    <row r="32" spans="2:10" x14ac:dyDescent="0.2">
      <c r="B32" s="2" t="s">
        <v>50</v>
      </c>
      <c r="C32" s="29">
        <v>0.2</v>
      </c>
      <c r="H32" s="10">
        <v>10</v>
      </c>
      <c r="I32" s="3">
        <v>30</v>
      </c>
      <c r="J32" s="11">
        <v>10</v>
      </c>
    </row>
    <row r="33" spans="2:10" x14ac:dyDescent="0.2">
      <c r="B33" s="2" t="s">
        <v>55</v>
      </c>
      <c r="C33" s="17">
        <v>8</v>
      </c>
      <c r="H33" s="10">
        <v>30</v>
      </c>
      <c r="I33" s="3">
        <v>80</v>
      </c>
      <c r="J33" s="11">
        <v>7.5</v>
      </c>
    </row>
    <row r="34" spans="2:10" x14ac:dyDescent="0.2">
      <c r="H34" s="10">
        <v>80</v>
      </c>
      <c r="I34" s="3">
        <v>200</v>
      </c>
      <c r="J34" s="11">
        <v>5.5</v>
      </c>
    </row>
    <row r="35" spans="2:10" x14ac:dyDescent="0.2">
      <c r="H35" s="10">
        <v>200</v>
      </c>
      <c r="I35" s="3">
        <v>400</v>
      </c>
      <c r="J35" s="11">
        <v>4</v>
      </c>
    </row>
    <row r="36" spans="2:10" x14ac:dyDescent="0.2">
      <c r="H36" s="10">
        <v>400</v>
      </c>
      <c r="I36" s="3">
        <v>800</v>
      </c>
      <c r="J36" s="11">
        <v>3</v>
      </c>
    </row>
    <row r="37" spans="2:10" x14ac:dyDescent="0.2">
      <c r="H37" s="10">
        <v>800</v>
      </c>
      <c r="I37" s="3">
        <v>1500</v>
      </c>
      <c r="J37" s="11">
        <v>2</v>
      </c>
    </row>
    <row r="38" spans="2:10" x14ac:dyDescent="0.2">
      <c r="H38" s="10">
        <v>1500</v>
      </c>
      <c r="I38" s="3">
        <v>3000</v>
      </c>
      <c r="J38" s="11">
        <v>1.5</v>
      </c>
    </row>
    <row r="39" spans="2:10" x14ac:dyDescent="0.2">
      <c r="H39" s="10">
        <v>3000</v>
      </c>
      <c r="I39" s="3"/>
      <c r="J39" s="11">
        <v>1.25</v>
      </c>
    </row>
  </sheetData>
  <sheetProtection selectLockedCells="1"/>
  <mergeCells count="5">
    <mergeCell ref="H28:J28"/>
    <mergeCell ref="B2:C2"/>
    <mergeCell ref="E6:V8"/>
    <mergeCell ref="B14:C14"/>
    <mergeCell ref="B25:C2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5"/>
  <sheetViews>
    <sheetView tabSelected="1" workbookViewId="0">
      <selection activeCell="G38" sqref="G38"/>
    </sheetView>
  </sheetViews>
  <sheetFormatPr defaultRowHeight="15" x14ac:dyDescent="0.25"/>
  <cols>
    <col min="2" max="2" width="35.7109375" customWidth="1"/>
    <col min="3" max="3" width="13.28515625" customWidth="1"/>
    <col min="5" max="5" width="118.5703125" hidden="1" customWidth="1"/>
    <col min="10" max="10" width="9.140625" customWidth="1"/>
  </cols>
  <sheetData>
    <row r="2" spans="2:14" x14ac:dyDescent="0.25">
      <c r="B2" s="36" t="s">
        <v>52</v>
      </c>
      <c r="C2" s="36"/>
    </row>
    <row r="3" spans="2:14" x14ac:dyDescent="0.25">
      <c r="B3" s="3" t="s">
        <v>18</v>
      </c>
      <c r="C3" s="32">
        <v>2</v>
      </c>
    </row>
    <row r="4" spans="2:14" x14ac:dyDescent="0.25">
      <c r="B4" s="3" t="s">
        <v>19</v>
      </c>
      <c r="C4" s="32">
        <v>2</v>
      </c>
      <c r="D4" s="2" t="s">
        <v>20</v>
      </c>
    </row>
    <row r="5" spans="2:14" ht="6" customHeight="1" x14ac:dyDescent="0.25">
      <c r="B5" s="3"/>
      <c r="C5" s="3"/>
      <c r="D5" s="2"/>
    </row>
    <row r="6" spans="2:14" x14ac:dyDescent="0.25">
      <c r="B6" s="3" t="s">
        <v>26</v>
      </c>
      <c r="C6" s="33">
        <v>27</v>
      </c>
      <c r="H6" s="40" t="s">
        <v>67</v>
      </c>
      <c r="I6" s="40"/>
      <c r="J6" s="40"/>
      <c r="K6" s="4">
        <f>C4*80</f>
        <v>160</v>
      </c>
    </row>
    <row r="7" spans="2:14" x14ac:dyDescent="0.25">
      <c r="B7" s="3" t="s">
        <v>27</v>
      </c>
      <c r="C7" s="33">
        <v>111</v>
      </c>
      <c r="H7" s="40" t="s">
        <v>68</v>
      </c>
      <c r="I7" s="40"/>
      <c r="J7" s="40"/>
      <c r="K7" s="4">
        <f>40*IF(AND(C6&gt;Nustatymai!H22,C6&lt;Nustatymai!I22),1,IF(AND(C6&gt;=Nustatymai!H23,C6&lt;Nustatymai!I23),1.25,IF(AND(C6&gt;=Nustatymai!H24,C6&lt;Nustatymai!I24),1.5,IF(AND(C6&gt;=Nustatymai!H25,C6&lt;Nustatymai!I25),1.75,IF(C6&gt;=Nustatymai!H26,2,"Klaida")))))</f>
        <v>40</v>
      </c>
    </row>
    <row r="8" spans="2:14" x14ac:dyDescent="0.25">
      <c r="B8" s="3" t="s">
        <v>31</v>
      </c>
      <c r="C8" s="33">
        <v>0</v>
      </c>
      <c r="H8" s="40" t="s">
        <v>69</v>
      </c>
      <c r="I8" s="40"/>
      <c r="J8" s="40"/>
      <c r="K8" s="4">
        <f>40*IF(AND(C6&gt;0,C6&lt;60),1,IF(AND(C6&gt;=60,C6&lt;120),1.25,IF(AND(C6&gt;=120,C6&lt;240),1.25,IF(C6&gt;=240,1.75,"Klaida"))))</f>
        <v>40</v>
      </c>
      <c r="M8" s="2"/>
    </row>
    <row r="9" spans="2:14" x14ac:dyDescent="0.25">
      <c r="B9" s="3" t="s">
        <v>28</v>
      </c>
      <c r="C9" s="33">
        <v>0</v>
      </c>
    </row>
    <row r="10" spans="2:14" x14ac:dyDescent="0.25">
      <c r="B10" s="3" t="s">
        <v>35</v>
      </c>
      <c r="C10" s="34">
        <v>0</v>
      </c>
    </row>
    <row r="11" spans="2:14" x14ac:dyDescent="0.25">
      <c r="B11" s="3" t="s">
        <v>43</v>
      </c>
      <c r="C11" s="34">
        <v>5</v>
      </c>
      <c r="F11">
        <v>135</v>
      </c>
    </row>
    <row r="12" spans="2:14" x14ac:dyDescent="0.25">
      <c r="B12" s="3" t="s">
        <v>53</v>
      </c>
      <c r="C12" s="35">
        <v>0</v>
      </c>
      <c r="H12" s="36" t="s">
        <v>72</v>
      </c>
      <c r="I12" s="36"/>
      <c r="J12" s="36"/>
      <c r="K12" s="36"/>
      <c r="L12" s="30">
        <v>15</v>
      </c>
      <c r="M12" s="30">
        <v>250</v>
      </c>
      <c r="N12" s="30">
        <v>500</v>
      </c>
    </row>
    <row r="13" spans="2:14" x14ac:dyDescent="0.25">
      <c r="B13" s="3" t="s">
        <v>59</v>
      </c>
      <c r="C13" s="35"/>
      <c r="E13" t="s">
        <v>60</v>
      </c>
      <c r="H13" s="36" t="s">
        <v>75</v>
      </c>
      <c r="I13" s="36"/>
      <c r="J13" s="36"/>
      <c r="K13" s="36"/>
      <c r="L13" s="13">
        <f>IF(AND($L$12&gt;=Nustatymai!H30,$L$12&lt;Nustatymai!I30),Nustatymai!J30,IF(AND($L$12&gt;=Nustatymai!H31,$L$12&lt;Nustatymai!I31),Nustatymai!J31,IF(AND($L$12&gt;=Nustatymai!H32,$L$12&lt;Nustatymai!I32),Nustatymai!J32,IF(AND($L$12&gt;=Nustatymai!H33,$L$12&lt;Nustatymai!I33),Nustatymai!J33,IF(AND($L$12&gt;=Nustatymai!H34,$L$12&lt;Nustatymai!I34),Nustatymai!J34,IF(AND($L$12&gt;=Nustatymai!H35,$L$12&lt;Nustatymai!I35),Nustatymai!J35,IF(AND($L$12&gt;=Nustatymai!H36,$L$12&lt;Nustatymai!I36),Nustatymai!J36,IF(AND($L$12&gt;=Nustatymai!H37,$L$12&lt;Nustatymai!I37),Nustatymai!J37,IF(AND($L$12&gt;=Nustatymai!H38,$L$12&lt;Nustatymai!I38),Nustatymai!J38,IF($L$12&gt;=Nustatymai!H39,Nustatymai!J39,"Klaida"))))))))))</f>
        <v>10</v>
      </c>
      <c r="M13" s="13">
        <f>IF(AND($M$12&gt;=Nustatymai!H30,$M$12&lt;Nustatymai!I30),Nustatymai!J30,IF(AND($M$12&gt;=Nustatymai!H31,$M$12&lt;Nustatymai!I31),Nustatymai!J31,IF(AND($M$12&gt;=Nustatymai!H32,$M$12&lt;Nustatymai!I32),Nustatymai!J32,IF(AND($M$12&gt;=Nustatymai!H33,$M$12&lt;Nustatymai!I33),Nustatymai!J33,IF(AND($M$12&gt;=Nustatymai!H34,$M$12&lt;Nustatymai!I34),Nustatymai!J34,IF(AND($M$12&gt;=Nustatymai!H35,$M$12&lt;Nustatymai!I35),Nustatymai!J35,IF(AND($M$12&gt;=Nustatymai!H36,$M$12&lt;Nustatymai!I36),Nustatymai!J36,IF(AND($M$12&gt;=Nustatymai!H37,$M$12&lt;Nustatymai!I37),Nustatymai!J37,IF(AND($M$12&gt;=Nustatymai!H38,$M$12&lt;Nustatymai!I38),Nustatymai!J38,IF($M$12&gt;=Nustatymai!H39,Nustatymai!J39,"Klaida"))))))))))</f>
        <v>4</v>
      </c>
      <c r="N13" s="13">
        <f>IF(AND($N$12&gt;=Nustatymai!H30,$N$12&lt;Nustatymai!I30),Nustatymai!J30,IF(AND($N$12&gt;=Nustatymai!H31,$N$12&lt;Nustatymai!I31),Nustatymai!J31,IF(AND($N$12&gt;=Nustatymai!H32,$N$12&lt;Nustatymai!I32),Nustatymai!J32,IF(AND($N$12&gt;=Nustatymai!H33,$N$12&lt;Nustatymai!I33),Nustatymai!J33,IF(AND($N$12&gt;=Nustatymai!H34,$N$12&lt;Nustatymai!I34),Nustatymai!J34,IF(AND($N$12&gt;=Nustatymai!H35,$N$12&lt;Nustatymai!I35),Nustatymai!J35,IF(AND($N$12&gt;=Nustatymai!H36,$N$12&lt;Nustatymai!I36),Nustatymai!J36,IF(AND($N$12&gt;=Nustatymai!H37,$N$12&lt;Nustatymai!I37),Nustatymai!J37,IF(AND($N$12&gt;=Nustatymai!H38,$N$12&lt;Nustatymai!I38),Nustatymai!J38,IF($N$12&gt;=Nustatymai!H39,Nustatymai!J39,"Klaida"))))))))))</f>
        <v>3</v>
      </c>
    </row>
    <row r="15" spans="2:14" x14ac:dyDescent="0.25">
      <c r="C15" s="7" t="s">
        <v>71</v>
      </c>
      <c r="D15" s="7" t="s">
        <v>70</v>
      </c>
      <c r="H15" s="42" t="s">
        <v>76</v>
      </c>
      <c r="I15" s="43"/>
      <c r="J15" s="43"/>
      <c r="K15" s="43"/>
      <c r="L15" s="43"/>
      <c r="M15" s="43"/>
      <c r="N15" s="43"/>
    </row>
    <row r="16" spans="2:14" x14ac:dyDescent="0.25">
      <c r="B16" s="3" t="s">
        <v>23</v>
      </c>
      <c r="C16" s="8">
        <f>((Nustatymai!C20/Nustatymai!C23)+Nustatymai!C4+Nustatymai!C9)*C4</f>
        <v>3.3755999999999999</v>
      </c>
      <c r="D16" s="4">
        <f>C16/C3</f>
        <v>1.6878</v>
      </c>
      <c r="E16" t="s">
        <v>44</v>
      </c>
      <c r="H16" s="40" t="s">
        <v>78</v>
      </c>
      <c r="I16" s="40"/>
      <c r="J16" s="40"/>
      <c r="K16" s="40"/>
      <c r="L16" s="4">
        <f>SUM($D16:$D17)*L13</f>
        <v>16.878</v>
      </c>
      <c r="M16" s="4">
        <f t="shared" ref="M16" si="0">SUM($D16:$D17)*M13</f>
        <v>6.7511999999999999</v>
      </c>
      <c r="N16" s="4">
        <f>SUM($D16:$D17)*N13</f>
        <v>5.0633999999999997</v>
      </c>
    </row>
    <row r="17" spans="2:14" x14ac:dyDescent="0.25">
      <c r="B17" s="3" t="s">
        <v>33</v>
      </c>
      <c r="C17" s="4">
        <f>(C8*Nustatymai!C19*C3)/3600*Nustatymai!C20</f>
        <v>0</v>
      </c>
      <c r="D17" s="4">
        <f>C17/C3</f>
        <v>0</v>
      </c>
      <c r="E17" t="s">
        <v>45</v>
      </c>
      <c r="H17" s="40" t="s">
        <v>79</v>
      </c>
      <c r="I17" s="40"/>
      <c r="J17" s="40"/>
      <c r="K17" s="40"/>
      <c r="L17" s="4">
        <f>SUM($D18:$E21)*L13</f>
        <v>1.6500000000000001</v>
      </c>
      <c r="M17" s="4">
        <f t="shared" ref="M17" si="1">SUM($D18:$E21)*M13</f>
        <v>0.66</v>
      </c>
      <c r="N17" s="4">
        <f>SUM($D18:$E21)*N13</f>
        <v>0.495</v>
      </c>
    </row>
    <row r="18" spans="2:14" x14ac:dyDescent="0.25">
      <c r="B18" s="3" t="s">
        <v>36</v>
      </c>
      <c r="C18" s="4">
        <f>(((C10*Nustatymai!C30)/3600*Nustatymai!C28)+(C10*Nustatymai!C12))*C3</f>
        <v>0</v>
      </c>
      <c r="D18" s="4">
        <f>C18/C3</f>
        <v>0</v>
      </c>
      <c r="E18" t="s">
        <v>48</v>
      </c>
      <c r="H18" s="40" t="s">
        <v>61</v>
      </c>
      <c r="I18" s="40"/>
      <c r="J18" s="40"/>
      <c r="K18" s="40"/>
      <c r="L18" s="4">
        <f>SUM($D22:$D23)*L13</f>
        <v>0</v>
      </c>
      <c r="M18" s="4">
        <f t="shared" ref="M18:N18" si="2">SUM($D22:$D23)*M13</f>
        <v>0</v>
      </c>
      <c r="N18" s="4">
        <f t="shared" si="2"/>
        <v>0</v>
      </c>
    </row>
    <row r="19" spans="2:14" x14ac:dyDescent="0.25">
      <c r="B19" s="3" t="s">
        <v>46</v>
      </c>
      <c r="C19" s="4">
        <f>(Nustatymai!C29*RECO2!C9)/3600*Nustatymai!C28*C3</f>
        <v>0</v>
      </c>
      <c r="D19" s="4">
        <f>C19/C3</f>
        <v>0</v>
      </c>
      <c r="E19" t="s">
        <v>47</v>
      </c>
      <c r="H19" s="41" t="s">
        <v>77</v>
      </c>
      <c r="I19" s="41"/>
      <c r="J19" s="41"/>
      <c r="K19" s="41"/>
      <c r="L19" s="31">
        <f>SUM(L16:L18)</f>
        <v>18.527999999999999</v>
      </c>
      <c r="M19" s="31">
        <f t="shared" ref="M19:N19" si="3">SUM(M16:M18)</f>
        <v>7.4112</v>
      </c>
      <c r="N19" s="31">
        <f t="shared" si="3"/>
        <v>5.5583999999999998</v>
      </c>
    </row>
    <row r="20" spans="2:14" x14ac:dyDescent="0.25">
      <c r="B20" s="3" t="s">
        <v>41</v>
      </c>
      <c r="C20" s="4">
        <f>IF(C9=0,0,(Nustatymai!C3+Nustatymai!C26)/Nustatymai!C31*C3)</f>
        <v>0</v>
      </c>
      <c r="D20" s="4">
        <f>C20/C3</f>
        <v>0</v>
      </c>
      <c r="E20" t="s">
        <v>49</v>
      </c>
    </row>
    <row r="21" spans="2:14" x14ac:dyDescent="0.25">
      <c r="B21" s="3" t="s">
        <v>42</v>
      </c>
      <c r="C21" s="4">
        <f>(C11*Nustatymai!C32)/60*Nustatymai!C28*C3</f>
        <v>0.33</v>
      </c>
      <c r="D21" s="4">
        <f>C21/C3</f>
        <v>0.16500000000000001</v>
      </c>
      <c r="E21" t="s">
        <v>51</v>
      </c>
    </row>
    <row r="22" spans="2:14" x14ac:dyDescent="0.25">
      <c r="B22" s="3" t="s">
        <v>61</v>
      </c>
      <c r="C22" s="4">
        <f>C13/60*Nustatymai!C26*C3</f>
        <v>0</v>
      </c>
      <c r="D22" s="4">
        <f>C22/C3</f>
        <v>0</v>
      </c>
      <c r="E22" t="s">
        <v>62</v>
      </c>
    </row>
    <row r="23" spans="2:14" x14ac:dyDescent="0.25">
      <c r="B23" s="3" t="s">
        <v>54</v>
      </c>
      <c r="C23" s="4">
        <f>C12/60*Nustatymai!C33*C3</f>
        <v>0</v>
      </c>
      <c r="D23" s="4">
        <f>C23/C3</f>
        <v>0</v>
      </c>
      <c r="E23" t="s">
        <v>56</v>
      </c>
    </row>
    <row r="24" spans="2:14" ht="4.5" customHeight="1" x14ac:dyDescent="0.25">
      <c r="B24" s="3"/>
      <c r="C24" s="3"/>
      <c r="D24" s="1"/>
    </row>
    <row r="25" spans="2:14" x14ac:dyDescent="0.25">
      <c r="B25" s="5" t="s">
        <v>57</v>
      </c>
      <c r="C25" s="6">
        <f>SUM(C16:C23)</f>
        <v>3.7056</v>
      </c>
      <c r="D25" s="6">
        <f>SUM(D16:D23)</f>
        <v>1.8528</v>
      </c>
      <c r="E25" t="s">
        <v>58</v>
      </c>
    </row>
  </sheetData>
  <sheetProtection selectLockedCells="1"/>
  <mergeCells count="11">
    <mergeCell ref="H8:J8"/>
    <mergeCell ref="H12:K12"/>
    <mergeCell ref="H13:K13"/>
    <mergeCell ref="B2:C2"/>
    <mergeCell ref="H6:J6"/>
    <mergeCell ref="H7:J7"/>
    <mergeCell ref="H16:K16"/>
    <mergeCell ref="H17:K17"/>
    <mergeCell ref="H18:K18"/>
    <mergeCell ref="H19:K19"/>
    <mergeCell ref="H15:N15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Nustatymai</vt:lpstr>
      <vt:lpstr>RECO2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 Vismantas</dc:creator>
  <cp:lastModifiedBy>Robertas</cp:lastModifiedBy>
  <dcterms:created xsi:type="dcterms:W3CDTF">2016-11-30T10:34:00Z</dcterms:created>
  <dcterms:modified xsi:type="dcterms:W3CDTF">2019-03-31T15:54:52Z</dcterms:modified>
</cp:coreProperties>
</file>