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Projects\tools\public\excel\"/>
    </mc:Choice>
  </mc:AlternateContent>
  <xr:revisionPtr revIDLastSave="0" documentId="13_ncr:1_{E83D1ED7-1396-4013-9C18-5B7B00873618}" xr6:coauthVersionLast="47" xr6:coauthVersionMax="47" xr10:uidLastSave="{00000000-0000-0000-0000-000000000000}"/>
  <bookViews>
    <workbookView xWindow="28680" yWindow="-120" windowWidth="29040" windowHeight="15720" xr2:uid="{00000000-000D-0000-FFFF-FFFF00000000}"/>
  </bookViews>
  <sheets>
    <sheet name="Chino" sheetId="1" r:id="rId1"/>
    <sheet name="Japonés" sheetId="2" r:id="rId2"/>
    <sheet name="Coreano" sheetId="3" r:id="rId3"/>
    <sheet name="Runas" sheetId="4" r:id="rId4"/>
    <sheet name="Copy of Runas" sheetId="5" state="hidden" r:id="rId5"/>
    <sheet name="&gt;prompts" sheetId="6" r:id="rId6"/>
    <sheet name="Ideas" sheetId="7" r:id="rId7"/>
    <sheet name="Egipcio" sheetId="8" r:id="rId8"/>
    <sheet name="&gt;etc"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5" l="1"/>
  <c r="G25" i="5"/>
  <c r="F25" i="5"/>
  <c r="E25" i="5"/>
  <c r="H24" i="5"/>
  <c r="G24" i="5"/>
  <c r="F24" i="5"/>
  <c r="E24" i="5"/>
  <c r="H23" i="5"/>
  <c r="G23" i="5"/>
  <c r="F23" i="5"/>
  <c r="E23" i="5"/>
  <c r="H22" i="5"/>
  <c r="G22" i="5"/>
  <c r="F22" i="5"/>
  <c r="E22" i="5"/>
  <c r="H21" i="5"/>
  <c r="G21" i="5"/>
  <c r="F21" i="5"/>
  <c r="E21" i="5"/>
  <c r="H20" i="5"/>
  <c r="G20" i="5"/>
  <c r="F20" i="5"/>
  <c r="E20" i="5"/>
  <c r="H19" i="5"/>
  <c r="G19" i="5"/>
  <c r="F19" i="5"/>
  <c r="E19" i="5"/>
  <c r="H18" i="5"/>
  <c r="G18" i="5"/>
  <c r="F18" i="5"/>
  <c r="E18" i="5"/>
  <c r="H17" i="5"/>
  <c r="G17" i="5"/>
  <c r="F17" i="5"/>
  <c r="E17" i="5"/>
  <c r="H16" i="5"/>
  <c r="G16" i="5"/>
  <c r="F16" i="5"/>
  <c r="E16" i="5"/>
  <c r="H15" i="5"/>
  <c r="G15" i="5"/>
  <c r="F15" i="5"/>
  <c r="E15" i="5"/>
  <c r="H14" i="5"/>
  <c r="G14" i="5"/>
  <c r="F14" i="5"/>
  <c r="E14" i="5"/>
  <c r="H13" i="5"/>
  <c r="G13" i="5"/>
  <c r="F13" i="5"/>
  <c r="E13" i="5"/>
  <c r="H12" i="5"/>
  <c r="G12" i="5"/>
  <c r="F12" i="5"/>
  <c r="E12" i="5"/>
  <c r="H11" i="5"/>
  <c r="G11" i="5"/>
  <c r="F11" i="5"/>
  <c r="E11" i="5"/>
  <c r="H10" i="5"/>
  <c r="G10" i="5"/>
  <c r="F10" i="5"/>
  <c r="E10" i="5"/>
  <c r="H9" i="5"/>
  <c r="G9" i="5"/>
  <c r="F9" i="5"/>
  <c r="E9" i="5"/>
  <c r="H8" i="5"/>
  <c r="G8" i="5"/>
  <c r="F8" i="5"/>
  <c r="E8" i="5"/>
  <c r="H7" i="5"/>
  <c r="G7" i="5"/>
  <c r="F7" i="5"/>
  <c r="E7" i="5"/>
  <c r="H6" i="5"/>
  <c r="G6" i="5"/>
  <c r="F6" i="5"/>
  <c r="E6" i="5"/>
  <c r="H5" i="5"/>
  <c r="G5" i="5"/>
  <c r="F5" i="5"/>
  <c r="E5" i="5"/>
  <c r="H4" i="5"/>
  <c r="G4" i="5"/>
  <c r="F4" i="5"/>
  <c r="E4" i="5"/>
  <c r="H3" i="5"/>
  <c r="G3" i="5"/>
  <c r="F3" i="5"/>
  <c r="E3" i="5"/>
  <c r="H2" i="5"/>
  <c r="G2" i="5"/>
  <c r="F2" i="5"/>
  <c r="E2" i="5"/>
  <c r="H25" i="4"/>
  <c r="G25" i="4"/>
  <c r="F25" i="4"/>
  <c r="E25" i="4"/>
  <c r="H24" i="4"/>
  <c r="G24" i="4"/>
  <c r="F24" i="4"/>
  <c r="E24" i="4"/>
  <c r="H23" i="4"/>
  <c r="G23" i="4"/>
  <c r="F23" i="4"/>
  <c r="E23" i="4"/>
  <c r="H22" i="4"/>
  <c r="G22" i="4"/>
  <c r="F22" i="4"/>
  <c r="E22" i="4"/>
  <c r="H21" i="4"/>
  <c r="G21" i="4"/>
  <c r="F21" i="4"/>
  <c r="E21" i="4"/>
  <c r="H20" i="4"/>
  <c r="G20" i="4"/>
  <c r="F20" i="4"/>
  <c r="E20" i="4"/>
  <c r="H19" i="4"/>
  <c r="G19" i="4"/>
  <c r="F19" i="4"/>
  <c r="E19" i="4"/>
  <c r="H18" i="4"/>
  <c r="G18" i="4"/>
  <c r="F18" i="4"/>
  <c r="E18" i="4"/>
  <c r="H17" i="4"/>
  <c r="G17" i="4"/>
  <c r="F17" i="4"/>
  <c r="E17" i="4"/>
  <c r="H16" i="4"/>
  <c r="G16" i="4"/>
  <c r="F16" i="4"/>
  <c r="E16" i="4"/>
  <c r="H15" i="4"/>
  <c r="G15" i="4"/>
  <c r="F15" i="4"/>
  <c r="E15" i="4"/>
  <c r="H14" i="4"/>
  <c r="G14" i="4"/>
  <c r="F14" i="4"/>
  <c r="E14" i="4"/>
  <c r="H13" i="4"/>
  <c r="G13" i="4"/>
  <c r="F13" i="4"/>
  <c r="E13" i="4"/>
  <c r="H12" i="4"/>
  <c r="G12" i="4"/>
  <c r="F12" i="4"/>
  <c r="E12" i="4"/>
  <c r="H11" i="4"/>
  <c r="G11" i="4"/>
  <c r="F11" i="4"/>
  <c r="E11" i="4"/>
  <c r="H10" i="4"/>
  <c r="G10" i="4"/>
  <c r="F10" i="4"/>
  <c r="E10" i="4"/>
  <c r="H9" i="4"/>
  <c r="G9" i="4"/>
  <c r="F9" i="4"/>
  <c r="E9" i="4"/>
  <c r="H8" i="4"/>
  <c r="G8" i="4"/>
  <c r="F8" i="4"/>
  <c r="E8" i="4"/>
  <c r="H7" i="4"/>
  <c r="G7" i="4"/>
  <c r="F7" i="4"/>
  <c r="E7" i="4"/>
  <c r="H6" i="4"/>
  <c r="G6" i="4"/>
  <c r="F6" i="4"/>
  <c r="E6" i="4"/>
  <c r="H5" i="4"/>
  <c r="G5" i="4"/>
  <c r="F5" i="4"/>
  <c r="E5" i="4"/>
  <c r="H4" i="4"/>
  <c r="G4" i="4"/>
  <c r="F4" i="4"/>
  <c r="E4" i="4"/>
  <c r="H3" i="4"/>
  <c r="G3" i="4"/>
  <c r="F3" i="4"/>
  <c r="E3" i="4"/>
  <c r="H2" i="4"/>
  <c r="G2" i="4"/>
  <c r="F2" i="4"/>
  <c r="E2" i="4"/>
  <c r="H51" i="3"/>
  <c r="G51" i="3"/>
  <c r="F51" i="3"/>
  <c r="E51" i="3"/>
  <c r="H50" i="3"/>
  <c r="G50" i="3"/>
  <c r="F50" i="3"/>
  <c r="E50" i="3"/>
  <c r="H49" i="3"/>
  <c r="G49" i="3"/>
  <c r="F49" i="3"/>
  <c r="E49" i="3"/>
  <c r="H48" i="3"/>
  <c r="G48" i="3"/>
  <c r="F48" i="3"/>
  <c r="E48" i="3"/>
  <c r="H47" i="3"/>
  <c r="G47" i="3"/>
  <c r="F47" i="3"/>
  <c r="E47" i="3"/>
  <c r="H46" i="3"/>
  <c r="G46" i="3"/>
  <c r="F46" i="3"/>
  <c r="E46" i="3"/>
  <c r="H45" i="3"/>
  <c r="G45" i="3"/>
  <c r="F45" i="3"/>
  <c r="E45" i="3"/>
  <c r="H44" i="3"/>
  <c r="G44" i="3"/>
  <c r="F44" i="3"/>
  <c r="E44" i="3"/>
  <c r="H43" i="3"/>
  <c r="G43" i="3"/>
  <c r="F43" i="3"/>
  <c r="E43" i="3"/>
  <c r="H42" i="3"/>
  <c r="G42" i="3"/>
  <c r="F42" i="3"/>
  <c r="E42" i="3"/>
  <c r="H41" i="3"/>
  <c r="G41" i="3"/>
  <c r="F41" i="3"/>
  <c r="E41" i="3"/>
  <c r="H40" i="3"/>
  <c r="G40" i="3"/>
  <c r="F40" i="3"/>
  <c r="E40" i="3"/>
  <c r="H39" i="3"/>
  <c r="G39" i="3"/>
  <c r="F39" i="3"/>
  <c r="E39" i="3"/>
  <c r="H38" i="3"/>
  <c r="G38" i="3"/>
  <c r="F38" i="3"/>
  <c r="E38" i="3"/>
  <c r="H37" i="3"/>
  <c r="G37" i="3"/>
  <c r="F37" i="3"/>
  <c r="E37" i="3"/>
  <c r="H36" i="3"/>
  <c r="G36" i="3"/>
  <c r="F36" i="3"/>
  <c r="E36" i="3"/>
  <c r="H35" i="3"/>
  <c r="G35" i="3"/>
  <c r="F35" i="3"/>
  <c r="E35" i="3"/>
  <c r="H34" i="3"/>
  <c r="G34" i="3"/>
  <c r="F34" i="3"/>
  <c r="E34" i="3"/>
  <c r="H33" i="3"/>
  <c r="G33" i="3"/>
  <c r="F33" i="3"/>
  <c r="E33" i="3"/>
  <c r="H32" i="3"/>
  <c r="G32" i="3"/>
  <c r="F32" i="3"/>
  <c r="E32" i="3"/>
  <c r="H31" i="3"/>
  <c r="G31" i="3"/>
  <c r="F31" i="3"/>
  <c r="E31" i="3"/>
  <c r="H30" i="3"/>
  <c r="G30" i="3"/>
  <c r="F30" i="3"/>
  <c r="E30" i="3"/>
  <c r="H29" i="3"/>
  <c r="G29" i="3"/>
  <c r="F29" i="3"/>
  <c r="E29" i="3"/>
  <c r="H28" i="3"/>
  <c r="G28" i="3"/>
  <c r="F28" i="3"/>
  <c r="E28" i="3"/>
  <c r="H27" i="3"/>
  <c r="G27" i="3"/>
  <c r="F27" i="3"/>
  <c r="E27" i="3"/>
  <c r="H26" i="3"/>
  <c r="G26" i="3"/>
  <c r="F26" i="3"/>
  <c r="E26" i="3"/>
  <c r="H25" i="3"/>
  <c r="G25" i="3"/>
  <c r="F25" i="3"/>
  <c r="E25" i="3"/>
  <c r="H24" i="3"/>
  <c r="G24" i="3"/>
  <c r="F24" i="3"/>
  <c r="E24" i="3"/>
  <c r="H23" i="3"/>
  <c r="G23" i="3"/>
  <c r="F23" i="3"/>
  <c r="E23" i="3"/>
  <c r="H22" i="3"/>
  <c r="G22" i="3"/>
  <c r="F22" i="3"/>
  <c r="E22" i="3"/>
  <c r="H21" i="3"/>
  <c r="G21" i="3"/>
  <c r="F21" i="3"/>
  <c r="E21" i="3"/>
  <c r="H20" i="3"/>
  <c r="G20" i="3"/>
  <c r="F20" i="3"/>
  <c r="E20" i="3"/>
  <c r="H19" i="3"/>
  <c r="G19" i="3"/>
  <c r="F19" i="3"/>
  <c r="E19" i="3"/>
  <c r="H18" i="3"/>
  <c r="G18" i="3"/>
  <c r="F18" i="3"/>
  <c r="E18" i="3"/>
  <c r="H17" i="3"/>
  <c r="G17" i="3"/>
  <c r="F17" i="3"/>
  <c r="E17" i="3"/>
  <c r="H16" i="3"/>
  <c r="G16" i="3"/>
  <c r="F16" i="3"/>
  <c r="E16" i="3"/>
  <c r="H15" i="3"/>
  <c r="G15" i="3"/>
  <c r="F15" i="3"/>
  <c r="E15" i="3"/>
  <c r="H14" i="3"/>
  <c r="G14" i="3"/>
  <c r="F14" i="3"/>
  <c r="E14" i="3"/>
  <c r="H13" i="3"/>
  <c r="G13" i="3"/>
  <c r="F13" i="3"/>
  <c r="E13" i="3"/>
  <c r="H12" i="3"/>
  <c r="G12" i="3"/>
  <c r="F12" i="3"/>
  <c r="E12" i="3"/>
  <c r="H11" i="3"/>
  <c r="G11" i="3"/>
  <c r="F11" i="3"/>
  <c r="E11" i="3"/>
  <c r="H10" i="3"/>
  <c r="G10" i="3"/>
  <c r="F10" i="3"/>
  <c r="E10" i="3"/>
  <c r="H9" i="3"/>
  <c r="G9" i="3"/>
  <c r="F9" i="3"/>
  <c r="E9" i="3"/>
  <c r="H8" i="3"/>
  <c r="G8" i="3"/>
  <c r="F8" i="3"/>
  <c r="E8" i="3"/>
  <c r="H7" i="3"/>
  <c r="G7" i="3"/>
  <c r="F7" i="3"/>
  <c r="E7" i="3"/>
  <c r="H6" i="3"/>
  <c r="G6" i="3"/>
  <c r="F6" i="3"/>
  <c r="E6" i="3"/>
  <c r="H5" i="3"/>
  <c r="G5" i="3"/>
  <c r="F5" i="3"/>
  <c r="E5" i="3"/>
  <c r="H4" i="3"/>
  <c r="G4" i="3"/>
  <c r="F4" i="3"/>
  <c r="E4" i="3"/>
  <c r="H3" i="3"/>
  <c r="G3" i="3"/>
  <c r="F3" i="3"/>
  <c r="E3" i="3"/>
  <c r="H2" i="3"/>
  <c r="G2" i="3"/>
  <c r="F2" i="3"/>
  <c r="E2" i="3"/>
  <c r="H54" i="2"/>
  <c r="G54" i="2"/>
  <c r="F54" i="2"/>
  <c r="E54" i="2"/>
  <c r="H53" i="2"/>
  <c r="G53" i="2"/>
  <c r="F53" i="2"/>
  <c r="E53" i="2"/>
  <c r="H52" i="2"/>
  <c r="G52" i="2"/>
  <c r="F52" i="2"/>
  <c r="E52" i="2"/>
  <c r="H51" i="2"/>
  <c r="G51" i="2"/>
  <c r="F51" i="2"/>
  <c r="E51" i="2"/>
  <c r="H50" i="2"/>
  <c r="G50" i="2"/>
  <c r="F50" i="2"/>
  <c r="E50" i="2"/>
  <c r="H49" i="2"/>
  <c r="G49" i="2"/>
  <c r="F49" i="2"/>
  <c r="E49" i="2"/>
  <c r="H48" i="2"/>
  <c r="G48" i="2"/>
  <c r="F48" i="2"/>
  <c r="E48" i="2"/>
  <c r="H47" i="2"/>
  <c r="G47" i="2"/>
  <c r="F47" i="2"/>
  <c r="E47" i="2"/>
  <c r="H46" i="2"/>
  <c r="G46" i="2"/>
  <c r="F46" i="2"/>
  <c r="E46" i="2"/>
  <c r="H45" i="2"/>
  <c r="G45" i="2"/>
  <c r="F45" i="2"/>
  <c r="E45" i="2"/>
  <c r="H44" i="2"/>
  <c r="G44" i="2"/>
  <c r="F44" i="2"/>
  <c r="E44" i="2"/>
  <c r="H43" i="2"/>
  <c r="G43" i="2"/>
  <c r="F43" i="2"/>
  <c r="E43" i="2"/>
  <c r="H42" i="2"/>
  <c r="G42" i="2"/>
  <c r="F42" i="2"/>
  <c r="E42" i="2"/>
  <c r="H41" i="2"/>
  <c r="G41" i="2"/>
  <c r="F41" i="2"/>
  <c r="E41" i="2"/>
  <c r="H40" i="2"/>
  <c r="G40" i="2"/>
  <c r="F40" i="2"/>
  <c r="E40" i="2"/>
  <c r="H39" i="2"/>
  <c r="G39" i="2"/>
  <c r="F39" i="2"/>
  <c r="E39" i="2"/>
  <c r="H38" i="2"/>
  <c r="G38" i="2"/>
  <c r="F38" i="2"/>
  <c r="E38" i="2"/>
  <c r="H37" i="2"/>
  <c r="G37" i="2"/>
  <c r="F37" i="2"/>
  <c r="E37" i="2"/>
  <c r="H36" i="2"/>
  <c r="G36" i="2"/>
  <c r="F36" i="2"/>
  <c r="E36" i="2"/>
  <c r="H35" i="2"/>
  <c r="G35" i="2"/>
  <c r="F35" i="2"/>
  <c r="E35" i="2"/>
  <c r="H34" i="2"/>
  <c r="G34" i="2"/>
  <c r="F34" i="2"/>
  <c r="E34" i="2"/>
  <c r="H33" i="2"/>
  <c r="G33" i="2"/>
  <c r="F33" i="2"/>
  <c r="E33" i="2"/>
  <c r="H32" i="2"/>
  <c r="G32" i="2"/>
  <c r="F32" i="2"/>
  <c r="E32" i="2"/>
  <c r="H31" i="2"/>
  <c r="G31" i="2"/>
  <c r="F31" i="2"/>
  <c r="E31" i="2"/>
  <c r="H30" i="2"/>
  <c r="G30" i="2"/>
  <c r="F30" i="2"/>
  <c r="E30" i="2"/>
  <c r="H29" i="2"/>
  <c r="G29" i="2"/>
  <c r="F29" i="2"/>
  <c r="E29" i="2"/>
  <c r="H28" i="2"/>
  <c r="G28" i="2"/>
  <c r="F28" i="2"/>
  <c r="E28" i="2"/>
  <c r="H27" i="2"/>
  <c r="G27" i="2"/>
  <c r="F27" i="2"/>
  <c r="E27" i="2"/>
  <c r="H26" i="2"/>
  <c r="G26" i="2"/>
  <c r="F26" i="2"/>
  <c r="E26" i="2"/>
  <c r="H25" i="2"/>
  <c r="G25" i="2"/>
  <c r="F25" i="2"/>
  <c r="E25" i="2"/>
  <c r="H24" i="2"/>
  <c r="G24" i="2"/>
  <c r="F24" i="2"/>
  <c r="E24" i="2"/>
  <c r="H23" i="2"/>
  <c r="G23" i="2"/>
  <c r="F23" i="2"/>
  <c r="E23" i="2"/>
  <c r="H22" i="2"/>
  <c r="G22" i="2"/>
  <c r="F22" i="2"/>
  <c r="E22" i="2"/>
  <c r="H21" i="2"/>
  <c r="G21" i="2"/>
  <c r="F21" i="2"/>
  <c r="E21" i="2"/>
  <c r="H20" i="2"/>
  <c r="G20" i="2"/>
  <c r="F20" i="2"/>
  <c r="E20" i="2"/>
  <c r="H19" i="2"/>
  <c r="G19" i="2"/>
  <c r="F19" i="2"/>
  <c r="E19" i="2"/>
  <c r="H18" i="2"/>
  <c r="G18" i="2"/>
  <c r="F18" i="2"/>
  <c r="E18" i="2"/>
  <c r="H17" i="2"/>
  <c r="G17" i="2"/>
  <c r="F17" i="2"/>
  <c r="E17" i="2"/>
  <c r="H16" i="2"/>
  <c r="G16" i="2"/>
  <c r="F16" i="2"/>
  <c r="E16" i="2"/>
  <c r="H15" i="2"/>
  <c r="G15" i="2"/>
  <c r="F15" i="2"/>
  <c r="E15" i="2"/>
  <c r="H14" i="2"/>
  <c r="G14" i="2"/>
  <c r="F14" i="2"/>
  <c r="E14" i="2"/>
  <c r="H13" i="2"/>
  <c r="G13" i="2"/>
  <c r="F13" i="2"/>
  <c r="E13" i="2"/>
  <c r="H12" i="2"/>
  <c r="G12" i="2"/>
  <c r="F12" i="2"/>
  <c r="E12" i="2"/>
  <c r="H11" i="2"/>
  <c r="G11" i="2"/>
  <c r="F11" i="2"/>
  <c r="E11" i="2"/>
  <c r="H10" i="2"/>
  <c r="G10" i="2"/>
  <c r="F10" i="2"/>
  <c r="E10" i="2"/>
  <c r="H9" i="2"/>
  <c r="G9" i="2"/>
  <c r="F9" i="2"/>
  <c r="E9" i="2"/>
  <c r="H8" i="2"/>
  <c r="G8" i="2"/>
  <c r="F8" i="2"/>
  <c r="E8" i="2"/>
  <c r="H7" i="2"/>
  <c r="G7" i="2"/>
  <c r="F7" i="2"/>
  <c r="E7" i="2"/>
  <c r="H6" i="2"/>
  <c r="G6" i="2"/>
  <c r="F6" i="2"/>
  <c r="E6" i="2"/>
  <c r="H5" i="2"/>
  <c r="G5" i="2"/>
  <c r="F5" i="2"/>
  <c r="E5" i="2"/>
  <c r="H4" i="2"/>
  <c r="G4" i="2"/>
  <c r="F4" i="2"/>
  <c r="E4" i="2"/>
  <c r="H3" i="2"/>
  <c r="G3" i="2"/>
  <c r="F3" i="2"/>
  <c r="E3" i="2"/>
  <c r="H2" i="2"/>
  <c r="G2" i="2"/>
  <c r="F2" i="2"/>
  <c r="E2" i="2"/>
</calcChain>
</file>

<file path=xl/sharedStrings.xml><?xml version="1.0" encoding="utf-8"?>
<sst xmlns="http://schemas.openxmlformats.org/spreadsheetml/2006/main" count="2227" uniqueCount="1366">
  <si>
    <t>ID</t>
  </si>
  <si>
    <t>SYM</t>
  </si>
  <si>
    <t>SY2</t>
  </si>
  <si>
    <t>ES</t>
  </si>
  <si>
    <t>EN</t>
  </si>
  <si>
    <t>IT</t>
  </si>
  <si>
    <t>FR</t>
  </si>
  <si>
    <t>DE</t>
  </si>
  <si>
    <t>始</t>
  </si>
  <si>
    <t>shǐ</t>
  </si>
  <si>
    <t>Inicio</t>
  </si>
  <si>
    <t>Beginning</t>
  </si>
  <si>
    <t>生</t>
  </si>
  <si>
    <t>shēng</t>
  </si>
  <si>
    <t>Vida</t>
  </si>
  <si>
    <t>山</t>
  </si>
  <si>
    <t>shān</t>
  </si>
  <si>
    <t>Montaña</t>
  </si>
  <si>
    <t>Amor</t>
  </si>
  <si>
    <t>Felicidad</t>
  </si>
  <si>
    <t>lóng</t>
  </si>
  <si>
    <t>Dragón</t>
  </si>
  <si>
    <t>死</t>
  </si>
  <si>
    <t>sǐ</t>
  </si>
  <si>
    <t>Muerte</t>
  </si>
  <si>
    <t>猫</t>
  </si>
  <si>
    <t>māo</t>
  </si>
  <si>
    <t>Gato</t>
  </si>
  <si>
    <t>月</t>
  </si>
  <si>
    <t>yuè</t>
  </si>
  <si>
    <t>Luna</t>
  </si>
  <si>
    <t>家</t>
  </si>
  <si>
    <t>jiā</t>
  </si>
  <si>
    <t>Hogar</t>
  </si>
  <si>
    <t>火</t>
  </si>
  <si>
    <t>huǒ</t>
  </si>
  <si>
    <t>Fuego</t>
  </si>
  <si>
    <t>歌</t>
  </si>
  <si>
    <t>gē</t>
  </si>
  <si>
    <t>Canción</t>
  </si>
  <si>
    <t>星</t>
  </si>
  <si>
    <t>xīng</t>
  </si>
  <si>
    <t>Estrella</t>
  </si>
  <si>
    <t>狗</t>
  </si>
  <si>
    <t>gǒu</t>
  </si>
  <si>
    <t>Perro</t>
  </si>
  <si>
    <t>Espíritu</t>
  </si>
  <si>
    <t>力</t>
  </si>
  <si>
    <t>lì</t>
  </si>
  <si>
    <t>Fuerza</t>
  </si>
  <si>
    <t>海</t>
  </si>
  <si>
    <t>hǎi</t>
  </si>
  <si>
    <t>Mar</t>
  </si>
  <si>
    <t>安</t>
  </si>
  <si>
    <t>ān</t>
  </si>
  <si>
    <t>Paz</t>
  </si>
  <si>
    <t>道</t>
  </si>
  <si>
    <t>dào</t>
  </si>
  <si>
    <t>Camino</t>
  </si>
  <si>
    <t>香</t>
  </si>
  <si>
    <t>xiāng</t>
  </si>
  <si>
    <t>Aroma</t>
  </si>
  <si>
    <t>气</t>
  </si>
  <si>
    <t>qì</t>
  </si>
  <si>
    <t>Energía</t>
  </si>
  <si>
    <t>夜</t>
  </si>
  <si>
    <t>yè</t>
  </si>
  <si>
    <t>Noche</t>
  </si>
  <si>
    <t>Night</t>
  </si>
  <si>
    <t>Árbol</t>
  </si>
  <si>
    <t>美</t>
  </si>
  <si>
    <t>měi</t>
  </si>
  <si>
    <t>Belleza</t>
  </si>
  <si>
    <t>永</t>
  </si>
  <si>
    <t>yǒng</t>
  </si>
  <si>
    <t>Eterno</t>
  </si>
  <si>
    <t>沌</t>
  </si>
  <si>
    <t>dùn</t>
  </si>
  <si>
    <t>Caos</t>
  </si>
  <si>
    <t>雨</t>
  </si>
  <si>
    <t>yǔ</t>
  </si>
  <si>
    <t>Lluvia</t>
  </si>
  <si>
    <t>命</t>
  </si>
  <si>
    <t>mìng</t>
  </si>
  <si>
    <t>Destino</t>
  </si>
  <si>
    <t>Destiny</t>
  </si>
  <si>
    <t>喜</t>
  </si>
  <si>
    <t>xǐ</t>
  </si>
  <si>
    <t>Alegría</t>
  </si>
  <si>
    <t>宝</t>
  </si>
  <si>
    <t>bǎo</t>
  </si>
  <si>
    <t>Tesoro</t>
  </si>
  <si>
    <t>天</t>
  </si>
  <si>
    <t>tiān</t>
  </si>
  <si>
    <t>Cielo</t>
  </si>
  <si>
    <t>Sky</t>
  </si>
  <si>
    <t>梦</t>
  </si>
  <si>
    <t>mèng</t>
  </si>
  <si>
    <t>Sueño</t>
  </si>
  <si>
    <t>日</t>
  </si>
  <si>
    <t>rì</t>
  </si>
  <si>
    <t>Día</t>
  </si>
  <si>
    <t>心</t>
  </si>
  <si>
    <t>xīn</t>
  </si>
  <si>
    <t>吉</t>
  </si>
  <si>
    <t>jí</t>
  </si>
  <si>
    <t>Buena Suerte</t>
  </si>
  <si>
    <t>泪</t>
  </si>
  <si>
    <t>lèi</t>
  </si>
  <si>
    <t>Lágrima</t>
  </si>
  <si>
    <t>花</t>
  </si>
  <si>
    <t>huā</t>
  </si>
  <si>
    <t>Flor</t>
  </si>
  <si>
    <t>和</t>
  </si>
  <si>
    <t>hé</t>
  </si>
  <si>
    <t>Armonía</t>
  </si>
  <si>
    <t>智</t>
  </si>
  <si>
    <t>zhì</t>
  </si>
  <si>
    <t>Sabiduría</t>
  </si>
  <si>
    <t>真</t>
  </si>
  <si>
    <t>zhēn</t>
  </si>
  <si>
    <t>Verdad</t>
  </si>
  <si>
    <t>Truth</t>
  </si>
  <si>
    <t>云</t>
  </si>
  <si>
    <t>yún</t>
  </si>
  <si>
    <t>Nube</t>
  </si>
  <si>
    <t>吻</t>
  </si>
  <si>
    <t>wěn</t>
  </si>
  <si>
    <t>Beso</t>
  </si>
  <si>
    <t>血</t>
  </si>
  <si>
    <t>xuè</t>
  </si>
  <si>
    <t>Sangre</t>
  </si>
  <si>
    <t>人</t>
  </si>
  <si>
    <t>rén</t>
  </si>
  <si>
    <t>Persona</t>
  </si>
  <si>
    <t>寿</t>
  </si>
  <si>
    <t>shòu</t>
  </si>
  <si>
    <t>Longevidad</t>
  </si>
  <si>
    <t>暗</t>
  </si>
  <si>
    <t>àn</t>
  </si>
  <si>
    <t>Oscuridad</t>
  </si>
  <si>
    <t>光</t>
  </si>
  <si>
    <t>guāng</t>
  </si>
  <si>
    <t>Luz</t>
  </si>
  <si>
    <t>水</t>
  </si>
  <si>
    <t>shuǐ</t>
  </si>
  <si>
    <t>Agua</t>
  </si>
  <si>
    <t>hajime</t>
  </si>
  <si>
    <t>宇</t>
  </si>
  <si>
    <t>u</t>
  </si>
  <si>
    <t>Universo</t>
  </si>
  <si>
    <t>hi</t>
  </si>
  <si>
    <t>愛</t>
  </si>
  <si>
    <t>ai</t>
  </si>
  <si>
    <t>yama</t>
  </si>
  <si>
    <t>inochi</t>
  </si>
  <si>
    <t>shi</t>
  </si>
  <si>
    <t>neko</t>
  </si>
  <si>
    <t>tsuki</t>
  </si>
  <si>
    <t>ie</t>
  </si>
  <si>
    <t>hoshi</t>
  </si>
  <si>
    <t>犬</t>
  </si>
  <si>
    <t>inu</t>
  </si>
  <si>
    <t>chikara</t>
  </si>
  <si>
    <t>umi</t>
  </si>
  <si>
    <t>yoru</t>
  </si>
  <si>
    <t>bi</t>
  </si>
  <si>
    <t>ei</t>
  </si>
  <si>
    <t>Eternidad</t>
  </si>
  <si>
    <t>ame</t>
  </si>
  <si>
    <t>砂</t>
  </si>
  <si>
    <t>suna</t>
  </si>
  <si>
    <t>Arena</t>
  </si>
  <si>
    <t>幸</t>
  </si>
  <si>
    <t>sachi</t>
  </si>
  <si>
    <t>ten</t>
  </si>
  <si>
    <t>夢</t>
  </si>
  <si>
    <t>yume</t>
  </si>
  <si>
    <t>気</t>
  </si>
  <si>
    <t>ki</t>
  </si>
  <si>
    <t>Energía Vital</t>
  </si>
  <si>
    <t>風</t>
  </si>
  <si>
    <t>kaze</t>
  </si>
  <si>
    <t>Viento</t>
  </si>
  <si>
    <t>hana</t>
  </si>
  <si>
    <t>wa</t>
  </si>
  <si>
    <t>知</t>
  </si>
  <si>
    <t>chi</t>
  </si>
  <si>
    <t>shin</t>
  </si>
  <si>
    <t>雲</t>
  </si>
  <si>
    <t>kumo</t>
  </si>
  <si>
    <t>精</t>
  </si>
  <si>
    <t>sei</t>
  </si>
  <si>
    <t>嘘</t>
  </si>
  <si>
    <t>uso</t>
  </si>
  <si>
    <t>Mentira</t>
  </si>
  <si>
    <t>狂</t>
  </si>
  <si>
    <t>kyō</t>
  </si>
  <si>
    <t>Locura</t>
  </si>
  <si>
    <t>淵</t>
  </si>
  <si>
    <t>fuchi</t>
  </si>
  <si>
    <t>Abismo</t>
  </si>
  <si>
    <t>Sol</t>
  </si>
  <si>
    <t>kokoro</t>
  </si>
  <si>
    <t>Corazón</t>
  </si>
  <si>
    <t>mizu</t>
  </si>
  <si>
    <t>michi</t>
  </si>
  <si>
    <t>静</t>
  </si>
  <si>
    <t>shizu</t>
  </si>
  <si>
    <t>Silencio</t>
  </si>
  <si>
    <t>川</t>
  </si>
  <si>
    <t>kawa</t>
  </si>
  <si>
    <t>Río</t>
  </si>
  <si>
    <t>嵐</t>
  </si>
  <si>
    <t>arashi</t>
  </si>
  <si>
    <t>Tormenta</t>
  </si>
  <si>
    <t>善</t>
  </si>
  <si>
    <t>zen</t>
  </si>
  <si>
    <t>Bueno</t>
  </si>
  <si>
    <t>悪</t>
  </si>
  <si>
    <t>warui</t>
  </si>
  <si>
    <t>Malo</t>
  </si>
  <si>
    <t>煙</t>
  </si>
  <si>
    <t>kemuri</t>
  </si>
  <si>
    <t>Humo</t>
  </si>
  <si>
    <t>翼</t>
  </si>
  <si>
    <t>tsubasa</t>
  </si>
  <si>
    <t>Alas</t>
  </si>
  <si>
    <t>運</t>
  </si>
  <si>
    <t>un</t>
  </si>
  <si>
    <t>Suerte</t>
  </si>
  <si>
    <t>木</t>
  </si>
  <si>
    <t>hikari</t>
  </si>
  <si>
    <t>hito</t>
  </si>
  <si>
    <t>影</t>
  </si>
  <si>
    <t>kage</t>
  </si>
  <si>
    <t>Sombra</t>
  </si>
  <si>
    <t>恋</t>
  </si>
  <si>
    <t>koi</t>
  </si>
  <si>
    <t>Amor romántico</t>
  </si>
  <si>
    <t>時</t>
  </si>
  <si>
    <t>toki</t>
  </si>
  <si>
    <t>Tiempo</t>
  </si>
  <si>
    <t>終</t>
  </si>
  <si>
    <t>owari</t>
  </si>
  <si>
    <t>Fin</t>
  </si>
  <si>
    <t>삶</t>
  </si>
  <si>
    <t>salm</t>
  </si>
  <si>
    <t>죽</t>
  </si>
  <si>
    <t>juk</t>
  </si>
  <si>
    <t>불</t>
  </si>
  <si>
    <t>bul</t>
  </si>
  <si>
    <t>물</t>
  </si>
  <si>
    <t>mul</t>
  </si>
  <si>
    <t>달</t>
  </si>
  <si>
    <t>dal</t>
  </si>
  <si>
    <t>별</t>
  </si>
  <si>
    <t>byeol</t>
  </si>
  <si>
    <t>산</t>
  </si>
  <si>
    <t>san</t>
  </si>
  <si>
    <t>꽃</t>
  </si>
  <si>
    <t>kkot</t>
  </si>
  <si>
    <t>빛</t>
  </si>
  <si>
    <t>bit</t>
  </si>
  <si>
    <t>밤</t>
  </si>
  <si>
    <t>bam</t>
  </si>
  <si>
    <t>꿈</t>
  </si>
  <si>
    <t>kkum</t>
  </si>
  <si>
    <t>길</t>
  </si>
  <si>
    <t>gil</t>
  </si>
  <si>
    <t>힘</t>
  </si>
  <si>
    <t>him</t>
  </si>
  <si>
    <t>Fuerza / Energía</t>
  </si>
  <si>
    <t>운</t>
  </si>
  <si>
    <t>Destino / Suerte</t>
  </si>
  <si>
    <t>금</t>
  </si>
  <si>
    <t>geum</t>
  </si>
  <si>
    <t>Oro / Tesoro</t>
  </si>
  <si>
    <t>해</t>
  </si>
  <si>
    <t>hae</t>
  </si>
  <si>
    <t>눈</t>
  </si>
  <si>
    <t>nun</t>
  </si>
  <si>
    <t>Ojo / Nieve</t>
  </si>
  <si>
    <t>피</t>
  </si>
  <si>
    <t>pi</t>
  </si>
  <si>
    <t>말</t>
  </si>
  <si>
    <t>mal</t>
  </si>
  <si>
    <t>Palabra / Caballo</t>
  </si>
  <si>
    <t>글</t>
  </si>
  <si>
    <t>geul</t>
  </si>
  <si>
    <t>Escritura / Letra</t>
  </si>
  <si>
    <t>정</t>
  </si>
  <si>
    <t>jeong</t>
  </si>
  <si>
    <t>Afecto / Lazo emocional</t>
  </si>
  <si>
    <t>혼</t>
  </si>
  <si>
    <t>hon</t>
  </si>
  <si>
    <t>Alma / Espíritu</t>
  </si>
  <si>
    <t>성</t>
  </si>
  <si>
    <t>seong</t>
  </si>
  <si>
    <t>Estrella / Sagrado / Castillo</t>
  </si>
  <si>
    <t>화</t>
  </si>
  <si>
    <t>hwa</t>
  </si>
  <si>
    <t>Armonía / Fuego / Ira (dependiendo del contexto)</t>
  </si>
  <si>
    <t>심</t>
  </si>
  <si>
    <t>sim</t>
  </si>
  <si>
    <t>Corazón / Mente interior</t>
  </si>
  <si>
    <t>선</t>
  </si>
  <si>
    <t>seon</t>
  </si>
  <si>
    <t>Bondad / Virtud</t>
  </si>
  <si>
    <t>진</t>
  </si>
  <si>
    <t>jin</t>
  </si>
  <si>
    <t>Verdad / Tesoro</t>
  </si>
  <si>
    <t>용</t>
  </si>
  <si>
    <t>yong</t>
  </si>
  <si>
    <t>기</t>
  </si>
  <si>
    <t>gi</t>
  </si>
  <si>
    <t>Energía vital (chi/qi)</t>
  </si>
  <si>
    <t>인</t>
  </si>
  <si>
    <t>in</t>
  </si>
  <si>
    <t>Persona / Benevolencia</t>
  </si>
  <si>
    <t>명</t>
  </si>
  <si>
    <t>myeong</t>
  </si>
  <si>
    <t>Claridad / Nombre / Vida</t>
  </si>
  <si>
    <t>예</t>
  </si>
  <si>
    <t>ye</t>
  </si>
  <si>
    <t>Belleza / Cortesía</t>
  </si>
  <si>
    <t>암</t>
  </si>
  <si>
    <t>am</t>
  </si>
  <si>
    <t>공</t>
  </si>
  <si>
    <t>gong</t>
  </si>
  <si>
    <t>Vacío / Espacio</t>
  </si>
  <si>
    <t>평</t>
  </si>
  <si>
    <t>pyeong</t>
  </si>
  <si>
    <t>Paz / Equilibrio</t>
  </si>
  <si>
    <t>조</t>
  </si>
  <si>
    <t>jo</t>
  </si>
  <si>
    <t>순</t>
  </si>
  <si>
    <t>sun</t>
  </si>
  <si>
    <t>Pureza / Inocencia</t>
  </si>
  <si>
    <t>은</t>
  </si>
  <si>
    <t>eun</t>
  </si>
  <si>
    <t>Plata / Gracia</t>
  </si>
  <si>
    <t>강</t>
  </si>
  <si>
    <t>gang</t>
  </si>
  <si>
    <t>Río / Fuerza</t>
  </si>
  <si>
    <t>소</t>
  </si>
  <si>
    <t>so</t>
  </si>
  <si>
    <t>Sonido / Pequeño</t>
  </si>
  <si>
    <t>감</t>
  </si>
  <si>
    <t>gam</t>
  </si>
  <si>
    <t>Sentimiento / Emoción</t>
  </si>
  <si>
    <t>Sagrado / Estrella / Éxito</t>
  </si>
  <si>
    <t>중</t>
  </si>
  <si>
    <t>jung</t>
  </si>
  <si>
    <t>Centro / Equilibrio</t>
  </si>
  <si>
    <t>악</t>
  </si>
  <si>
    <t>ak</t>
  </si>
  <si>
    <t>Mal / Música (según Hanja)</t>
  </si>
  <si>
    <t>Bien / Línea</t>
  </si>
  <si>
    <t>원</t>
  </si>
  <si>
    <t>won</t>
  </si>
  <si>
    <t>Círculo / Deseo / Origen</t>
  </si>
  <si>
    <t>내</t>
  </si>
  <si>
    <t>nae</t>
  </si>
  <si>
    <t>Interior / Mío</t>
  </si>
  <si>
    <t>외</t>
  </si>
  <si>
    <t>oe</t>
  </si>
  <si>
    <t>Exterior / Aislamiento</t>
  </si>
  <si>
    <t>열</t>
  </si>
  <si>
    <t>yeol</t>
  </si>
  <si>
    <t>Pasión / Calor / Fiebre</t>
  </si>
  <si>
    <t>Run</t>
  </si>
  <si>
    <t>Mean</t>
  </si>
  <si>
    <t>ᚠ</t>
  </si>
  <si>
    <t>Fehu</t>
  </si>
  <si>
    <t>Riqueza, ganado, abundancia.</t>
  </si>
  <si>
    <t>ᚢ</t>
  </si>
  <si>
    <t>Uruz</t>
  </si>
  <si>
    <t>Fuerza, vigor, salud, resistencia.</t>
  </si>
  <si>
    <t>ᚦ</t>
  </si>
  <si>
    <t>Thurisaz</t>
  </si>
  <si>
    <t>Espinas, protección, conflicto, fuerza destructiva.</t>
  </si>
  <si>
    <t>ᚨ</t>
  </si>
  <si>
    <t>Ansuz</t>
  </si>
  <si>
    <t>Dioses, sabiduría, inspiración, comunicación.</t>
  </si>
  <si>
    <t>ᚱ</t>
  </si>
  <si>
    <t>Raido</t>
  </si>
  <si>
    <t>Viaje, movimiento, orden, ritmo.</t>
  </si>
  <si>
    <t>ᚲ</t>
  </si>
  <si>
    <t>Kenaz</t>
  </si>
  <si>
    <t>Antorcha, conocimiento, iluminación, creatividad.</t>
  </si>
  <si>
    <t>ᚷ</t>
  </si>
  <si>
    <t>Gebo</t>
  </si>
  <si>
    <t>Regalo, generosidad, unión, equilibrio.</t>
  </si>
  <si>
    <t>ᚹ</t>
  </si>
  <si>
    <t>Wunjo</t>
  </si>
  <si>
    <t>Alegría, gloria, felicidad, compañerismo.</t>
  </si>
  <si>
    <t>ᚺ</t>
  </si>
  <si>
    <t>Hagalaz</t>
  </si>
  <si>
    <t>Granizo, disrupción, prueba, liberación.</t>
  </si>
  <si>
    <t>ᚾ</t>
  </si>
  <si>
    <t>Nauthiz</t>
  </si>
  <si>
    <t>Necesidad, restricción, paciencia, superación.</t>
  </si>
  <si>
    <t>ᛁ</t>
  </si>
  <si>
    <t>Isa</t>
  </si>
  <si>
    <t>Hielo, estancamiento, desafío, introspección.</t>
  </si>
  <si>
    <t>ᛃ</t>
  </si>
  <si>
    <t>Jera</t>
  </si>
  <si>
    <t>Cosecha, ciclo, éxito lento, recompensa.</t>
  </si>
  <si>
    <t>ᛇ</t>
  </si>
  <si>
    <t>Eihwaz</t>
  </si>
  <si>
    <t>Tejo, defensa, conexión, fuerza vital.</t>
  </si>
  <si>
    <t>ᛈ</t>
  </si>
  <si>
    <t>Perthro</t>
  </si>
  <si>
    <t>Misterio, destino, secretos, juego.</t>
  </si>
  <si>
    <t>ᛉ</t>
  </si>
  <si>
    <t>Algiz</t>
  </si>
  <si>
    <t>Alce, protección, defensa, conexión divina.</t>
  </si>
  <si>
    <t>ᛊ</t>
  </si>
  <si>
    <t>Sowilo</t>
  </si>
  <si>
    <t>Sol, éxito, victoria, honor.</t>
  </si>
  <si>
    <t>ᛏ</t>
  </si>
  <si>
    <t>Tiwaz</t>
  </si>
  <si>
    <t>Tyr (dios), justicia, sacrificio, liderazgo.</t>
  </si>
  <si>
    <t>ᛒ</t>
  </si>
  <si>
    <t>Berkana</t>
  </si>
  <si>
    <t>Abedul, crecimiento, renacimiento, fertilidad.</t>
  </si>
  <si>
    <t>ᛖ</t>
  </si>
  <si>
    <t>Ehwaz</t>
  </si>
  <si>
    <t>Caballo, movimiento, confianza, colaboración.</t>
  </si>
  <si>
    <t>ᛗ</t>
  </si>
  <si>
    <t>Mannaz</t>
  </si>
  <si>
    <t>Hombre, humanidad, self, relaciones.</t>
  </si>
  <si>
    <t>ᛚ</t>
  </si>
  <si>
    <t>Laguz</t>
  </si>
  <si>
    <t>Agua, intuición, fluidez, inconsciente.</t>
  </si>
  <si>
    <t>ᛜ</t>
  </si>
  <si>
    <t>Ingwaz</t>
  </si>
  <si>
    <t>Ing (dios), fertilidad, nuevos comienzos, aislamiento.</t>
  </si>
  <si>
    <t>ᛟ</t>
  </si>
  <si>
    <t>Othala</t>
  </si>
  <si>
    <t>Herencia, hogar, propiedad, legado.</t>
  </si>
  <si>
    <t>ᛞ</t>
  </si>
  <si>
    <t>Dagaz</t>
  </si>
  <si>
    <t>Día, amanecer, transformación, claridad.</t>
  </si>
  <si>
    <t>El Futhark antiguo consta de 24 runas, cada una con su símbolo y significado:</t>
  </si>
  <si>
    <t>Mountain</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</si>
  <si>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
    </r>
    <r>
      <rPr>
        <b/>
        <sz val="11"/>
        <color theme="1"/>
        <rFont val="Calibri"/>
      </rPr>
      <t>mountains, depicted with jagged peaks and often topped with snowcaps. These mountains</t>
    </r>
    <r>
      <rPr>
        <sz val="11"/>
        <color theme="1"/>
        <rFont val="Calibri"/>
      </rPr>
      <t xml:space="preserve"> are integrated seamlessly into a swirling, organic design. </t>
    </r>
    <r>
      <rPr>
        <b/>
        <sz val="11"/>
        <color theme="1"/>
        <rFont val="Calibri"/>
      </rPr>
      <t xml:space="preserve">This recurring motif is primarily  displayed at the top and bottom of the image. </t>
    </r>
    <r>
      <rPr>
        <sz val="11"/>
        <color theme="1"/>
        <rFont val="Calibri"/>
      </rPr>
      <t xml:space="preserve">
 Interspersed throughout the background are numerous swirling lines, curlicues, and </t>
    </r>
    <r>
      <rPr>
        <b/>
        <sz val="11"/>
        <color theme="1"/>
        <rFont val="Calibri"/>
      </rPr>
      <t>wave-like patterns</t>
    </r>
    <r>
      <rPr>
        <sz val="11"/>
        <color theme="1"/>
        <rFont val="Calibri"/>
      </rPr>
      <t xml:space="preserve"> that create a sense of movement and fluidity. There are also  l</t>
    </r>
    <r>
      <rPr>
        <b/>
        <sz val="11"/>
        <color theme="1"/>
        <rFont val="Calibri"/>
      </rPr>
      <t>eaf-like shapes, small floral designs, and occasional starbursts or star shapes</t>
    </r>
    <r>
      <rPr>
        <sz val="11"/>
        <color theme="1"/>
        <rFont val="Calibri"/>
      </rPr>
      <t>, adding to the decorative complexity. The overall impression is one of a busy, fantastical landscape or a highly stylized natural environment, rendered with a meticulous attention to detail in a monochromatic, illustrative style.
 Make it vertical 3:4</t>
    </r>
  </si>
  <si>
    <t>Love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</si>
  <si>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bleeding hearts pierced by arrows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floral designs, and occasional starbursts or star shapes, adding to the decorative complexity. The overall impression is one of a busy, fantastical landscape or a highly stylized natural environment, rendered with a meticulous attention to detail in a monochromatic, illustrative style.
 Make it vertical 3:4</t>
  </si>
  <si>
    <t>Star</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</si>
  <si>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stars that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planets and comets, adding to the decorative complexity. The overall impression is one of a busy, fantastical landscape or a highly stylized natural environment, rendered with a meticulous attention to detail in a monochromatic, illustrative style.
 Make it vertical, proportion 51:66</t>
  </si>
  <si>
    <t>Moon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</si>
  <si>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moons. These moons with craters are integrated seamlessly into a swirling, organic design. 
 Interspersed throughout the background are numerous swirling lines, curlicues, and wave-like patterns that create a sense of movement and fluidity. There are also chinese lanterns, and occasional starbursts star shapes, adding to the decorative complexity. The overall impression is one of a busy, fantastical landscape or a highly stylized natural environment, rendered with a meticulous attention to detail in a monochromatic, illustrative style.
 Make it vertical 3:4</t>
  </si>
  <si>
    <t>Death</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</si>
  <si>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skulls. These skulls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flowers and small bones  adding to the decorative complexity. The overall impression is one of a busy, fantastical landscape or a highly stylized natural environment, rendered with a meticulous attention to detail in a monochromatic, illustrative style.
 Make it vertical 3:4</t>
  </si>
  <si>
    <t>Cat</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</si>
  <si>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cat silhouettes. These cat silhouettes with different body positions are integrated seamlessly into a swirling, organic design. 
 Interspersed throughout the background are numerous swirling lines, curlicues, and wave-like patterns that create a sense of movement and fluidity. The overall impression is one of a busy, fantastical landscape or a highly stylized natural environment, rendered with a meticulous attention to detail in a monochromatic, illustrative style.
 Make it vertical 3:4</t>
  </si>
  <si>
    <t>Fire</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</si>
  <si>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fire flames. These styled fire flames are integrated seamlessly into a swirling, organic design. 
 Interspersed throughout the background are numerous swirling lines, curlicues, and </t>
    </r>
    <r>
      <rPr>
        <b/>
        <sz val="11"/>
        <color theme="1"/>
        <rFont val="Calibri"/>
      </rPr>
      <t xml:space="preserve">lava-like patterns </t>
    </r>
    <r>
      <rPr>
        <sz val="11"/>
        <color theme="1"/>
        <rFont val="Calibri"/>
      </rPr>
      <t>that create a sense of movement and fluidity. There are also small vulcanos and comets adding to the decorative complexity. . The overall impression is one of a busy, fantastical landscape or a highly stylized natural environment, rendered with a meticulous attention to detail in a monochromatic, illustrative style.
 Make it vertical 3:4</t>
    </r>
  </si>
  <si>
    <t>House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</si>
  <si>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houses. These houses are integrated seamlessly into a swirling, organic design. 
 Interspersed throughout the background are numerous swirling lines, curlicues, and wave-like patterns that create a sense of movement and fluidity. There are also, keys, toilette papers and pillows adding to the decorative complexity. The overall impression is one of a busy, fantastical landscape or a highly stylized natural environment, rendered with a meticulous attention to detail in a monochromatic, illustrative style.
 Make it vertical 3:4</t>
  </si>
  <si>
    <t>Life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</si>
  <si>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plants. These plants are integrated seamlessly into a swirling, organic design. 
 Interspersed throughout the background are numerous swirling lines, curlicues, and wave-like patterns that create a sense of movement and fluidity. There are also, flowers, and jellyfishes adding to the decorative complexity. The overall impression is one of a busy, fantastical landscape or a highly stylized natural environment, rendered with a meticulous attention to detail in a monochromatic, illustrative style.
 Make it vertical 3:4</t>
  </si>
  <si>
    <t>Dragon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</si>
  <si>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dragons. These  dragons are integrated seamlessly into a swirling, organic design.  This recurring motif is primarily displayed far from the center of the image 
 Interspersed throughout the background are numerous swirling lines, curlicues, and wave-like patterns that create a sense of movement and fluidity. There are also, flowers and chinese antique swords adding to the decorative complexity. The overall impression is one of a busy, fantastical landscape or a highly stylized natural environment, rendered with a meticulous attention to detail in a monochromatic, illustrative style.
 Make it vertical 3:4</t>
  </si>
  <si>
    <t>Music</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</si>
  <si>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music notes. These music notes are integrated seamlessly into a swirling, organic design.  This recurring motif is primarily displayed far from the center of the image 
 Interspersed throughout the background are numerous swirling lines, curlicues, and </t>
    </r>
    <r>
      <rPr>
        <b/>
        <sz val="11"/>
        <color theme="1"/>
        <rFont val="Calibri"/>
      </rPr>
      <t>soundwave-like patterns</t>
    </r>
    <r>
      <rPr>
        <sz val="11"/>
        <color theme="1"/>
        <rFont val="Calibri"/>
      </rPr>
      <t xml:space="preserve"> that create a sense of movement and fluidity. There are also swirling music staff adding to the decorative complexity. The overall impression is one of a busy, fantastical landscape or a highly stylized natural environment, rendered with a meticulous attention to detail in a monochromatic, illustrative style.
 Make it vertical 3:4</t>
    </r>
  </si>
  <si>
    <t>Dog</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</si>
  <si>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dogs. These dogs with different body positions are integrated seamlessly into a swirling, organic design. 
 Interspersed throughout the background are numerous swirling lines, curlicues, and wave-like patterns that create a sense of movement and fluidity. There are also, trees, and dog footprints adding to the decorative complexity. The overall impression is one of a busy, fantastical landscape or a highly stylized natural environment, rendered with a meticulous attention to detail in a monochromatic, illustrative style.
 Make it vertical 3:4</t>
  </si>
  <si>
    <t>Universe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</si>
  <si>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planets. These planets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stars, and flying saucers adding to the decorative complexity. The overall impression is one of a busy, fantastical landscape or a highly stylized natural environment, rendered with a meticulous attention to detail in a monochromatic, illustrative style.
 Make it vertical 3:4</t>
  </si>
  <si>
    <t>Force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</si>
  <si>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lightning. These lightnings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bones and chains adding to the decorative complexity. The overall impression is one of a busy, fantastical landscape or a highly stylized natural environment, rendered with a meticulous attention to detail in a monochromatic, illustrative style. Give some rockabily to the style
 Make it vertical 3:4</t>
  </si>
  <si>
    <t>Sea</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</si>
  <si>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tentacles. These tentacles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jellyfishes and whales adding to the decorative complexity. The overall impression is one of a busy, fantastical landscape or a highly stylized natural environment, rendered with a meticulous attention to detail in a monochromatic, illustrative style.
 Make it vertical 3:4</t>
  </si>
  <si>
    <t>Fortune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</si>
  <si>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diamonds. These shiny diamonds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and hearts adding to the decorative complexity. The overall impression is one of a busy, fantastical landscape or a highly stylized natural environment, rendered with a meticulous attention to detail in a monochromatic, illustrative style.
 Make it vertical 3:4</t>
  </si>
  <si>
    <t>Quechua</t>
  </si>
  <si>
    <t>Sioux</t>
  </si>
  <si>
    <t>Aleutiano- Inuktitut</t>
  </si>
  <si>
    <t xml:space="preserve"> (esquimal)</t>
  </si>
  <si>
    <t>Guaraní</t>
  </si>
  <si>
    <t>Células y microorganismos</t>
  </si>
  <si>
    <t>Elvish (Quenya y Sindarin)</t>
  </si>
  <si>
    <t>Cheroqui</t>
  </si>
  <si>
    <t>Olmecas</t>
  </si>
  <si>
    <t>Klingon</t>
  </si>
  <si>
    <t>Árabe</t>
  </si>
  <si>
    <t>Élfico</t>
  </si>
  <si>
    <t>Hebreo</t>
  </si>
  <si>
    <t>Stargate</t>
  </si>
  <si>
    <t>Egipcio</t>
  </si>
  <si>
    <t>Celta</t>
  </si>
  <si>
    <t>Sumerio</t>
  </si>
  <si>
    <t>Cuneiforme</t>
  </si>
  <si>
    <t>Japonés</t>
  </si>
  <si>
    <t>Tailandés</t>
  </si>
  <si>
    <t>Griego</t>
  </si>
  <si>
    <t>Latín</t>
  </si>
  <si>
    <t>Runas vikingas</t>
  </si>
  <si>
    <t>Rongorongo</t>
  </si>
  <si>
    <t>Concepto (Romanización)</t>
  </si>
  <si>
    <t>Traducción al español</t>
  </si>
  <si>
    <t>Protoelamita</t>
  </si>
  <si>
    <t>bat'leth</t>
  </si>
  <si>
    <t>Espada de honor</t>
  </si>
  <si>
    <t>Minoica</t>
  </si>
  <si>
    <t>Daqtagh</t>
  </si>
  <si>
    <t>Daga de combate</t>
  </si>
  <si>
    <t>Honor</t>
  </si>
  <si>
    <t>Tifinagh</t>
  </si>
  <si>
    <t>bereber</t>
  </si>
  <si>
    <t>Kahless</t>
  </si>
  <si>
    <t>Figura legendaria/Mesías</t>
  </si>
  <si>
    <t>Mongol</t>
  </si>
  <si>
    <t>Klingon (la especie)</t>
  </si>
  <si>
    <t>qo'noS</t>
  </si>
  <si>
    <t>Kronos (planeta natal)</t>
  </si>
  <si>
    <t>Qapla'</t>
  </si>
  <si>
    <t>¡Éxito! / ¡Victoria!</t>
  </si>
  <si>
    <t>paghmoH tIn mIS</t>
  </si>
  <si>
    <t>La grandeza es una mezcla de nada y todo (Filosofía)</t>
  </si>
  <si>
    <t>Heghlu'meH QaQ jajvam</t>
  </si>
  <si>
    <t>Hoy es un buen día para morir</t>
  </si>
  <si>
    <t>tlhIngan Hol</t>
  </si>
  <si>
    <t>Idioma klingon</t>
  </si>
  <si>
    <t>nuqneH</t>
  </si>
  <si>
    <t>¿Qué quieres? (Saludo común)</t>
  </si>
  <si>
    <t>majQa'</t>
  </si>
  <si>
    <t>¡Bien hecho!</t>
  </si>
  <si>
    <t>ghoH</t>
  </si>
  <si>
    <t>Venganza</t>
  </si>
  <si>
    <t>Jeroglífico</t>
  </si>
  <si>
    <t>Traducción al inglés</t>
  </si>
  <si>
    <t>Pronunciación (reconstruida)</t>
  </si>
  <si>
    <t>Traducción al copto (aproximada)</t>
  </si>
  <si>
    <t>Hierática/Demótica (tipo de carácter)</t>
  </si>
  <si>
    <t>Traducción al inglés (Concepto/Significado)</t>
  </si>
  <si>
    <t>A1 (Hombre sentado)</t>
  </si>
  <si>
    <t>Man / Human</t>
  </si>
  <si>
    <t>rmṯ (hombre)</t>
  </si>
  <si>
    <t>ⲣⲱⲙⲉ (rome)</t>
  </si>
  <si>
    <t>Hombre sentado</t>
  </si>
  <si>
    <t>S34 (Pluma de avestruz)</t>
  </si>
  <si>
    <t>Ma'at: Truth, Justice, Balance, Cosmic Order</t>
  </si>
  <si>
    <t>mꜣꜥt</t>
  </si>
  <si>
    <t>ⲙⲉⲓ (mei)</t>
  </si>
  <si>
    <t>Hierática/Demótica</t>
  </si>
  <si>
    <t>B1 (Mujer sentada)</t>
  </si>
  <si>
    <t>Woman / Female</t>
  </si>
  <si>
    <t>s.t (mujer)</t>
  </si>
  <si>
    <t>ⲥϩⲓⲙⲉ (shime)</t>
  </si>
  <si>
    <t>Mujer sentada</t>
  </si>
  <si>
    <t>R14 (Ankh)</t>
  </si>
  <si>
    <t>Life: Breath, Immortality, Living</t>
  </si>
  <si>
    <t>ꜥnḫ</t>
  </si>
  <si>
    <t>ⲁⲛϧ (ankh)</t>
  </si>
  <si>
    <t>D1 (Boca)</t>
  </si>
  <si>
    <t>Mouth</t>
  </si>
  <si>
    <t>r</t>
  </si>
  <si>
    <t>ⲣⲟ (ro)</t>
  </si>
  <si>
    <t>Boca</t>
  </si>
  <si>
    <t>F34 (Corazón)</t>
  </si>
  <si>
    <t>Ib: Heart, Mind, Will, Conscience, Emotions</t>
  </si>
  <si>
    <t>ỉb</t>
  </si>
  <si>
    <t>ϩⲏⲧ (het)</t>
  </si>
  <si>
    <t>D21 (Ojo)</t>
  </si>
  <si>
    <t>Eye</t>
  </si>
  <si>
    <t>ỉr.t</t>
  </si>
  <si>
    <t>ⲉⲓⲉ (eie)</t>
  </si>
  <si>
    <t>Ojo</t>
  </si>
  <si>
    <t>A19 (Brazos levantados)</t>
  </si>
  <si>
    <t>Ka: Life Force, Spirit, Essence, Sustenance</t>
  </si>
  <si>
    <t>kꜣ</t>
  </si>
  <si>
    <t>-</t>
  </si>
  <si>
    <t>Heart</t>
  </si>
  <si>
    <t>G29 (Pájaro con cabeza humana)</t>
  </si>
  <si>
    <t>Ba: Soul, Personality, Mobility, Spirit</t>
  </si>
  <si>
    <t>bꜣ</t>
  </si>
  <si>
    <t>G1 (Buitre egipcio)</t>
  </si>
  <si>
    <t>Egyptian vulture (aleph)</t>
  </si>
  <si>
    <t>ꜣ</t>
  </si>
  <si>
    <t>Buitre</t>
  </si>
  <si>
    <t>R24 (Columna Dyed)</t>
  </si>
  <si>
    <t>Djed: Stability, Endurance, Osiris's backbone</t>
  </si>
  <si>
    <t>ḏd</t>
  </si>
  <si>
    <t>G17 (Búho)</t>
  </si>
  <si>
    <t>Owl (m)</t>
  </si>
  <si>
    <t>m</t>
  </si>
  <si>
    <t>ⲙ (m)</t>
  </si>
  <si>
    <t>Búho</t>
  </si>
  <si>
    <t>R8 (Disco solar)</t>
  </si>
  <si>
    <t>Re: Sun, Divinity, Creation, Light, Eternity</t>
  </si>
  <si>
    <t>rꜥ</t>
  </si>
  <si>
    <t>ⲣⲏ (re)</t>
  </si>
  <si>
    <t>I9 (Caña con flor)</t>
  </si>
  <si>
    <t>Flowering reed (i/j)</t>
  </si>
  <si>
    <t>ỉ</t>
  </si>
  <si>
    <t>ⲓ (i)</t>
  </si>
  <si>
    <t>Caña</t>
  </si>
  <si>
    <t>N1 (Cielo)</t>
  </si>
  <si>
    <t>Nut: Sky, Heaven, Cosmos, Divine Mother</t>
  </si>
  <si>
    <t>pt</t>
  </si>
  <si>
    <t>ⲡⲉ (pe)</t>
  </si>
  <si>
    <t>M17 (Hoja de caña)</t>
  </si>
  <si>
    <t>Reed leaf (y)</t>
  </si>
  <si>
    <t>y</t>
  </si>
  <si>
    <t>Hoja de caña</t>
  </si>
  <si>
    <t>N5 (Tierra)</t>
  </si>
  <si>
    <t>Geb: Earth, Foundation, Fertility</t>
  </si>
  <si>
    <t>tꜣ</t>
  </si>
  <si>
    <t>ⲧⲟ (to)</t>
  </si>
  <si>
    <t>N35 (Agua)</t>
  </si>
  <si>
    <t>Water (n)</t>
  </si>
  <si>
    <t>n</t>
  </si>
  <si>
    <t>ⲛ (n)</t>
  </si>
  <si>
    <t>V13 (Lazo/Anillo Shen)</t>
  </si>
  <si>
    <t>Shen: Eternity, Infinity, Protection, Encircling</t>
  </si>
  <si>
    <t>šn</t>
  </si>
  <si>
    <t>O1 (Casa/Planta de casa)</t>
  </si>
  <si>
    <t>House / Ground plan of house</t>
  </si>
  <si>
    <t>pr</t>
  </si>
  <si>
    <t>ⲃⲏⲓ (bei)</t>
  </si>
  <si>
    <t>Casa</t>
  </si>
  <si>
    <t>N29 (Cielo estrellado)</t>
  </si>
  <si>
    <t>Duat: Underworld, Afterlife, Realm of the Dead</t>
  </si>
  <si>
    <t>dwꜣ</t>
  </si>
  <si>
    <t>O4 (Templo/Palacio)</t>
  </si>
  <si>
    <t>Temple / Palace</t>
  </si>
  <si>
    <t>ḥw.t</t>
  </si>
  <si>
    <t>ϩⲏ (he)</t>
  </si>
  <si>
    <t>Templo</t>
  </si>
  <si>
    <t>O36 (Tumba)</t>
  </si>
  <si>
    <t>Tomb: Burial, Afterlife transition, Eternity</t>
  </si>
  <si>
    <t>ỉs.t</t>
  </si>
  <si>
    <t>P1 (Barco)</t>
  </si>
  <si>
    <t>Boat</t>
  </si>
  <si>
    <t>dp.t</t>
  </si>
  <si>
    <t>ⲧⲏⲃⲉ (tebe)</t>
  </si>
  <si>
    <t>Barco</t>
  </si>
  <si>
    <t>Z4 (Cruz 'nfr')</t>
  </si>
  <si>
    <t>Nefer: Good, Beautiful, Perfect, Complete</t>
  </si>
  <si>
    <t>nfr</t>
  </si>
  <si>
    <t>ⲛⲟⲩϥⲣⲉ (noufre)</t>
  </si>
  <si>
    <t>Q3 (Cesta)</t>
  </si>
  <si>
    <t>Basket (k)</t>
  </si>
  <si>
    <t>k</t>
  </si>
  <si>
    <t>ⲕ (k)</t>
  </si>
  <si>
    <t>Cesta</t>
  </si>
  <si>
    <t>S29 (Cetro Was)</t>
  </si>
  <si>
    <t>Was: Power, Dominion, Authority, Well-being</t>
  </si>
  <si>
    <t>wꜣs</t>
  </si>
  <si>
    <t>R8 (Sol)</t>
  </si>
  <si>
    <t>Sun</t>
  </si>
  <si>
    <t>S30 (Cetro Ankh)</t>
  </si>
  <si>
    <t>Ankh-scepter: Life-giving power, Royal authority</t>
  </si>
  <si>
    <t>S29 (Cetro)</t>
  </si>
  <si>
    <t>Scepter (was)</t>
  </si>
  <si>
    <t>Cetro</t>
  </si>
  <si>
    <t>H6 (Halcón de Horus)</t>
  </si>
  <si>
    <t>Horus: Kingship, Protection, Divine Ruler</t>
  </si>
  <si>
    <t>ḥr</t>
  </si>
  <si>
    <t>ϩⲟⲣ (hor)</t>
  </si>
  <si>
    <t>T3 (Horno/Pan)</t>
  </si>
  <si>
    <t>Oven / Bread</t>
  </si>
  <si>
    <t>t</t>
  </si>
  <si>
    <t>ⲧ (t)</t>
  </si>
  <si>
    <t>Horno</t>
  </si>
  <si>
    <t>G5 (Halcón)</t>
  </si>
  <si>
    <t>Divinity: God, Sacred, Divine Being</t>
  </si>
  <si>
    <t>nṯr</t>
  </si>
  <si>
    <t>ⲛⲟⲩⲧⲉ (noute)</t>
  </si>
  <si>
    <t>U1 (Hoz)</t>
  </si>
  <si>
    <t>Sickle (mr)</t>
  </si>
  <si>
    <t>mr</t>
  </si>
  <si>
    <t>Hoz</t>
  </si>
  <si>
    <t>V26 (Cetro Sekhem)</t>
  </si>
  <si>
    <t>Sekhem: Power, Control, Force, Authority</t>
  </si>
  <si>
    <t>sḫm</t>
  </si>
  <si>
    <t>V28 (Cuerda)</t>
  </si>
  <si>
    <t>Rope (w)</t>
  </si>
  <si>
    <t>w</t>
  </si>
  <si>
    <t>ⲟⲩ (ou)</t>
  </si>
  <si>
    <t>Cuerda</t>
  </si>
  <si>
    <t>R11 (Bandera de dios)</t>
  </si>
  <si>
    <t>God: Deity, Sacred presence</t>
  </si>
  <si>
    <t>Y1 (Escritor/Escriba)</t>
  </si>
  <si>
    <t>Scribe's equipment</t>
  </si>
  <si>
    <t>sš</t>
  </si>
  <si>
    <t>Escriba</t>
  </si>
  <si>
    <t>I1 (Serpiente)</t>
  </si>
  <si>
    <t>Chaos/Apep: Disorder, Threat, Danger (also protection)</t>
  </si>
  <si>
    <t>ḏ.t</t>
  </si>
  <si>
    <t>Z1 (Trazos plurales)</t>
  </si>
  <si>
    <t>Plural strokes</t>
  </si>
  <si>
    <t>Trazos</t>
  </si>
  <si>
    <t>I11 (Cobra)</t>
  </si>
  <si>
    <t>Uraeus: Royal protection, Divine authority (Wadjet)</t>
  </si>
  <si>
    <t>Aa1 (Antebrazo)</t>
  </si>
  <si>
    <t>Forearm (ꜥ)</t>
  </si>
  <si>
    <t>ꜥ</t>
  </si>
  <si>
    <t>ⲁ (a)</t>
  </si>
  <si>
    <t>Antebrazo</t>
  </si>
  <si>
    <t>Udjat Eye: Protection, Healing, Wholeness, Horus's eye</t>
  </si>
  <si>
    <t>D36 (Brazo con mano)</t>
  </si>
  <si>
    <t>Arm with hand</t>
  </si>
  <si>
    <t>d</t>
  </si>
  <si>
    <t>ϫ (j)</t>
  </si>
  <si>
    <t>Brazo con mano</t>
  </si>
  <si>
    <t>M12 (Loto)</t>
  </si>
  <si>
    <t>Rebirth: Creation, Sun, Origin from primeval waters</t>
  </si>
  <si>
    <t>sšn</t>
  </si>
  <si>
    <t>D58 (Pierna)</t>
  </si>
  <si>
    <t>Leg</t>
  </si>
  <si>
    <t>rd</t>
  </si>
  <si>
    <t>ⲣⲁⲧ (rat)</t>
  </si>
  <si>
    <t>Pierna</t>
  </si>
  <si>
    <t>X4 (Huevo)</t>
  </si>
  <si>
    <t>Creation: Origin, Birth, Potential</t>
  </si>
  <si>
    <t>swḥ.t</t>
  </si>
  <si>
    <t>E23 (Hipopótamo)</t>
  </si>
  <si>
    <t>Hippopotamus</t>
  </si>
  <si>
    <t>db</t>
  </si>
  <si>
    <t>ⲧⲉⲃⲉ (tebe)</t>
  </si>
  <si>
    <t>Hipopótamo</t>
  </si>
  <si>
    <t>Nun: Primordial waters, Chaos before creation, Purity</t>
  </si>
  <si>
    <t>F22 (Glándula)</t>
  </si>
  <si>
    <t>Gland (ẖ)</t>
  </si>
  <si>
    <t>ẖ</t>
  </si>
  <si>
    <t>ϩ (h)</t>
  </si>
  <si>
    <t>Glándula</t>
  </si>
  <si>
    <t>N23 (Canal/Río)</t>
  </si>
  <si>
    <t>Nile: Life-giving force, Fertility, Sustenance</t>
  </si>
  <si>
    <t>ỉtrw</t>
  </si>
  <si>
    <t>ⲉⲓⲉⲣⲟ (eiero)</t>
  </si>
  <si>
    <t>G43 (Pato)</t>
  </si>
  <si>
    <t>Duck</t>
  </si>
  <si>
    <t>pꜣ</t>
  </si>
  <si>
    <t>ⲡⲓ (pi)</t>
  </si>
  <si>
    <t>Pato</t>
  </si>
  <si>
    <t>M4 (Papiro)</t>
  </si>
  <si>
    <t>Wadjet: Greenness, Freshness, Prosperity, Lower Egypt</t>
  </si>
  <si>
    <t>wꜣḏ</t>
  </si>
  <si>
    <t>H6 (Horus halcón)</t>
  </si>
  <si>
    <t>Horus falcon</t>
  </si>
  <si>
    <t>Halcón</t>
  </si>
  <si>
    <t>S3 (Corona Blanca)</t>
  </si>
  <si>
    <t>Upper Egypt: Kingship, Dominion</t>
  </si>
  <si>
    <t>ḥḏt</t>
  </si>
  <si>
    <t>I10 (Víbora cornuda)</t>
  </si>
  <si>
    <t>Horned viper (f)</t>
  </si>
  <si>
    <t>f</t>
  </si>
  <si>
    <t>ϥ (f)</t>
  </si>
  <si>
    <t>Víbora</t>
  </si>
  <si>
    <t>S42 (Corona Roja)</t>
  </si>
  <si>
    <t>Lower Egypt: Kingship, Dominion</t>
  </si>
  <si>
    <t>dšrt</t>
  </si>
  <si>
    <t>L1 (León)</t>
  </si>
  <si>
    <t>Lion</t>
  </si>
  <si>
    <t>rw</t>
  </si>
  <si>
    <t>ⲗⲁⲃⲟⲩ (labou)</t>
  </si>
  <si>
    <t>León</t>
  </si>
  <si>
    <t>S4 (Corona doble)</t>
  </si>
  <si>
    <t>Unification: King of Two Lands, Unity</t>
  </si>
  <si>
    <t>smꜣ</t>
  </si>
  <si>
    <t>M1 (Junco)</t>
  </si>
  <si>
    <t>Reed</t>
  </si>
  <si>
    <t>j</t>
  </si>
  <si>
    <t>Junco</t>
  </si>
  <si>
    <t>R23 (Pluma de avestruz)</t>
  </si>
  <si>
    <t>Shu: Air, Breath, Dryness (also Ma'at)</t>
  </si>
  <si>
    <t>šw</t>
  </si>
  <si>
    <t>R22 (Dios sentado)</t>
  </si>
  <si>
    <t>God/Goddess: Divine presence, Deity</t>
  </si>
  <si>
    <t>Land / Earth</t>
  </si>
  <si>
    <t>Tierra</t>
  </si>
  <si>
    <t>A40 (Hombre postrado)</t>
  </si>
  <si>
    <t>Worship: Adoration, Reverence, Humility</t>
  </si>
  <si>
    <t>Canal / River</t>
  </si>
  <si>
    <t>Canal</t>
  </si>
  <si>
    <t>Love: Desire, To love</t>
  </si>
  <si>
    <t>O34 (Pilón)</t>
  </si>
  <si>
    <t>Pylon</t>
  </si>
  <si>
    <t>sbḫt</t>
  </si>
  <si>
    <t>Pilón</t>
  </si>
  <si>
    <t>Arm/Strength: Power, Action, Doing</t>
  </si>
  <si>
    <t>P8 (Timón)</t>
  </si>
  <si>
    <t>Rudder</t>
  </si>
  <si>
    <t>ḫr</t>
  </si>
  <si>
    <t>Timón</t>
  </si>
  <si>
    <t>Giving: Action, Power, Doing</t>
  </si>
  <si>
    <t>Q1 (Asiento/Trono)</t>
  </si>
  <si>
    <t>Seat / Throne (p)</t>
  </si>
  <si>
    <t>p</t>
  </si>
  <si>
    <t>ⲡ (p)</t>
  </si>
  <si>
    <t>Asiento</t>
  </si>
  <si>
    <t>V30 (Cuerda enrollada)</t>
  </si>
  <si>
    <t>Perfection: Completeness, Measure</t>
  </si>
  <si>
    <t>šnt</t>
  </si>
  <si>
    <t>R11 (Bandera/Estándar)</t>
  </si>
  <si>
    <t>Flag / Standard</t>
  </si>
  <si>
    <t>Bandera</t>
  </si>
  <si>
    <t>O6 (Templo)</t>
  </si>
  <si>
    <t>Sacred space: Divine dwelling, Ritual</t>
  </si>
  <si>
    <t>S24 (Sandalia)</t>
  </si>
  <si>
    <t>Sandal</t>
  </si>
  <si>
    <t>tbw</t>
  </si>
  <si>
    <t>Sandalia</t>
  </si>
  <si>
    <t>O28 (Pirámide)</t>
  </si>
  <si>
    <t>Eternity: Monument, Afterlife, Royal burial</t>
  </si>
  <si>
    <t>T14 (Hacha)</t>
  </si>
  <si>
    <t>Axe</t>
  </si>
  <si>
    <t>mnḫ</t>
  </si>
  <si>
    <t>Hacha</t>
  </si>
  <si>
    <t>Journey: Passage, Travel, Afterlife journey</t>
  </si>
  <si>
    <t>U23 (Maza)</t>
  </si>
  <si>
    <t>Mace</t>
  </si>
  <si>
    <t>ḥd</t>
  </si>
  <si>
    <t>Maza</t>
  </si>
  <si>
    <t>Authority: Royalty, Seat of power</t>
  </si>
  <si>
    <t>V13 (Lazo)</t>
  </si>
  <si>
    <t>Loop / Lasso (šn)</t>
  </si>
  <si>
    <t>Lazo</t>
  </si>
  <si>
    <t>All/Every: Totality, Completeness</t>
  </si>
  <si>
    <t>W1 (Cántaro)</t>
  </si>
  <si>
    <t>Jar</t>
  </si>
  <si>
    <t>nw</t>
  </si>
  <si>
    <t>Cántaro</t>
  </si>
  <si>
    <t>Power: Force, Protection, Destruction</t>
  </si>
  <si>
    <t>X1 (Pan)</t>
  </si>
  <si>
    <t>Loaf (t)</t>
  </si>
  <si>
    <t>Pan</t>
  </si>
  <si>
    <t>Power: Authority, Weapon, Royal might</t>
  </si>
  <si>
    <t>Y5 (Papiro enrollado)</t>
  </si>
  <si>
    <t>Rolled papyrus</t>
  </si>
  <si>
    <t>mdw</t>
  </si>
  <si>
    <t>Papiro</t>
  </si>
  <si>
    <t>N17 (Montaña/Colina)</t>
  </si>
  <si>
    <t>Akhet: Horizon, Sunrise/Sunset, Rebirth, Transition</t>
  </si>
  <si>
    <t>ḏw</t>
  </si>
  <si>
    <t>Z2 (Trazo diagonal)</t>
  </si>
  <si>
    <t>Diagonal stroke</t>
  </si>
  <si>
    <t>Trazo</t>
  </si>
  <si>
    <t>Spirit/Breath: Life, Vitality (phonetic ẖ)</t>
  </si>
  <si>
    <t>A2 (Niño)</t>
  </si>
  <si>
    <t>Child</t>
  </si>
  <si>
    <t>ẖrd</t>
  </si>
  <si>
    <t>Niño</t>
  </si>
  <si>
    <t>F20 (Nariz)</t>
  </si>
  <si>
    <t>Breath: Life, Inhalation</t>
  </si>
  <si>
    <t>šn.t</t>
  </si>
  <si>
    <t>ⲛⲟⲥ (nos)</t>
  </si>
  <si>
    <t>D2 (Frente)</t>
  </si>
  <si>
    <t>Forehead</t>
  </si>
  <si>
    <t>ϩⲱⲣ (hor)</t>
  </si>
  <si>
    <t>Frente</t>
  </si>
  <si>
    <t>D5 (Cabeza)</t>
  </si>
  <si>
    <t>Reason: Intellect, Leadership, Foremost</t>
  </si>
  <si>
    <t>ḏꜣdꜣ</t>
  </si>
  <si>
    <t>ϫⲟϫ (joj)</t>
  </si>
  <si>
    <t>D54 (Pelo)</t>
  </si>
  <si>
    <t>Hair</t>
  </si>
  <si>
    <t>šny</t>
  </si>
  <si>
    <t>Pelo</t>
  </si>
  <si>
    <t>D4 (Oído)</t>
  </si>
  <si>
    <t>Understanding: Listening, Wisdom, Perception</t>
  </si>
  <si>
    <t>mšḏr</t>
  </si>
  <si>
    <t>E9 (Gato)</t>
  </si>
  <si>
    <t>myw</t>
  </si>
  <si>
    <t>ⲉⲓⲟⲩ (eiou)</t>
  </si>
  <si>
    <t>Speech: Word, Command, Creation (phonetic r)</t>
  </si>
  <si>
    <t>Nose</t>
  </si>
  <si>
    <t>Nariz</t>
  </si>
  <si>
    <t>F1 (Piel)</t>
  </si>
  <si>
    <t>Body/Self: Being, Existence (determinative)</t>
  </si>
  <si>
    <t>ḏr</t>
  </si>
  <si>
    <t>G29 (Pájaro)</t>
  </si>
  <si>
    <t>Bird</t>
  </si>
  <si>
    <t>Pájaro</t>
  </si>
  <si>
    <t>N25 (Campo)</t>
  </si>
  <si>
    <t>Fertility: Abundance, Sustenance, Life-source</t>
  </si>
  <si>
    <t>sḫ.t</t>
  </si>
  <si>
    <t>ⲥϩⲉ (she)</t>
  </si>
  <si>
    <t>H8 (Ibis)</t>
  </si>
  <si>
    <t>Ibis</t>
  </si>
  <si>
    <t>ḏḥwty</t>
  </si>
  <si>
    <t>ⲧϩⲟⲩⲧ (thout)</t>
  </si>
  <si>
    <t>M13 (Papiro en flor)</t>
  </si>
  <si>
    <t>Prosperity: Growth, Freshness, Well-being</t>
  </si>
  <si>
    <t>Snake</t>
  </si>
  <si>
    <t>Serpiente</t>
  </si>
  <si>
    <t>New Beginnings: Youth, Innocence, Rebirth</t>
  </si>
  <si>
    <t>K1 (Pez)</t>
  </si>
  <si>
    <t>Fish</t>
  </si>
  <si>
    <t>rm</t>
  </si>
  <si>
    <t>ⲣⲁⲙ (ram)</t>
  </si>
  <si>
    <t>Pez</t>
  </si>
  <si>
    <t>E1 (Toro)</t>
  </si>
  <si>
    <t>Virility: Strength, Power, Fertility (Apis bull)</t>
  </si>
  <si>
    <t>Lotus</t>
  </si>
  <si>
    <t>Loto</t>
  </si>
  <si>
    <t>Fertility/Protection: Motherhood (Taweret), Aggression</t>
  </si>
  <si>
    <t>Mountain / Hill</t>
  </si>
  <si>
    <t>Protection: Femininity, Fertility (Bastet)</t>
  </si>
  <si>
    <t>Field</t>
  </si>
  <si>
    <t>Campo</t>
  </si>
  <si>
    <t>K5 (Cocodrilo)</t>
  </si>
  <si>
    <t>Power/Aggression: Sobek, Creation (sometimes protection)</t>
  </si>
  <si>
    <t>msh</t>
  </si>
  <si>
    <t>Tomb</t>
  </si>
  <si>
    <t>Tumba</t>
  </si>
  <si>
    <t>Strength: Power, Royalty (Sekhmet)</t>
  </si>
  <si>
    <t>P6 (Vela)</t>
  </si>
  <si>
    <t>Sail</t>
  </si>
  <si>
    <t>wndw</t>
  </si>
  <si>
    <t>Vela</t>
  </si>
  <si>
    <t>Son: Heir, Posterity (phonetic pꜣ)</t>
  </si>
  <si>
    <t>Q6 (Silla)</t>
  </si>
  <si>
    <t>Chair</t>
  </si>
  <si>
    <t>st</t>
  </si>
  <si>
    <t>Silla</t>
  </si>
  <si>
    <t>N37 (Pueblo/Ciudad)</t>
  </si>
  <si>
    <t>Order: Community, Civilization (opposite of chaos)</t>
  </si>
  <si>
    <t>niw.t</t>
  </si>
  <si>
    <t>ⲛⲓⲟⲩⲧ (niout)</t>
  </si>
  <si>
    <t>Ankh (life)</t>
  </si>
  <si>
    <t>Ankh</t>
  </si>
  <si>
    <t>O40 (Pared)</t>
  </si>
  <si>
    <t>Protection: Boundary, Enclosure, Defense</t>
  </si>
  <si>
    <t>ỉnb</t>
  </si>
  <si>
    <t>S3 (Corona blanca)</t>
  </si>
  <si>
    <t>White Crown</t>
  </si>
  <si>
    <t>Corona</t>
  </si>
  <si>
    <t>Gateway: Transition, Entrance to sacred</t>
  </si>
  <si>
    <t>T22 (Flecha)</t>
  </si>
  <si>
    <t>Arrow</t>
  </si>
  <si>
    <t>šsr</t>
  </si>
  <si>
    <t>Flecha</t>
  </si>
  <si>
    <t>Q7 (Lámpara)</t>
  </si>
  <si>
    <t>Illumination: Light, Knowledge, Guidance</t>
  </si>
  <si>
    <t>sḫt</t>
  </si>
  <si>
    <t>U33 (Arco)</t>
  </si>
  <si>
    <t>Bow</t>
  </si>
  <si>
    <t>ỉwn</t>
  </si>
  <si>
    <t>Arco</t>
  </si>
  <si>
    <t>Journey: Walking, Path, Travel</t>
  </si>
  <si>
    <t>Coiled rope</t>
  </si>
  <si>
    <t>Direction: Swiftness, Purpose, Attack</t>
  </si>
  <si>
    <t>W24 (Vaso)</t>
  </si>
  <si>
    <t>Vessel</t>
  </si>
  <si>
    <t>Vaso</t>
  </si>
  <si>
    <t>Power: Weapon, Hunting, Strength</t>
  </si>
  <si>
    <t>Egg</t>
  </si>
  <si>
    <t>Huevo</t>
  </si>
  <si>
    <t>V1 (Canasta)</t>
  </si>
  <si>
    <t>Lord/Every: Totality, Possession (phonetic nb)</t>
  </si>
  <si>
    <t>nb</t>
  </si>
  <si>
    <t>ⲛⲉⲃ (neb)</t>
  </si>
  <si>
    <t>Y3 (Pluma)</t>
  </si>
  <si>
    <t>Feather</t>
  </si>
  <si>
    <t>šw.t</t>
  </si>
  <si>
    <t>Pluma</t>
  </si>
  <si>
    <t>W10 (Olla)</t>
  </si>
  <si>
    <t>Offering: Sustenance, Provision</t>
  </si>
  <si>
    <t>šd</t>
  </si>
  <si>
    <t>Z4 (Cruz)</t>
  </si>
  <si>
    <t>Cross</t>
  </si>
  <si>
    <t>Cruz</t>
  </si>
  <si>
    <t>Sustenance: Food, Provision, Offering</t>
  </si>
  <si>
    <t>A3 (Anciano)</t>
  </si>
  <si>
    <t>Old man</t>
  </si>
  <si>
    <t>smsw</t>
  </si>
  <si>
    <t>Anciano</t>
  </si>
  <si>
    <t>Y1 (Equipo de escriba)</t>
  </si>
  <si>
    <t>Knowledge: Writing, Wisdom, Administration</t>
  </si>
  <si>
    <t>Ear</t>
  </si>
  <si>
    <t>Oído</t>
  </si>
  <si>
    <t>Record: Knowledge, Document, Law</t>
  </si>
  <si>
    <t>D6 (Nariz y boca)</t>
  </si>
  <si>
    <t>Nose and mouth</t>
  </si>
  <si>
    <t>ḫn</t>
  </si>
  <si>
    <t>Nariz y boca</t>
  </si>
  <si>
    <t>Negation: Not, Absence, Negative</t>
  </si>
  <si>
    <t>E16 (Perro)</t>
  </si>
  <si>
    <t>ỉw</t>
  </si>
  <si>
    <t>Z5 (Número 1)</t>
  </si>
  <si>
    <t>Unity: Singularity, Beginning</t>
  </si>
  <si>
    <t>wꜥ</t>
  </si>
  <si>
    <t>Skin</t>
  </si>
  <si>
    <t>Piel</t>
  </si>
  <si>
    <t>Z9 (Número 10)</t>
  </si>
  <si>
    <t>Completeness: Multiplicity, Order</t>
  </si>
  <si>
    <t>Falcon</t>
  </si>
  <si>
    <t>Z10 (Número 100)</t>
  </si>
  <si>
    <t>Abundance: Many, Completeness</t>
  </si>
  <si>
    <t>š.t</t>
  </si>
  <si>
    <t>H3 (Halcón sobre un estandarte)</t>
  </si>
  <si>
    <t>Falcon on standard</t>
  </si>
  <si>
    <t>A5 (Enemigo caído)</t>
  </si>
  <si>
    <t>Defeat: Chaos, Subjugation of evil</t>
  </si>
  <si>
    <t>ḫfty</t>
  </si>
  <si>
    <t>I3 (Escorpión)</t>
  </si>
  <si>
    <t>Scorpion</t>
  </si>
  <si>
    <t>srq.t</t>
  </si>
  <si>
    <t>Escorpión</t>
  </si>
  <si>
    <t>Movement: Going, Direction, Progress</t>
  </si>
  <si>
    <t>K4 (Cangrejo)</t>
  </si>
  <si>
    <t>Crab</t>
  </si>
  <si>
    <t>qb</t>
  </si>
  <si>
    <t>Cangrejo</t>
  </si>
  <si>
    <t>E14 (Liebre)</t>
  </si>
  <si>
    <t>Existence: Being, Opening (phonetic wn)</t>
  </si>
  <si>
    <t>wn</t>
  </si>
  <si>
    <t>Papyrus</t>
  </si>
  <si>
    <t>F4 (Columna vertebral)</t>
  </si>
  <si>
    <t>Support: Strength, Stability, Backbone</t>
  </si>
  <si>
    <t>psḏ</t>
  </si>
  <si>
    <t>N16 (Desierto)</t>
  </si>
  <si>
    <t>Desert</t>
  </si>
  <si>
    <t>ḏsr</t>
  </si>
  <si>
    <t>Desierto</t>
  </si>
  <si>
    <t>G21 (Pájaro en vuelo)</t>
  </si>
  <si>
    <t>Freedom: Mobility, Spirit (Ba), Ascension</t>
  </si>
  <si>
    <t>N33 (Fuente)</t>
  </si>
  <si>
    <t>Fountain</t>
  </si>
  <si>
    <t>nbw</t>
  </si>
  <si>
    <t>Fuente</t>
  </si>
  <si>
    <t>H7 (Halcón con látigo)</t>
  </si>
  <si>
    <t>Dominion: Kingship, Authority, Control</t>
  </si>
  <si>
    <t>Pyramid</t>
  </si>
  <si>
    <t>Pirámide</t>
  </si>
  <si>
    <t>K3 (Pez)</t>
  </si>
  <si>
    <t>Abundance: Fertility, Water (determinative)</t>
  </si>
  <si>
    <t>P3 (Canoa)</t>
  </si>
  <si>
    <t>Canoe</t>
  </si>
  <si>
    <t>wšꜣ</t>
  </si>
  <si>
    <t>Canoa</t>
  </si>
  <si>
    <t>M2 (Caña de papiro)</t>
  </si>
  <si>
    <t>Growth: Freshness, Vitality</t>
  </si>
  <si>
    <t>Q4 (Candelabro)</t>
  </si>
  <si>
    <t>Candelabrum</t>
  </si>
  <si>
    <t>sšm</t>
  </si>
  <si>
    <t>Candelabro</t>
  </si>
  <si>
    <t>N21 (Estanque/Lago)</t>
  </si>
  <si>
    <t>Purity: Water, Primordial liquid</t>
  </si>
  <si>
    <t>š</t>
  </si>
  <si>
    <t>R22 (Dios)</t>
  </si>
  <si>
    <t>God</t>
  </si>
  <si>
    <t>Dios</t>
  </si>
  <si>
    <t>N41 (Camino con huellas)</t>
  </si>
  <si>
    <t>Path: Journey, Progress, Destiny</t>
  </si>
  <si>
    <t>mꜣt</t>
  </si>
  <si>
    <t>S42 (Corona roja)</t>
  </si>
  <si>
    <t>Red Crown</t>
  </si>
  <si>
    <t>O49 (Puerta abierta)</t>
  </si>
  <si>
    <t>Access: Passage, Freedom, Opportunity</t>
  </si>
  <si>
    <t>sbꜣ</t>
  </si>
  <si>
    <t>T19 (Arco y flecha)</t>
  </si>
  <si>
    <t>Bow and arrow</t>
  </si>
  <si>
    <t>Arco y flecha</t>
  </si>
  <si>
    <t>P4 (Mástil de barco)</t>
  </si>
  <si>
    <t>Support: Structure, Journey, Progress</t>
  </si>
  <si>
    <t>mꜣ</t>
  </si>
  <si>
    <t>U7 (Mano de mortero)</t>
  </si>
  <si>
    <t>Mortar hand</t>
  </si>
  <si>
    <t>šmꜥ</t>
  </si>
  <si>
    <t>Mano de mortero</t>
  </si>
  <si>
    <t>Q5 (Caja)</t>
  </si>
  <si>
    <t>Containment: Storage, Enclosure, Mystery</t>
  </si>
  <si>
    <t>ḏbꜣ</t>
  </si>
  <si>
    <t>V4 (Anillo/Lazo)</t>
  </si>
  <si>
    <t>Ring / Loop</t>
  </si>
  <si>
    <t>Anillo</t>
  </si>
  <si>
    <t>R25 (Shen ring)</t>
  </si>
  <si>
    <t>Eternity: Protection, Infinity</t>
  </si>
  <si>
    <t>W14 (Copa)</t>
  </si>
  <si>
    <t>Cup</t>
  </si>
  <si>
    <t>Copa</t>
  </si>
  <si>
    <t>T30 (Mazo)</t>
  </si>
  <si>
    <t>Construction: Work, Creation, Force</t>
  </si>
  <si>
    <t>ḥm</t>
  </si>
  <si>
    <t>X8 (Cruz ansada)</t>
  </si>
  <si>
    <t>Ankh (determinative)</t>
  </si>
  <si>
    <t>U13 (Mortero)</t>
  </si>
  <si>
    <t>Transformation: Preparation, Grinding</t>
  </si>
  <si>
    <t>Y2 (Rollo de papiro atado)</t>
  </si>
  <si>
    <t>Tied papyrus roll</t>
  </si>
  <si>
    <t>Rollo de papiro</t>
  </si>
  <si>
    <t>V15 (Nudo de cuerda)</t>
  </si>
  <si>
    <t>Security: Protection, Binding, Amulet</t>
  </si>
  <si>
    <t>sꜣ</t>
  </si>
  <si>
    <t>Z3 (Línea)</t>
  </si>
  <si>
    <t>Line</t>
  </si>
  <si>
    <t>Línea</t>
  </si>
  <si>
    <t>W20 (Jarra con asa)</t>
  </si>
  <si>
    <t>Liquid: Offering, Purity, Container</t>
  </si>
  <si>
    <t>Fallen enemy</t>
  </si>
  <si>
    <t>Enemigo</t>
  </si>
  <si>
    <t>X2 (Pan en una estera)</t>
  </si>
  <si>
    <t>Provision: Sustenance, Offering, Food</t>
  </si>
  <si>
    <t>Head</t>
  </si>
  <si>
    <t>Cabeza</t>
  </si>
  <si>
    <t>Y8 (Sello cilíndrico)</t>
  </si>
  <si>
    <t>Authority: Official, Ownership, Legitimacy</t>
  </si>
  <si>
    <t>ḫtm</t>
  </si>
  <si>
    <t>D10 (Cabello trenzado)</t>
  </si>
  <si>
    <t>Braided hair</t>
  </si>
  <si>
    <t>Cabello</t>
  </si>
  <si>
    <t>D26 (Lengua)</t>
  </si>
  <si>
    <t>Speech: Language, Command, Expression</t>
  </si>
  <si>
    <t>ns</t>
  </si>
  <si>
    <t>ⲗⲁⲥ (las)</t>
  </si>
  <si>
    <t>Bull</t>
  </si>
  <si>
    <t>Toro</t>
  </si>
  <si>
    <t>D40 (Cara)</t>
  </si>
  <si>
    <t>Presence: Aspect, Appearance, Front</t>
  </si>
  <si>
    <t>F25 (Espalda)</t>
  </si>
  <si>
    <t>Back</t>
  </si>
  <si>
    <t>pꜣq</t>
  </si>
  <si>
    <t>Espalda</t>
  </si>
  <si>
    <t>F32 (Columna vertebral y médula)</t>
  </si>
  <si>
    <t>Life Force: Strength, Vitality, Support</t>
  </si>
  <si>
    <t>sḏ</t>
  </si>
  <si>
    <t>G36 (Golondrina)</t>
  </si>
  <si>
    <t>Swallow</t>
  </si>
  <si>
    <t>wr</t>
  </si>
  <si>
    <t>Golondrina</t>
  </si>
  <si>
    <t>H1 (Pato)</t>
  </si>
  <si>
    <t>Protection: Son, Heir (phonetic sꜣ)</t>
  </si>
  <si>
    <t>H5 (Buitre)</t>
  </si>
  <si>
    <t>Vulture</t>
  </si>
  <si>
    <t>nr</t>
  </si>
  <si>
    <t>K6 (Rana)</t>
  </si>
  <si>
    <t>Fertility: Rebirth, Abundance (Heqet)</t>
  </si>
  <si>
    <t>ḫpr</t>
  </si>
  <si>
    <t>I6 (Lagarto)</t>
  </si>
  <si>
    <t>Lizard</t>
  </si>
  <si>
    <t>ḫpš</t>
  </si>
  <si>
    <t>Lagarto</t>
  </si>
  <si>
    <t>Existence: "I", Being (phonetic ỉ/j)</t>
  </si>
  <si>
    <t>K5 (Cocodrigo)</t>
  </si>
  <si>
    <t>Crocodile</t>
  </si>
  <si>
    <t>Cocodrilo</t>
  </si>
  <si>
    <t>Chaos: Wilderness, Foreign land, Disorder</t>
  </si>
  <si>
    <t>M10 (Flor)</t>
  </si>
  <si>
    <t>Flower</t>
  </si>
  <si>
    <t>Source: Purity, Origin, Flow</t>
  </si>
  <si>
    <t>Starry sky</t>
  </si>
  <si>
    <t>P5 (Remo)</t>
  </si>
  <si>
    <t>Effort: Propulsion, Guidance, Movement</t>
  </si>
  <si>
    <t>wḥm</t>
  </si>
  <si>
    <t>N36 (Camino)</t>
  </si>
  <si>
    <t>Path</t>
  </si>
  <si>
    <t>R1 (Banderola)</t>
  </si>
  <si>
    <t>Divine: Sacred, Holy, God's presence</t>
  </si>
  <si>
    <t>O39 (Puerta)</t>
  </si>
  <si>
    <t>Door</t>
  </si>
  <si>
    <t>Puerta</t>
  </si>
  <si>
    <t>S38 (Corona de plumas)</t>
  </si>
  <si>
    <t>Royalty: Divinity, Adornment, Status</t>
  </si>
  <si>
    <t>šwty</t>
  </si>
  <si>
    <t>Oar</t>
  </si>
  <si>
    <t>Remo</t>
  </si>
  <si>
    <t>T26 (Cuchillo de carnicero)</t>
  </si>
  <si>
    <t>Ritual: Sacrifice, Preparation, Cleansing</t>
  </si>
  <si>
    <t>nm</t>
  </si>
  <si>
    <t>Lamp</t>
  </si>
  <si>
    <t>Lámpara</t>
  </si>
  <si>
    <t>U26 (Plato con comida)</t>
  </si>
  <si>
    <t>Provision: Sustenance, Offering, Nourishment</t>
  </si>
  <si>
    <t>hꜣ</t>
  </si>
  <si>
    <t>Djed pillar (stability)</t>
  </si>
  <si>
    <t>Columna Dyed</t>
  </si>
  <si>
    <t>W19 (Bol)</t>
  </si>
  <si>
    <t>Offering: Container, Purity, Ritual</t>
  </si>
  <si>
    <t>Ostrich feather</t>
  </si>
  <si>
    <t>X6 (Vino)</t>
  </si>
  <si>
    <t>Joy: Festival, Offering, Intoxication, Celebration</t>
  </si>
  <si>
    <t>ỉrp</t>
  </si>
  <si>
    <t>T28 (Cuchillo)</t>
  </si>
  <si>
    <t>Knife</t>
  </si>
  <si>
    <t>ds</t>
  </si>
  <si>
    <t>Cuchillo</t>
  </si>
  <si>
    <t>A17 (Brazos en oración)</t>
  </si>
  <si>
    <t>Aspiration: Prayer, Supplication, Hope</t>
  </si>
  <si>
    <t>U10 (Arado)</t>
  </si>
  <si>
    <t>Plough</t>
  </si>
  <si>
    <t>sꜣw</t>
  </si>
  <si>
    <t>Arado</t>
  </si>
  <si>
    <t>Youth: Beauty, Adornment</t>
  </si>
  <si>
    <t>Basket</t>
  </si>
  <si>
    <t>Canasta</t>
  </si>
  <si>
    <t>E13 (Gacela)</t>
  </si>
  <si>
    <t>Swiftness: Agility, Elusiveness</t>
  </si>
  <si>
    <t>gḥs</t>
  </si>
  <si>
    <t>Pot</t>
  </si>
  <si>
    <t>Olla</t>
  </si>
  <si>
    <t>Greatness: Magnitude, Abundance (phonetic wr)</t>
  </si>
  <si>
    <t>Wine</t>
  </si>
  <si>
    <t>Vino</t>
  </si>
  <si>
    <t>Protection: Danger, Serqet, Healing</t>
  </si>
  <si>
    <t>Y6 (Caja de escriba)</t>
  </si>
  <si>
    <t>Scribe's box</t>
  </si>
  <si>
    <t>Caja de escriba</t>
  </si>
  <si>
    <t>P10 (Ancla)</t>
  </si>
  <si>
    <t>Stability: Security, Mooring, Firmness</t>
  </si>
  <si>
    <t>mꜣnḫ</t>
  </si>
  <si>
    <t>Number 1</t>
  </si>
  <si>
    <t>Número 1</t>
  </si>
  <si>
    <t>Warfare: Power, Defense, Hunting</t>
  </si>
  <si>
    <t>Raised arms (kꜣ)</t>
  </si>
  <si>
    <t>Brazos</t>
  </si>
  <si>
    <t>Transformation: Work, Preparation, Action</t>
  </si>
  <si>
    <t>D37 (Mano)</t>
  </si>
  <si>
    <t>Hand (d)</t>
  </si>
  <si>
    <t>Mano</t>
  </si>
  <si>
    <t>Eternity: Infinity, Protection, Circuit</t>
  </si>
  <si>
    <t>D46 (Pie)</t>
  </si>
  <si>
    <t>Foot (b)</t>
  </si>
  <si>
    <t>b</t>
  </si>
  <si>
    <t>ⲃ (b)</t>
  </si>
  <si>
    <t>Pie</t>
  </si>
  <si>
    <t>Essence: Being, "Y", "Of" (phonetic y)</t>
  </si>
  <si>
    <t>Gazelle</t>
  </si>
  <si>
    <t>Gacela</t>
  </si>
  <si>
    <t>Existence: "I", Being (phonetic ỉ)</t>
  </si>
  <si>
    <t>Spine</t>
  </si>
  <si>
    <t>Columna</t>
  </si>
  <si>
    <t>Wisdom: Night, Silence (phonetic m)</t>
  </si>
  <si>
    <t>G4 (Halcón con doble corona)</t>
  </si>
  <si>
    <t>Falcon with double crown</t>
  </si>
  <si>
    <t>nbty</t>
  </si>
  <si>
    <t>Motherhood: Protection, Mut (phonetic ꜣ)</t>
  </si>
  <si>
    <t>Path: Destiny, Way, Direction</t>
  </si>
  <si>
    <t>Cobra</t>
  </si>
  <si>
    <t>Propulsion: Wind, Journey, Movement</t>
  </si>
  <si>
    <t>Frog</t>
  </si>
  <si>
    <t>Rana</t>
  </si>
  <si>
    <t>Q2 (Trípode)</t>
  </si>
  <si>
    <t>Support: Stability, Foundation</t>
  </si>
  <si>
    <t>ḫrw</t>
  </si>
  <si>
    <t>Flowering papyrus</t>
  </si>
  <si>
    <t>R15 (Isis)</t>
  </si>
  <si>
    <t>Isis: Magic, Motherhood, Protection, Afterlife</t>
  </si>
  <si>
    <t>ꜣs.t</t>
  </si>
  <si>
    <t>ⲏⲥⲉ (ese)</t>
  </si>
  <si>
    <t>N18 (Desierto/País extranjero)</t>
  </si>
  <si>
    <t>Desert / Foreign country</t>
  </si>
  <si>
    <t>ḫꜣs.t</t>
  </si>
  <si>
    <t>R16 (Osiris)</t>
  </si>
  <si>
    <t>Osiris: Underworld, Rebirth, Justice, Eternity</t>
  </si>
  <si>
    <t>wsỉr</t>
  </si>
  <si>
    <t>ⲟⲩⲥⲓⲣⲉ (ousire)</t>
  </si>
  <si>
    <t>Town / City</t>
  </si>
  <si>
    <t>Ciudad</t>
  </si>
  <si>
    <t>G3 (Dios Seth)</t>
  </si>
  <si>
    <t>Seth: Chaos, Disorder, Foreign, Strength (complex deity)</t>
  </si>
  <si>
    <t>sṯḫ</t>
  </si>
  <si>
    <t>Wall</t>
  </si>
  <si>
    <t>Pared</t>
  </si>
  <si>
    <t>G7 (Dios Thoth)</t>
  </si>
  <si>
    <t>Thoth: Wisdom, Writing, Knowledge, Moon, Balance</t>
  </si>
  <si>
    <t>Anchor</t>
  </si>
  <si>
    <t>Ancla</t>
  </si>
  <si>
    <t>R12 (Bastet)</t>
  </si>
  <si>
    <t>Bastet: Protection, Joy, Fertility, Cats</t>
  </si>
  <si>
    <t>bꜣs.t</t>
  </si>
  <si>
    <t>Tripod</t>
  </si>
  <si>
    <t>Trípode</t>
  </si>
  <si>
    <t>R13 (Anubis)</t>
  </si>
  <si>
    <t>Anubis: Mummification, Afterlife, Guide of souls</t>
  </si>
  <si>
    <t>ỉnpw</t>
  </si>
  <si>
    <t>R21 (Tyet)</t>
  </si>
  <si>
    <t>Tyet knot (Isis knot)</t>
  </si>
  <si>
    <t>ṯt</t>
  </si>
  <si>
    <t>Tyet</t>
  </si>
  <si>
    <t>M3 (Flor de loto)</t>
  </si>
  <si>
    <t>Purity: Beauty, Rebirth</t>
  </si>
  <si>
    <t>S28 (Corona de plumas)</t>
  </si>
  <si>
    <t>Feather crown</t>
  </si>
  <si>
    <t>Transition: Entrance, Passage, Threshold</t>
  </si>
  <si>
    <t>Butcher's knife</t>
  </si>
  <si>
    <t>V24 (Lazo)</t>
  </si>
  <si>
    <t>Bond: Connection, Unity</t>
  </si>
  <si>
    <t>Dish with food</t>
  </si>
  <si>
    <t>Plato</t>
  </si>
  <si>
    <t>Receiving: Offering, Purity</t>
  </si>
  <si>
    <t>V14 (Nudo de tela)</t>
  </si>
  <si>
    <t>Cloth knot (sꜣ)</t>
  </si>
  <si>
    <t>Nudo</t>
  </si>
  <si>
    <t>X7 (Pan y agua)</t>
  </si>
  <si>
    <t>Sustenance: Life, Basic provisions</t>
  </si>
  <si>
    <t>Bowl</t>
  </si>
  <si>
    <t>Bol</t>
  </si>
  <si>
    <t>Z11 (Número 1000)</t>
  </si>
  <si>
    <t>Multitude: Abundance, Immensity</t>
  </si>
  <si>
    <t>ḫꜣ</t>
  </si>
  <si>
    <t>Bread and water</t>
  </si>
  <si>
    <t>Pan y agua</t>
  </si>
  <si>
    <t>Humanity: Individual, Being, Person</t>
  </si>
  <si>
    <t>rmṯ</t>
  </si>
  <si>
    <t>Y7 (Papiro con sello)</t>
  </si>
  <si>
    <t>Papyrus with seal</t>
  </si>
  <si>
    <t>Femininity: Woman, Being, Person</t>
  </si>
  <si>
    <t>s.t</t>
  </si>
  <si>
    <t>Number 10</t>
  </si>
  <si>
    <t>Número 10</t>
  </si>
  <si>
    <t>Presence: Face, Appearance</t>
  </si>
  <si>
    <t>Breathing: Life, Speaking, Sensing</t>
  </si>
  <si>
    <t>Lightness: Ma'at, Judgment (heart weighed against feather)</t>
  </si>
  <si>
    <t>S35 (Escalera)</t>
  </si>
  <si>
    <t>Ascension: Rise, Upward movement, Journey to heavens</t>
  </si>
  <si>
    <t>rmn</t>
  </si>
  <si>
    <r>
      <rPr>
        <u/>
        <sz val="10"/>
        <color rgb="FF1155CC"/>
        <rFont val="Arial"/>
      </rPr>
      <t>https://1drv.ms/f/c/</t>
    </r>
    <r>
      <rPr>
        <sz val="10"/>
        <color rgb="FF000000"/>
        <rFont val="Arial"/>
        <scheme val="minor"/>
      </rPr>
      <t>cfb7faaa377af7cd/ElBweKVJuwVEpzma9y-rG-oBPboKOSTdBvq0aRB_NkaU8A?e=xuqGHx</t>
    </r>
  </si>
  <si>
    <t>忍</t>
  </si>
  <si>
    <t>rěn</t>
  </si>
  <si>
    <t>Paciencia</t>
  </si>
  <si>
    <t>Patience</t>
  </si>
  <si>
    <t>福</t>
  </si>
  <si>
    <t>fú</t>
  </si>
  <si>
    <t>Fortuna</t>
  </si>
  <si>
    <t>情</t>
  </si>
  <si>
    <t>jìng</t>
  </si>
  <si>
    <t>Tranquilidad / Calma</t>
  </si>
  <si>
    <t>Confianza / Fe</t>
  </si>
  <si>
    <t>信</t>
  </si>
  <si>
    <t>xìn</t>
  </si>
  <si>
    <t>勇</t>
  </si>
  <si>
    <t>Valor</t>
  </si>
  <si>
    <t>空</t>
  </si>
  <si>
    <t xml:space="preserve">Vacío </t>
  </si>
  <si>
    <t>kōng</t>
  </si>
  <si>
    <t>Mente / Espíritu</t>
  </si>
  <si>
    <t>Amor / Pasión</t>
  </si>
  <si>
    <t>Trust / Faith</t>
  </si>
  <si>
    <t>Love / Passion</t>
  </si>
  <si>
    <t>Home</t>
  </si>
  <si>
    <t>Song</t>
  </si>
  <si>
    <t>Peace</t>
  </si>
  <si>
    <t>Scent</t>
  </si>
  <si>
    <t>Energy</t>
  </si>
  <si>
    <t>Tranquility / Calm</t>
  </si>
  <si>
    <t>Beauty</t>
  </si>
  <si>
    <t>Eternal</t>
  </si>
  <si>
    <t>Chaos</t>
  </si>
  <si>
    <t>Rain</t>
  </si>
  <si>
    <t>Happiness</t>
  </si>
  <si>
    <t>Treasure</t>
  </si>
  <si>
    <t>Dream</t>
  </si>
  <si>
    <t>Day</t>
  </si>
  <si>
    <t>Empty</t>
  </si>
  <si>
    <t>Mind / Spirit</t>
  </si>
  <si>
    <t>Good luck</t>
  </si>
  <si>
    <t>Tear</t>
  </si>
  <si>
    <t>Harmony</t>
  </si>
  <si>
    <t>Wisdom</t>
  </si>
  <si>
    <t>Cloud</t>
  </si>
  <si>
    <t>Kiss</t>
  </si>
  <si>
    <t>Blood</t>
  </si>
  <si>
    <t>Person</t>
  </si>
  <si>
    <t>Longevity</t>
  </si>
  <si>
    <t>Darkness</t>
  </si>
  <si>
    <t>Light</t>
  </si>
  <si>
    <t>Water</t>
  </si>
  <si>
    <t>Courage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</si>
</sst>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Arial"/>
      <scheme val="minor"/>
    </font>
    <font>
      <sz val="10"/>
      <color theme="1"/>
      <name val="Arial"/>
    </font>
    <font>
      <sz val="10"/>
      <color theme="1"/>
      <name val="Arial"/>
      <scheme val="minor"/>
    </font>
    <font>
      <sz val="9"/>
      <color theme="1"/>
      <name val="Arial"/>
    </font>
    <font>
      <b/>
      <sz val="10"/>
      <color rgb="FF000000"/>
      <name val="Arial"/>
      <scheme val="minor"/>
    </font>
    <font>
      <sz val="11"/>
      <color theme="1"/>
      <name val="Calibri"/>
    </font>
    <font>
      <b/>
      <sz val="14"/>
      <color theme="1"/>
      <name val="Arial"/>
      <scheme val="minor"/>
    </font>
    <font>
      <u/>
      <sz val="10"/>
      <color rgb="FF0000FF"/>
      <name val="Arial"/>
    </font>
    <font>
      <b/>
      <sz val="11"/>
      <color theme="1"/>
      <name val="Calibri"/>
    </font>
    <font>
      <u/>
      <sz val="10"/>
      <color rgb="FF1155CC"/>
      <name val="Arial"/>
    </font>
    <font>
      <b/>
      <sz val="10"/>
      <color rgb="FF000000"/>
      <name val="Arial"/>
      <family val="2"/>
      <scheme val="minor"/>
    </font>
    <font>
      <sz val="10"/>
      <color rgb="FF000000"/>
      <name val="Arial"/>
      <family val="2"/>
      <scheme val="minor"/>
    </font>
    <font>
      <sz val="9"/>
      <name val="Arial"/>
      <family val="2"/>
      <scheme val="minor"/>
    </font>
    <font>
      <sz val="9"/>
      <name val="Arial"/>
      <family val="2"/>
    </font>
    <font>
      <sz val="10"/>
      <color theme="1"/>
      <name val="Arial"/>
      <family val="2"/>
    </font>
    <font>
      <sz val="26"/>
      <color theme="1"/>
      <name val="Zen Antique"/>
    </font>
    <font>
      <sz val="26"/>
      <color rgb="FF000000"/>
      <name val="Zen Antique"/>
    </font>
    <font>
      <sz val="12"/>
      <color rgb="FFF8FAFF"/>
      <name val="Segoe UI"/>
      <family val="2"/>
    </font>
    <font>
      <b/>
      <sz val="10"/>
      <color theme="1"/>
      <name val="Arial"/>
      <family val="2"/>
      <scheme val="minor"/>
    </font>
  </fonts>
  <fills count="4">
    <fill>
      <patternFill patternType="none"/>
    </fill>
    <fill>
      <patternFill patternType="gray125"/>
    </fill>
    <fill>
      <patternFill patternType="solid">
        <fgColor rgb="FFFF9900"/>
        <bgColor rgb="FFFF9900"/>
      </patternFill>
    </fill>
    <fill>
      <patternFill patternType="solid">
        <fgColor rgb="FFFFFF00"/>
        <bgColor rgb="FFFFFF00"/>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2" borderId="0" xfId="0" applyFont="1" applyFill="1"/>
    <xf numFmtId="0" fontId="3" fillId="3" borderId="0" xfId="0" applyFont="1" applyFill="1"/>
    <xf numFmtId="0" fontId="2" fillId="0" borderId="0" xfId="0" applyFont="1" applyAlignment="1">
      <alignment horizontal="right"/>
    </xf>
    <xf numFmtId="0" fontId="1" fillId="0" borderId="0" xfId="0" applyFont="1" applyAlignment="1">
      <alignment horizontal="center"/>
    </xf>
    <xf numFmtId="0" fontId="6" fillId="0" borderId="0" xfId="0" applyFont="1"/>
    <xf numFmtId="0" fontId="7" fillId="0" borderId="0" xfId="0" applyFont="1"/>
    <xf numFmtId="0" fontId="8" fillId="0" borderId="0" xfId="0" applyFont="1"/>
    <xf numFmtId="0" fontId="11" fillId="0" borderId="1" xfId="0" applyFont="1" applyBorder="1" applyAlignment="1">
      <alignment horizontal="right" wrapText="1"/>
    </xf>
    <xf numFmtId="0" fontId="12" fillId="0" borderId="1" xfId="0" applyFont="1" applyBorder="1" applyAlignment="1">
      <alignment wrapText="1"/>
    </xf>
    <xf numFmtId="0" fontId="13" fillId="0" borderId="0" xfId="0" applyFont="1"/>
    <xf numFmtId="0" fontId="14" fillId="0" borderId="0" xfId="0" applyFont="1" applyAlignment="1">
      <alignment horizontal="left"/>
    </xf>
    <xf numFmtId="0" fontId="16" fillId="0" borderId="0" xfId="0" applyFont="1"/>
    <xf numFmtId="0" fontId="17" fillId="0" borderId="1" xfId="0" applyFont="1" applyBorder="1" applyAlignment="1">
      <alignment wrapText="1"/>
    </xf>
    <xf numFmtId="0" fontId="15" fillId="0" borderId="0" xfId="0" applyFont="1"/>
    <xf numFmtId="0" fontId="18" fillId="0" borderId="0" xfId="0" applyFont="1"/>
    <xf numFmtId="0" fontId="1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962025</xdr:colOff>
      <xdr:row>0</xdr:row>
      <xdr:rowOff>200025</xdr:rowOff>
    </xdr:from>
    <xdr:ext cx="923925" cy="923925"/>
    <xdr:pic>
      <xdr:nvPicPr>
        <xdr:cNvPr id="2" name="image2.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666750</xdr:colOff>
      <xdr:row>4</xdr:row>
      <xdr:rowOff>28575</xdr:rowOff>
    </xdr:from>
    <xdr:ext cx="923925" cy="923925"/>
    <xdr:pic>
      <xdr:nvPicPr>
        <xdr:cNvPr id="3" name="image1.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https://1drv.ms/f/c/cfb7faaa377af7cd/ElBweKVJuwVEpzma9y-rG-oBPboKOSTdBvq0aRB_NkaU8A?e=xuqG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8"/>
  <sheetViews>
    <sheetView tabSelected="1" zoomScaleNormal="100" workbookViewId="0">
      <selection activeCell="F8" sqref="F8"/>
    </sheetView>
  </sheetViews>
  <sheetFormatPr baseColWidth="10" defaultColWidth="12.5703125" defaultRowHeight="15.75" customHeight="1" x14ac:dyDescent="0.2"/>
  <cols>
    <col min="4" max="4" width="30.85546875" customWidth="1"/>
    <col min="9" max="9" width="93.140625" customWidth="1"/>
  </cols>
  <sheetData>
    <row r="1" spans="1:26" ht="12.75" x14ac:dyDescent="0.2">
      <c r="A1" s="1" t="s">
        <v>0</v>
      </c>
      <c r="B1" s="1" t="s">
        <v>1</v>
      </c>
      <c r="C1" s="1" t="s">
        <v>2</v>
      </c>
      <c r="D1" s="1" t="s">
        <v>3</v>
      </c>
      <c r="E1" s="20" t="s">
        <v>4</v>
      </c>
      <c r="F1" s="1"/>
      <c r="G1" s="1"/>
      <c r="H1" s="1"/>
      <c r="I1" s="1"/>
      <c r="J1" s="1"/>
      <c r="K1" s="1"/>
      <c r="L1" s="1"/>
      <c r="M1" s="1"/>
      <c r="N1" s="1"/>
      <c r="O1" s="1"/>
      <c r="P1" s="1"/>
      <c r="Q1" s="1"/>
      <c r="R1" s="1"/>
      <c r="S1" s="1"/>
      <c r="T1" s="1"/>
      <c r="U1" s="1"/>
      <c r="V1" s="1"/>
      <c r="W1" s="1"/>
      <c r="X1" s="1"/>
      <c r="Y1" s="1"/>
      <c r="Z1" s="1"/>
    </row>
    <row r="2" spans="1:26" ht="43.5" x14ac:dyDescent="0.85">
      <c r="A2" s="1">
        <v>1</v>
      </c>
      <c r="B2" s="16" t="s">
        <v>8</v>
      </c>
      <c r="C2" s="2" t="s">
        <v>9</v>
      </c>
      <c r="D2" s="2" t="s">
        <v>10</v>
      </c>
      <c r="E2" s="2" t="s">
        <v>11</v>
      </c>
      <c r="F2" s="3"/>
      <c r="G2" s="3"/>
      <c r="H2" s="3"/>
      <c r="I2" s="15"/>
    </row>
    <row r="3" spans="1:26" ht="43.5" x14ac:dyDescent="0.85">
      <c r="A3" s="1">
        <v>2</v>
      </c>
      <c r="B3" s="16" t="s">
        <v>12</v>
      </c>
      <c r="C3" s="3" t="s">
        <v>13</v>
      </c>
      <c r="D3" s="3" t="s">
        <v>14</v>
      </c>
      <c r="E3" s="2" t="s">
        <v>462</v>
      </c>
      <c r="F3" s="3"/>
      <c r="G3" s="3"/>
      <c r="H3" s="3"/>
      <c r="I3" s="15"/>
    </row>
    <row r="4" spans="1:26" ht="43.5" x14ac:dyDescent="0.85">
      <c r="A4" s="1">
        <v>3</v>
      </c>
      <c r="B4" s="16" t="s">
        <v>15</v>
      </c>
      <c r="C4" s="3" t="s">
        <v>16</v>
      </c>
      <c r="D4" s="3" t="s">
        <v>17</v>
      </c>
      <c r="E4" s="2" t="s">
        <v>446</v>
      </c>
      <c r="F4" s="3"/>
      <c r="G4" s="3"/>
      <c r="H4" s="3"/>
      <c r="I4" s="15"/>
    </row>
    <row r="5" spans="1:26" ht="43.5" x14ac:dyDescent="0.85">
      <c r="A5" s="1">
        <v>4</v>
      </c>
      <c r="B5" s="16" t="s">
        <v>1326</v>
      </c>
      <c r="C5" s="18" t="s">
        <v>1327</v>
      </c>
      <c r="D5" s="18" t="s">
        <v>1325</v>
      </c>
      <c r="E5" s="2" t="s">
        <v>1335</v>
      </c>
      <c r="F5" s="3"/>
      <c r="G5" s="3"/>
      <c r="H5" s="3"/>
      <c r="I5" s="15"/>
    </row>
    <row r="6" spans="1:26" ht="43.5" x14ac:dyDescent="0.85">
      <c r="A6" s="1">
        <v>5</v>
      </c>
      <c r="B6" s="16" t="s">
        <v>1328</v>
      </c>
      <c r="C6" s="18" t="s">
        <v>74</v>
      </c>
      <c r="D6" s="18" t="s">
        <v>1329</v>
      </c>
      <c r="E6" s="18" t="s">
        <v>1365</v>
      </c>
      <c r="F6" s="3"/>
      <c r="G6" s="3"/>
      <c r="H6" s="3"/>
      <c r="I6" s="15"/>
    </row>
    <row r="7" spans="1:26" ht="43.5" x14ac:dyDescent="0.85">
      <c r="A7" s="1">
        <v>6</v>
      </c>
      <c r="B7" s="16" t="s">
        <v>1322</v>
      </c>
      <c r="C7" s="2" t="s">
        <v>20</v>
      </c>
      <c r="D7" s="18" t="s">
        <v>1334</v>
      </c>
      <c r="E7" s="2" t="s">
        <v>1336</v>
      </c>
      <c r="F7" s="3"/>
      <c r="G7" s="3"/>
      <c r="H7" s="3"/>
      <c r="I7" s="15"/>
    </row>
    <row r="8" spans="1:26" ht="43.5" x14ac:dyDescent="0.85">
      <c r="A8" s="1">
        <v>7</v>
      </c>
      <c r="B8" s="16" t="s">
        <v>22</v>
      </c>
      <c r="C8" s="3" t="s">
        <v>23</v>
      </c>
      <c r="D8" s="3" t="s">
        <v>24</v>
      </c>
      <c r="E8" s="2" t="s">
        <v>454</v>
      </c>
      <c r="F8" s="3"/>
      <c r="G8" s="3"/>
      <c r="H8" s="3"/>
      <c r="I8" s="15"/>
    </row>
    <row r="9" spans="1:26" ht="43.5" x14ac:dyDescent="0.85">
      <c r="A9" s="1">
        <v>8</v>
      </c>
      <c r="B9" s="16" t="s">
        <v>25</v>
      </c>
      <c r="C9" s="3" t="s">
        <v>26</v>
      </c>
      <c r="D9" s="3" t="s">
        <v>27</v>
      </c>
      <c r="E9" s="2" t="s">
        <v>456</v>
      </c>
      <c r="F9" s="3"/>
      <c r="G9" s="3"/>
      <c r="H9" s="3"/>
      <c r="I9" s="15"/>
    </row>
    <row r="10" spans="1:26" ht="43.5" x14ac:dyDescent="0.85">
      <c r="A10" s="1">
        <v>9</v>
      </c>
      <c r="B10" s="16" t="s">
        <v>28</v>
      </c>
      <c r="C10" s="3" t="s">
        <v>29</v>
      </c>
      <c r="D10" s="3" t="s">
        <v>30</v>
      </c>
      <c r="E10" s="2" t="s">
        <v>452</v>
      </c>
      <c r="F10" s="3"/>
      <c r="G10" s="3"/>
      <c r="H10" s="3"/>
      <c r="I10" s="15"/>
    </row>
    <row r="11" spans="1:26" ht="43.5" x14ac:dyDescent="0.85">
      <c r="A11" s="1">
        <v>10</v>
      </c>
      <c r="B11" s="16" t="s">
        <v>31</v>
      </c>
      <c r="C11" s="3" t="s">
        <v>32</v>
      </c>
      <c r="D11" s="3" t="s">
        <v>33</v>
      </c>
      <c r="E11" s="2" t="s">
        <v>1337</v>
      </c>
      <c r="F11" s="3"/>
      <c r="G11" s="3"/>
      <c r="H11" s="3"/>
      <c r="I11" s="15"/>
    </row>
    <row r="12" spans="1:26" ht="43.5" x14ac:dyDescent="0.85">
      <c r="A12" s="1">
        <v>11</v>
      </c>
      <c r="B12" s="16" t="s">
        <v>34</v>
      </c>
      <c r="C12" s="3" t="s">
        <v>35</v>
      </c>
      <c r="D12" s="3" t="s">
        <v>36</v>
      </c>
      <c r="E12" s="2" t="s">
        <v>458</v>
      </c>
      <c r="F12" s="3"/>
      <c r="G12" s="3"/>
      <c r="H12" s="3"/>
      <c r="I12" s="15"/>
    </row>
    <row r="13" spans="1:26" ht="43.5" x14ac:dyDescent="0.85">
      <c r="A13" s="1">
        <v>12</v>
      </c>
      <c r="B13" s="16" t="s">
        <v>37</v>
      </c>
      <c r="C13" s="3" t="s">
        <v>38</v>
      </c>
      <c r="D13" s="3" t="s">
        <v>39</v>
      </c>
      <c r="E13" s="2" t="s">
        <v>1338</v>
      </c>
      <c r="F13" s="3"/>
      <c r="G13" s="3"/>
      <c r="H13" s="3"/>
      <c r="I13" s="15"/>
    </row>
    <row r="14" spans="1:26" ht="43.5" x14ac:dyDescent="0.85">
      <c r="A14" s="1">
        <v>13</v>
      </c>
      <c r="B14" s="16" t="s">
        <v>40</v>
      </c>
      <c r="C14" s="3" t="s">
        <v>41</v>
      </c>
      <c r="D14" s="3" t="s">
        <v>42</v>
      </c>
      <c r="E14" s="2" t="s">
        <v>450</v>
      </c>
      <c r="F14" s="3"/>
      <c r="G14" s="3"/>
      <c r="H14" s="3"/>
      <c r="I14" s="15"/>
    </row>
    <row r="15" spans="1:26" ht="43.5" x14ac:dyDescent="0.85">
      <c r="A15" s="1">
        <v>14</v>
      </c>
      <c r="B15" s="16" t="s">
        <v>43</v>
      </c>
      <c r="C15" s="3" t="s">
        <v>44</v>
      </c>
      <c r="D15" s="3" t="s">
        <v>45</v>
      </c>
      <c r="E15" s="2" t="s">
        <v>468</v>
      </c>
      <c r="F15" s="3"/>
      <c r="G15" s="3"/>
      <c r="H15" s="3"/>
      <c r="I15" s="15"/>
    </row>
    <row r="16" spans="1:26" ht="43.5" x14ac:dyDescent="0.85">
      <c r="A16" s="1">
        <v>15</v>
      </c>
      <c r="B16" s="16" t="s">
        <v>1319</v>
      </c>
      <c r="C16" s="18" t="s">
        <v>1320</v>
      </c>
      <c r="D16" s="18" t="s">
        <v>1321</v>
      </c>
      <c r="E16" s="2" t="s">
        <v>476</v>
      </c>
      <c r="F16" s="3"/>
      <c r="G16" s="3"/>
      <c r="H16" s="3"/>
      <c r="I16" s="15"/>
    </row>
    <row r="17" spans="1:12" ht="43.5" x14ac:dyDescent="0.85">
      <c r="A17" s="1">
        <v>16</v>
      </c>
      <c r="B17" s="16" t="s">
        <v>47</v>
      </c>
      <c r="C17" s="3" t="s">
        <v>48</v>
      </c>
      <c r="D17" s="3" t="s">
        <v>49</v>
      </c>
      <c r="E17" s="2" t="s">
        <v>472</v>
      </c>
      <c r="F17" s="3"/>
      <c r="G17" s="3"/>
      <c r="H17" s="3"/>
      <c r="I17" s="15"/>
    </row>
    <row r="18" spans="1:12" ht="43.5" x14ac:dyDescent="0.85">
      <c r="A18" s="1">
        <v>17</v>
      </c>
      <c r="B18" s="16" t="s">
        <v>50</v>
      </c>
      <c r="C18" s="3" t="s">
        <v>51</v>
      </c>
      <c r="D18" s="3" t="s">
        <v>52</v>
      </c>
      <c r="E18" s="2" t="s">
        <v>474</v>
      </c>
      <c r="F18" s="3"/>
      <c r="G18" s="3"/>
      <c r="H18" s="3"/>
      <c r="I18" s="15"/>
    </row>
    <row r="19" spans="1:12" ht="43.5" x14ac:dyDescent="0.85">
      <c r="A19" s="1">
        <v>18</v>
      </c>
      <c r="B19" s="16" t="s">
        <v>53</v>
      </c>
      <c r="C19" s="2" t="s">
        <v>54</v>
      </c>
      <c r="D19" s="2" t="s">
        <v>55</v>
      </c>
      <c r="E19" s="2" t="s">
        <v>1339</v>
      </c>
      <c r="F19" s="3"/>
      <c r="G19" s="3"/>
      <c r="H19" s="3"/>
      <c r="I19" s="15"/>
    </row>
    <row r="20" spans="1:12" ht="43.5" x14ac:dyDescent="0.85">
      <c r="A20" s="1">
        <v>19</v>
      </c>
      <c r="B20" s="16" t="s">
        <v>56</v>
      </c>
      <c r="C20" s="2" t="s">
        <v>57</v>
      </c>
      <c r="D20" s="2" t="s">
        <v>58</v>
      </c>
      <c r="E20" s="2" t="s">
        <v>1153</v>
      </c>
      <c r="F20" s="3"/>
      <c r="G20" s="3"/>
      <c r="H20" s="3"/>
      <c r="I20" s="15"/>
    </row>
    <row r="21" spans="1:12" ht="43.5" x14ac:dyDescent="0.85">
      <c r="A21" s="1">
        <v>20</v>
      </c>
      <c r="B21" s="16" t="s">
        <v>59</v>
      </c>
      <c r="C21" s="2" t="s">
        <v>60</v>
      </c>
      <c r="D21" s="2" t="s">
        <v>61</v>
      </c>
      <c r="E21" s="2" t="s">
        <v>1340</v>
      </c>
      <c r="F21" s="3"/>
      <c r="G21" s="3"/>
      <c r="H21" s="3"/>
      <c r="I21" s="15"/>
      <c r="J21" s="2"/>
      <c r="K21" s="2"/>
      <c r="L21" s="2"/>
    </row>
    <row r="22" spans="1:12" ht="43.5" x14ac:dyDescent="0.85">
      <c r="A22" s="1">
        <v>21</v>
      </c>
      <c r="B22" s="16" t="s">
        <v>62</v>
      </c>
      <c r="C22" s="2" t="s">
        <v>63</v>
      </c>
      <c r="D22" s="2" t="s">
        <v>64</v>
      </c>
      <c r="E22" s="2" t="s">
        <v>1341</v>
      </c>
      <c r="F22" s="3"/>
      <c r="G22" s="3"/>
      <c r="H22" s="3"/>
      <c r="I22" s="19"/>
    </row>
    <row r="23" spans="1:12" ht="43.5" x14ac:dyDescent="0.85">
      <c r="A23" s="1">
        <v>22</v>
      </c>
      <c r="B23" s="16" t="s">
        <v>65</v>
      </c>
      <c r="C23" s="2" t="s">
        <v>66</v>
      </c>
      <c r="D23" s="2" t="s">
        <v>67</v>
      </c>
      <c r="E23" s="2" t="s">
        <v>68</v>
      </c>
      <c r="F23" s="3"/>
      <c r="G23" s="3"/>
      <c r="H23" s="3"/>
      <c r="I23" s="15"/>
    </row>
    <row r="24" spans="1:12" ht="43.5" x14ac:dyDescent="0.85">
      <c r="A24" s="1">
        <v>23</v>
      </c>
      <c r="B24" s="16" t="s">
        <v>207</v>
      </c>
      <c r="C24" s="18" t="s">
        <v>1323</v>
      </c>
      <c r="D24" s="18" t="s">
        <v>1324</v>
      </c>
      <c r="E24" s="2" t="s">
        <v>1342</v>
      </c>
      <c r="F24" s="3"/>
      <c r="G24" s="3"/>
      <c r="H24" s="3"/>
      <c r="I24" s="15"/>
    </row>
    <row r="25" spans="1:12" ht="43.5" x14ac:dyDescent="0.85">
      <c r="A25" s="1">
        <v>24</v>
      </c>
      <c r="B25" s="16" t="s">
        <v>70</v>
      </c>
      <c r="C25" s="2" t="s">
        <v>71</v>
      </c>
      <c r="D25" s="2" t="s">
        <v>72</v>
      </c>
      <c r="E25" s="2" t="s">
        <v>1343</v>
      </c>
      <c r="F25" s="3"/>
      <c r="G25" s="3"/>
      <c r="H25" s="3"/>
      <c r="I25" s="15"/>
    </row>
    <row r="26" spans="1:12" ht="43.5" x14ac:dyDescent="0.85">
      <c r="A26" s="1">
        <v>25</v>
      </c>
      <c r="B26" s="16" t="s">
        <v>73</v>
      </c>
      <c r="C26" s="2" t="s">
        <v>74</v>
      </c>
      <c r="D26" s="2" t="s">
        <v>75</v>
      </c>
      <c r="E26" s="2" t="s">
        <v>1344</v>
      </c>
      <c r="F26" s="3"/>
      <c r="G26" s="3"/>
      <c r="H26" s="3"/>
      <c r="I26" s="15"/>
    </row>
    <row r="27" spans="1:12" ht="43.5" x14ac:dyDescent="0.85">
      <c r="A27" s="1">
        <v>26</v>
      </c>
      <c r="B27" s="16" t="s">
        <v>76</v>
      </c>
      <c r="C27" s="2" t="s">
        <v>77</v>
      </c>
      <c r="D27" s="2" t="s">
        <v>78</v>
      </c>
      <c r="E27" s="2" t="s">
        <v>1345</v>
      </c>
      <c r="F27" s="3"/>
      <c r="G27" s="3"/>
      <c r="H27" s="3"/>
      <c r="I27" s="15"/>
    </row>
    <row r="28" spans="1:12" ht="43.5" x14ac:dyDescent="0.85">
      <c r="A28" s="1">
        <v>27</v>
      </c>
      <c r="B28" s="16" t="s">
        <v>79</v>
      </c>
      <c r="C28" s="2" t="s">
        <v>80</v>
      </c>
      <c r="D28" s="2" t="s">
        <v>81</v>
      </c>
      <c r="E28" s="2" t="s">
        <v>1346</v>
      </c>
      <c r="F28" s="3"/>
      <c r="G28" s="3"/>
      <c r="H28" s="3"/>
      <c r="I28" s="15"/>
    </row>
    <row r="29" spans="1:12" ht="43.5" x14ac:dyDescent="0.85">
      <c r="A29" s="1">
        <v>28</v>
      </c>
      <c r="B29" s="16" t="s">
        <v>82</v>
      </c>
      <c r="C29" s="2" t="s">
        <v>83</v>
      </c>
      <c r="D29" s="2" t="s">
        <v>84</v>
      </c>
      <c r="E29" s="2" t="s">
        <v>85</v>
      </c>
      <c r="F29" s="3"/>
      <c r="G29" s="3"/>
      <c r="H29" s="3"/>
      <c r="I29" s="15"/>
    </row>
    <row r="30" spans="1:12" ht="43.5" x14ac:dyDescent="0.85">
      <c r="A30" s="1">
        <v>29</v>
      </c>
      <c r="B30" s="16" t="s">
        <v>86</v>
      </c>
      <c r="C30" s="2" t="s">
        <v>87</v>
      </c>
      <c r="D30" s="2" t="s">
        <v>88</v>
      </c>
      <c r="E30" s="2" t="s">
        <v>1347</v>
      </c>
      <c r="F30" s="3"/>
      <c r="G30" s="3"/>
      <c r="H30" s="3"/>
      <c r="I30" s="15"/>
    </row>
    <row r="31" spans="1:12" ht="43.5" x14ac:dyDescent="0.85">
      <c r="A31" s="1">
        <v>30</v>
      </c>
      <c r="B31" s="16" t="s">
        <v>89</v>
      </c>
      <c r="C31" s="2" t="s">
        <v>90</v>
      </c>
      <c r="D31" s="2" t="s">
        <v>91</v>
      </c>
      <c r="E31" s="2" t="s">
        <v>1348</v>
      </c>
      <c r="F31" s="3"/>
      <c r="G31" s="3"/>
      <c r="H31" s="3"/>
      <c r="I31" s="15"/>
    </row>
    <row r="32" spans="1:12" ht="43.5" x14ac:dyDescent="0.85">
      <c r="A32" s="1">
        <v>31</v>
      </c>
      <c r="B32" s="16" t="s">
        <v>92</v>
      </c>
      <c r="C32" s="2" t="s">
        <v>93</v>
      </c>
      <c r="D32" s="2" t="s">
        <v>94</v>
      </c>
      <c r="E32" s="2" t="s">
        <v>95</v>
      </c>
      <c r="F32" s="3"/>
      <c r="G32" s="3"/>
      <c r="H32" s="3"/>
      <c r="I32" s="15"/>
      <c r="J32" s="2"/>
      <c r="K32" s="2"/>
      <c r="L32" s="2"/>
    </row>
    <row r="33" spans="1:26" ht="43.5" x14ac:dyDescent="0.85">
      <c r="A33" s="1">
        <v>32</v>
      </c>
      <c r="B33" s="16" t="s">
        <v>96</v>
      </c>
      <c r="C33" s="2" t="s">
        <v>97</v>
      </c>
      <c r="D33" s="2" t="s">
        <v>98</v>
      </c>
      <c r="E33" s="2" t="s">
        <v>1349</v>
      </c>
      <c r="F33" s="3"/>
      <c r="G33" s="3"/>
      <c r="H33" s="3"/>
      <c r="I33" s="15"/>
    </row>
    <row r="34" spans="1:26" ht="43.5" x14ac:dyDescent="0.85">
      <c r="A34" s="1">
        <v>33</v>
      </c>
      <c r="B34" s="16" t="s">
        <v>99</v>
      </c>
      <c r="C34" s="2" t="s">
        <v>100</v>
      </c>
      <c r="D34" s="2" t="s">
        <v>101</v>
      </c>
      <c r="E34" s="2" t="s">
        <v>1350</v>
      </c>
      <c r="F34" s="3"/>
      <c r="G34" s="3"/>
      <c r="H34" s="3"/>
      <c r="I34" s="15"/>
    </row>
    <row r="35" spans="1:26" ht="43.5" x14ac:dyDescent="0.85">
      <c r="A35" s="1">
        <v>34</v>
      </c>
      <c r="B35" s="16" t="s">
        <v>1330</v>
      </c>
      <c r="C35" s="18" t="s">
        <v>1332</v>
      </c>
      <c r="D35" s="18" t="s">
        <v>1331</v>
      </c>
      <c r="E35" s="2" t="s">
        <v>1351</v>
      </c>
      <c r="F35" s="3"/>
      <c r="G35" s="3"/>
      <c r="H35" s="3"/>
      <c r="I35" s="15"/>
    </row>
    <row r="36" spans="1:26" ht="43.5" x14ac:dyDescent="0.85">
      <c r="A36" s="1">
        <v>35</v>
      </c>
      <c r="B36" s="16" t="s">
        <v>102</v>
      </c>
      <c r="C36" s="2" t="s">
        <v>103</v>
      </c>
      <c r="D36" s="18" t="s">
        <v>1333</v>
      </c>
      <c r="E36" s="2" t="s">
        <v>1352</v>
      </c>
      <c r="F36" s="3"/>
      <c r="G36" s="3"/>
      <c r="H36" s="3"/>
      <c r="I36" s="15"/>
    </row>
    <row r="37" spans="1:26" ht="43.5" x14ac:dyDescent="0.85">
      <c r="A37" s="1">
        <v>36</v>
      </c>
      <c r="B37" s="16" t="s">
        <v>104</v>
      </c>
      <c r="C37" s="2" t="s">
        <v>105</v>
      </c>
      <c r="D37" s="2" t="s">
        <v>106</v>
      </c>
      <c r="E37" s="2" t="s">
        <v>1353</v>
      </c>
      <c r="F37" s="3"/>
      <c r="G37" s="3"/>
      <c r="H37" s="3"/>
      <c r="I37" s="15"/>
    </row>
    <row r="38" spans="1:26" ht="43.5" x14ac:dyDescent="0.85">
      <c r="A38" s="1">
        <v>37</v>
      </c>
      <c r="B38" s="16" t="s">
        <v>107</v>
      </c>
      <c r="C38" s="2" t="s">
        <v>108</v>
      </c>
      <c r="D38" s="2" t="s">
        <v>109</v>
      </c>
      <c r="E38" s="2" t="s">
        <v>1354</v>
      </c>
      <c r="F38" s="3"/>
      <c r="G38" s="3"/>
      <c r="H38" s="3"/>
      <c r="I38" s="15"/>
    </row>
    <row r="39" spans="1:26" ht="43.5" x14ac:dyDescent="0.85">
      <c r="A39" s="1">
        <v>38</v>
      </c>
      <c r="B39" s="16" t="s">
        <v>110</v>
      </c>
      <c r="C39" s="2" t="s">
        <v>111</v>
      </c>
      <c r="D39" s="2" t="s">
        <v>112</v>
      </c>
      <c r="E39" s="2" t="s">
        <v>1146</v>
      </c>
      <c r="F39" s="3"/>
      <c r="G39" s="3"/>
      <c r="H39" s="3"/>
      <c r="I39" s="15"/>
    </row>
    <row r="40" spans="1:26" ht="43.5" x14ac:dyDescent="0.85">
      <c r="A40" s="1">
        <v>39</v>
      </c>
      <c r="B40" s="16" t="s">
        <v>113</v>
      </c>
      <c r="C40" s="2" t="s">
        <v>114</v>
      </c>
      <c r="D40" s="2" t="s">
        <v>115</v>
      </c>
      <c r="E40" s="2" t="s">
        <v>1355</v>
      </c>
      <c r="F40" s="3"/>
      <c r="G40" s="3"/>
      <c r="H40" s="3"/>
      <c r="I40" s="15"/>
    </row>
    <row r="41" spans="1:26" ht="43.5" x14ac:dyDescent="0.85">
      <c r="A41" s="1">
        <v>40</v>
      </c>
      <c r="B41" s="16" t="s">
        <v>116</v>
      </c>
      <c r="C41" s="2" t="s">
        <v>117</v>
      </c>
      <c r="D41" s="2" t="s">
        <v>118</v>
      </c>
      <c r="E41" s="2" t="s">
        <v>1356</v>
      </c>
      <c r="F41" s="3"/>
      <c r="G41" s="3"/>
      <c r="H41" s="3"/>
      <c r="I41" s="15"/>
    </row>
    <row r="42" spans="1:26" ht="43.5" x14ac:dyDescent="0.85">
      <c r="A42" s="1">
        <v>41</v>
      </c>
      <c r="B42" s="16" t="s">
        <v>119</v>
      </c>
      <c r="C42" s="2" t="s">
        <v>120</v>
      </c>
      <c r="D42" s="2" t="s">
        <v>121</v>
      </c>
      <c r="E42" s="2" t="s">
        <v>122</v>
      </c>
      <c r="F42" s="3"/>
      <c r="G42" s="3"/>
      <c r="H42" s="3"/>
      <c r="I42" s="15"/>
      <c r="K42" s="2"/>
      <c r="L42" s="2"/>
      <c r="M42" s="2"/>
    </row>
    <row r="43" spans="1:26" ht="43.5" x14ac:dyDescent="0.85">
      <c r="A43" s="1">
        <v>42</v>
      </c>
      <c r="B43" s="16" t="s">
        <v>123</v>
      </c>
      <c r="C43" s="2" t="s">
        <v>124</v>
      </c>
      <c r="D43" s="2" t="s">
        <v>125</v>
      </c>
      <c r="E43" s="2" t="s">
        <v>1357</v>
      </c>
      <c r="F43" s="3"/>
      <c r="G43" s="3"/>
      <c r="H43" s="3"/>
      <c r="I43" s="15"/>
    </row>
    <row r="44" spans="1:26" ht="43.5" x14ac:dyDescent="0.85">
      <c r="A44" s="1">
        <v>43</v>
      </c>
      <c r="B44" s="16" t="s">
        <v>126</v>
      </c>
      <c r="C44" s="2" t="s">
        <v>127</v>
      </c>
      <c r="D44" s="2" t="s">
        <v>128</v>
      </c>
      <c r="E44" s="2" t="s">
        <v>1358</v>
      </c>
      <c r="F44" s="2"/>
      <c r="G44" s="2"/>
      <c r="H44" s="2"/>
      <c r="I44" s="15"/>
      <c r="J44" s="2"/>
      <c r="K44" s="2"/>
      <c r="L44" s="2"/>
      <c r="M44" s="2"/>
      <c r="N44" s="2"/>
      <c r="O44" s="2"/>
      <c r="P44" s="2"/>
      <c r="Q44" s="2"/>
      <c r="R44" s="2"/>
      <c r="S44" s="2"/>
      <c r="T44" s="2"/>
      <c r="U44" s="2"/>
      <c r="V44" s="2"/>
      <c r="W44" s="2"/>
      <c r="X44" s="2"/>
      <c r="Y44" s="2"/>
      <c r="Z44" s="2"/>
    </row>
    <row r="45" spans="1:26" ht="43.5" x14ac:dyDescent="0.85">
      <c r="A45" s="1">
        <v>44</v>
      </c>
      <c r="B45" s="16" t="s">
        <v>129</v>
      </c>
      <c r="C45" s="2" t="s">
        <v>130</v>
      </c>
      <c r="D45" s="2" t="s">
        <v>131</v>
      </c>
      <c r="E45" s="2" t="s">
        <v>1359</v>
      </c>
      <c r="F45" s="3"/>
      <c r="G45" s="3"/>
      <c r="H45" s="3"/>
      <c r="I45" s="15"/>
    </row>
    <row r="46" spans="1:26" ht="43.5" x14ac:dyDescent="0.85">
      <c r="A46" s="1">
        <v>45</v>
      </c>
      <c r="B46" s="16" t="s">
        <v>132</v>
      </c>
      <c r="C46" s="3" t="s">
        <v>133</v>
      </c>
      <c r="D46" s="3" t="s">
        <v>134</v>
      </c>
      <c r="E46" s="2" t="s">
        <v>1360</v>
      </c>
      <c r="F46" s="3"/>
      <c r="G46" s="3"/>
      <c r="H46" s="3"/>
      <c r="I46" s="15"/>
    </row>
    <row r="47" spans="1:26" ht="43.5" x14ac:dyDescent="0.85">
      <c r="A47" s="1">
        <v>46</v>
      </c>
      <c r="B47" s="16" t="s">
        <v>135</v>
      </c>
      <c r="C47" s="2" t="s">
        <v>136</v>
      </c>
      <c r="D47" s="2" t="s">
        <v>137</v>
      </c>
      <c r="E47" s="2" t="s">
        <v>1361</v>
      </c>
      <c r="F47" s="3"/>
      <c r="G47" s="3"/>
      <c r="H47" s="3"/>
      <c r="I47" s="15"/>
    </row>
    <row r="48" spans="1:26" ht="43.5" x14ac:dyDescent="0.85">
      <c r="A48" s="1">
        <v>47</v>
      </c>
      <c r="B48" s="16" t="s">
        <v>138</v>
      </c>
      <c r="C48" s="2" t="s">
        <v>139</v>
      </c>
      <c r="D48" s="2" t="s">
        <v>140</v>
      </c>
      <c r="E48" s="2" t="s">
        <v>1362</v>
      </c>
      <c r="F48" s="3"/>
      <c r="G48" s="3"/>
      <c r="H48" s="3"/>
      <c r="I48" s="15"/>
    </row>
    <row r="49" spans="1:9" ht="44.25" thickBot="1" x14ac:dyDescent="0.9">
      <c r="A49" s="1">
        <v>48</v>
      </c>
      <c r="B49" s="16" t="s">
        <v>141</v>
      </c>
      <c r="C49" s="2" t="s">
        <v>142</v>
      </c>
      <c r="D49" s="2" t="s">
        <v>143</v>
      </c>
      <c r="E49" s="2" t="s">
        <v>1363</v>
      </c>
      <c r="F49" s="3"/>
      <c r="G49" s="3"/>
      <c r="H49" s="3"/>
      <c r="I49" s="15"/>
    </row>
    <row r="50" spans="1:9" ht="44.25" thickBot="1" x14ac:dyDescent="0.9">
      <c r="A50" s="12">
        <v>49</v>
      </c>
      <c r="B50" s="17" t="s">
        <v>1315</v>
      </c>
      <c r="C50" s="13" t="s">
        <v>1316</v>
      </c>
      <c r="D50" s="13" t="s">
        <v>1317</v>
      </c>
      <c r="E50" s="2" t="s">
        <v>1318</v>
      </c>
      <c r="F50" s="13"/>
      <c r="G50" s="13"/>
      <c r="H50" s="13"/>
      <c r="I50" s="14"/>
    </row>
    <row r="51" spans="1:9" ht="43.5" x14ac:dyDescent="0.85">
      <c r="A51" s="1">
        <v>50</v>
      </c>
      <c r="B51" s="16" t="s">
        <v>144</v>
      </c>
      <c r="C51" s="2" t="s">
        <v>145</v>
      </c>
      <c r="D51" s="2" t="s">
        <v>146</v>
      </c>
      <c r="E51" s="2" t="s">
        <v>1364</v>
      </c>
      <c r="F51" s="3"/>
      <c r="G51" s="3"/>
      <c r="H51" s="3"/>
      <c r="I51" s="15"/>
    </row>
    <row r="52" spans="1:9" ht="12.75" x14ac:dyDescent="0.2">
      <c r="A52" s="1"/>
      <c r="B52" s="2"/>
      <c r="C52" s="2"/>
      <c r="D52" s="2"/>
      <c r="E52" s="3"/>
      <c r="F52" s="3"/>
      <c r="G52" s="3"/>
      <c r="H52" s="3"/>
      <c r="I52" s="15"/>
    </row>
    <row r="53" spans="1:9" ht="12.75" x14ac:dyDescent="0.2">
      <c r="A53" s="1"/>
      <c r="B53" s="2"/>
      <c r="C53" s="2"/>
      <c r="D53" s="2"/>
      <c r="I53" s="15"/>
    </row>
    <row r="54" spans="1:9" ht="12.75" x14ac:dyDescent="0.2">
      <c r="A54" s="1"/>
    </row>
    <row r="55" spans="1:9" ht="12.75" x14ac:dyDescent="0.2">
      <c r="A55" s="1"/>
    </row>
    <row r="56" spans="1:9" ht="12.75" x14ac:dyDescent="0.2">
      <c r="A56" s="1"/>
    </row>
    <row r="57" spans="1:9" ht="12.75" x14ac:dyDescent="0.2">
      <c r="A57" s="1"/>
      <c r="B57" s="2"/>
      <c r="C57" s="2"/>
      <c r="D57" s="2"/>
      <c r="I57" s="4"/>
    </row>
    <row r="58" spans="1:9" ht="12.75" x14ac:dyDescent="0.2">
      <c r="A58" s="1"/>
      <c r="B58" s="2"/>
      <c r="C58" s="2"/>
      <c r="D58" s="2"/>
      <c r="I58" s="4"/>
    </row>
    <row r="59" spans="1:9" ht="12.75" x14ac:dyDescent="0.2">
      <c r="A59" s="1"/>
      <c r="B59" s="2"/>
      <c r="C59" s="2"/>
      <c r="D59" s="2"/>
      <c r="I59" s="4"/>
    </row>
    <row r="60" spans="1:9" ht="12.75" x14ac:dyDescent="0.2">
      <c r="A60" s="1"/>
    </row>
    <row r="61" spans="1:9" ht="12.75" x14ac:dyDescent="0.2">
      <c r="A61" s="1"/>
    </row>
    <row r="62" spans="1:9" ht="12.75" x14ac:dyDescent="0.2">
      <c r="A62" s="1"/>
    </row>
    <row r="63" spans="1:9" ht="12.75" x14ac:dyDescent="0.2">
      <c r="A63" s="1"/>
      <c r="B63" s="2"/>
      <c r="C63" s="2"/>
      <c r="D63" s="2"/>
      <c r="I63" s="4"/>
    </row>
    <row r="64" spans="1:9" ht="12.75" x14ac:dyDescent="0.2">
      <c r="A64" s="1"/>
      <c r="B64" s="2"/>
      <c r="C64" s="2"/>
      <c r="D64" s="2"/>
      <c r="I64" s="4"/>
    </row>
    <row r="66" spans="1:13" ht="12.75" x14ac:dyDescent="0.2">
      <c r="A66" s="1"/>
      <c r="B66" s="2"/>
      <c r="C66" s="2"/>
      <c r="D66" s="2"/>
      <c r="I66" s="4"/>
    </row>
    <row r="67" spans="1:13" ht="12.75" x14ac:dyDescent="0.2">
      <c r="A67" s="1"/>
      <c r="B67" s="2"/>
      <c r="C67" s="2"/>
      <c r="D67" s="2"/>
      <c r="I67" s="4"/>
      <c r="K67" s="2"/>
      <c r="L67" s="2"/>
      <c r="M67" s="2"/>
    </row>
    <row r="68" spans="1:13" ht="12.75" x14ac:dyDescent="0.2">
      <c r="A68" s="1"/>
      <c r="B68" s="2"/>
      <c r="C68" s="2"/>
      <c r="D68" s="2"/>
      <c r="I68" s="4"/>
    </row>
    <row r="69" spans="1:13" ht="12.75" x14ac:dyDescent="0.2">
      <c r="A69" s="1"/>
      <c r="B69" s="2"/>
      <c r="C69" s="2"/>
      <c r="D69" s="2"/>
      <c r="I69" s="4"/>
    </row>
    <row r="70" spans="1:13" ht="12.75" x14ac:dyDescent="0.2">
      <c r="A70" s="1"/>
      <c r="B70" s="2"/>
      <c r="C70" s="2"/>
      <c r="D70" s="2"/>
      <c r="I70" s="4"/>
      <c r="J70" s="2"/>
      <c r="K70" s="2"/>
      <c r="L70" s="2"/>
    </row>
    <row r="71" spans="1:13" ht="12.75" x14ac:dyDescent="0.2">
      <c r="A71" s="1"/>
      <c r="B71" s="2"/>
      <c r="C71" s="2"/>
      <c r="D71" s="2"/>
      <c r="I71" s="4"/>
    </row>
    <row r="72" spans="1:13" ht="12.75" x14ac:dyDescent="0.2">
      <c r="A72" s="5"/>
      <c r="B72" s="2"/>
      <c r="C72" s="2"/>
      <c r="D72" s="2"/>
      <c r="I72" s="4"/>
    </row>
    <row r="73" spans="1:13" ht="12.75" x14ac:dyDescent="0.2">
      <c r="A73" s="6"/>
      <c r="B73" s="2"/>
      <c r="C73" s="2"/>
      <c r="D73" s="2"/>
      <c r="I73" s="4"/>
    </row>
    <row r="74" spans="1:13" ht="12.75" x14ac:dyDescent="0.2">
      <c r="A74" s="1"/>
      <c r="B74" s="2"/>
      <c r="C74" s="2"/>
      <c r="D74" s="2"/>
      <c r="I74" s="4"/>
    </row>
    <row r="75" spans="1:13" ht="12.75" x14ac:dyDescent="0.2">
      <c r="A75" s="1"/>
      <c r="B75" s="2"/>
      <c r="C75" s="2"/>
      <c r="D75" s="2"/>
      <c r="I75" s="4"/>
    </row>
    <row r="76" spans="1:13" ht="12.75" x14ac:dyDescent="0.2">
      <c r="A76" s="1"/>
      <c r="B76" s="2"/>
      <c r="C76" s="2"/>
      <c r="D76" s="2"/>
      <c r="I76" s="4"/>
    </row>
    <row r="77" spans="1:13" ht="12.75" x14ac:dyDescent="0.2">
      <c r="A77" s="1"/>
      <c r="B77" s="2"/>
      <c r="C77" s="2"/>
      <c r="D77" s="2"/>
      <c r="I77" s="4"/>
    </row>
    <row r="78" spans="1:13" ht="12.75" x14ac:dyDescent="0.2">
      <c r="A78" s="1"/>
      <c r="B78" s="2"/>
      <c r="C78" s="2"/>
      <c r="D78" s="2"/>
      <c r="I78" s="4"/>
    </row>
    <row r="79" spans="1:13" ht="12.75" x14ac:dyDescent="0.2">
      <c r="A79" s="1"/>
      <c r="B79" s="2"/>
      <c r="C79" s="2"/>
      <c r="D79" s="2"/>
      <c r="I79" s="4"/>
    </row>
    <row r="80" spans="1:13" ht="12.75" x14ac:dyDescent="0.2">
      <c r="A80" s="1"/>
      <c r="B80" s="2"/>
      <c r="C80" s="2"/>
      <c r="D80" s="2"/>
      <c r="I80" s="4"/>
    </row>
    <row r="81" spans="1:12" ht="12.75" x14ac:dyDescent="0.2">
      <c r="A81" s="1"/>
      <c r="B81" s="2"/>
      <c r="C81" s="2"/>
      <c r="D81" s="2"/>
      <c r="I81" s="4"/>
    </row>
    <row r="82" spans="1:12" ht="12.75" x14ac:dyDescent="0.2">
      <c r="A82" s="1"/>
      <c r="B82" s="2"/>
      <c r="C82" s="2"/>
      <c r="D82" s="2"/>
      <c r="I82" s="4"/>
    </row>
    <row r="83" spans="1:12" ht="12.75" x14ac:dyDescent="0.2">
      <c r="B83" s="2"/>
      <c r="C83" s="2"/>
      <c r="D83" s="2"/>
      <c r="I83" s="4"/>
    </row>
    <row r="84" spans="1:12" ht="12.75" x14ac:dyDescent="0.2">
      <c r="B84" s="2"/>
      <c r="C84" s="2"/>
      <c r="D84" s="2"/>
      <c r="I84" s="4"/>
    </row>
    <row r="85" spans="1:12" ht="12.75" x14ac:dyDescent="0.2">
      <c r="B85" s="2"/>
      <c r="C85" s="2"/>
      <c r="D85" s="2"/>
      <c r="I85" s="4"/>
      <c r="J85" s="2"/>
      <c r="K85" s="2"/>
      <c r="L85" s="2"/>
    </row>
    <row r="86" spans="1:12" ht="12.75" x14ac:dyDescent="0.2">
      <c r="B86" s="2"/>
      <c r="C86" s="2"/>
      <c r="D86" s="2"/>
      <c r="I86" s="4"/>
    </row>
    <row r="87" spans="1:12" ht="12.75" x14ac:dyDescent="0.2">
      <c r="B87" s="2"/>
      <c r="C87" s="2"/>
      <c r="D87" s="2"/>
      <c r="I87" s="4"/>
    </row>
    <row r="88" spans="1:12" ht="12.75" x14ac:dyDescent="0.2">
      <c r="B88" s="2"/>
      <c r="C88" s="2"/>
      <c r="D88" s="2"/>
      <c r="I88" s="4"/>
    </row>
    <row r="89" spans="1:12" ht="12.75" x14ac:dyDescent="0.2">
      <c r="B89" s="2"/>
      <c r="C89" s="2"/>
      <c r="D89" s="2"/>
      <c r="I89" s="4"/>
    </row>
    <row r="90" spans="1:12" ht="12.75" x14ac:dyDescent="0.2">
      <c r="B90" s="2"/>
      <c r="C90" s="2"/>
      <c r="D90" s="2"/>
      <c r="I90" s="4"/>
    </row>
    <row r="91" spans="1:12" ht="12.75" x14ac:dyDescent="0.2">
      <c r="B91" s="2"/>
      <c r="C91" s="2"/>
      <c r="D91" s="2"/>
      <c r="I91" s="4"/>
    </row>
    <row r="92" spans="1:12" ht="12.75" x14ac:dyDescent="0.2">
      <c r="B92" s="2"/>
      <c r="C92" s="2"/>
      <c r="D92" s="2"/>
      <c r="I92" s="4"/>
    </row>
    <row r="93" spans="1:12" ht="12.75" x14ac:dyDescent="0.2">
      <c r="B93" s="2"/>
      <c r="C93" s="2"/>
      <c r="D93" s="2"/>
      <c r="I93" s="4"/>
    </row>
    <row r="94" spans="1:12" ht="12.75" x14ac:dyDescent="0.2">
      <c r="B94" s="2"/>
      <c r="C94" s="2"/>
      <c r="D94" s="2"/>
      <c r="I94" s="4"/>
    </row>
    <row r="95" spans="1:12" ht="12.75" x14ac:dyDescent="0.2">
      <c r="B95" s="2"/>
      <c r="C95" s="2"/>
      <c r="D95" s="2"/>
      <c r="I95" s="4"/>
    </row>
    <row r="96" spans="1:12" ht="12.75" x14ac:dyDescent="0.2">
      <c r="B96" s="2"/>
      <c r="C96" s="2"/>
      <c r="D96" s="2"/>
      <c r="I96" s="4"/>
    </row>
    <row r="97" spans="1:12" ht="12.75" x14ac:dyDescent="0.2">
      <c r="B97" s="2"/>
      <c r="C97" s="2"/>
      <c r="D97" s="2"/>
      <c r="I97" s="4"/>
    </row>
    <row r="98" spans="1:12" ht="12.75" x14ac:dyDescent="0.2">
      <c r="B98" s="2"/>
      <c r="C98" s="2"/>
      <c r="D98" s="2"/>
      <c r="I98" s="4"/>
    </row>
    <row r="99" spans="1:12" ht="12.75" x14ac:dyDescent="0.2">
      <c r="B99" s="2"/>
      <c r="C99" s="2"/>
      <c r="D99" s="2"/>
      <c r="I99" s="4"/>
    </row>
    <row r="100" spans="1:12" ht="12.75" x14ac:dyDescent="0.2">
      <c r="B100" s="2"/>
      <c r="C100" s="2"/>
      <c r="D100" s="2"/>
      <c r="I100" s="4"/>
      <c r="J100" s="2"/>
      <c r="K100" s="2"/>
      <c r="L100" s="2"/>
    </row>
    <row r="101" spans="1:12" ht="12.75" x14ac:dyDescent="0.2">
      <c r="B101" s="2"/>
      <c r="C101" s="2"/>
      <c r="D101" s="2"/>
      <c r="I101" s="4"/>
    </row>
    <row r="102" spans="1:12" ht="12.75" x14ac:dyDescent="0.2">
      <c r="B102" s="2"/>
      <c r="C102" s="2"/>
      <c r="D102" s="2"/>
      <c r="I102" s="4"/>
    </row>
    <row r="103" spans="1:12" ht="12.75" x14ac:dyDescent="0.2">
      <c r="B103" s="2"/>
      <c r="C103" s="2"/>
      <c r="D103" s="2"/>
      <c r="I103" s="4"/>
    </row>
    <row r="104" spans="1:12" ht="12.75" x14ac:dyDescent="0.2">
      <c r="B104" s="2"/>
      <c r="C104" s="2"/>
      <c r="D104" s="2"/>
      <c r="I104" s="4"/>
    </row>
    <row r="105" spans="1:12" ht="12.75" x14ac:dyDescent="0.2">
      <c r="B105" s="2"/>
      <c r="C105" s="2"/>
      <c r="D105" s="2"/>
      <c r="I105" s="4"/>
    </row>
    <row r="106" spans="1:12" ht="12.75" x14ac:dyDescent="0.2">
      <c r="A106" s="7"/>
      <c r="B106" s="2"/>
      <c r="C106" s="2"/>
      <c r="D106" s="2"/>
      <c r="I106" s="4"/>
    </row>
    <row r="107" spans="1:12" ht="12.75" x14ac:dyDescent="0.2">
      <c r="B107" s="2"/>
      <c r="C107" s="2"/>
      <c r="D107" s="2"/>
    </row>
    <row r="108" spans="1:12" ht="12.75" x14ac:dyDescent="0.2">
      <c r="B108" s="2"/>
      <c r="C108" s="2"/>
      <c r="D108"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Z54"/>
  <sheetViews>
    <sheetView workbookViewId="0"/>
  </sheetViews>
  <sheetFormatPr baseColWidth="10" defaultColWidth="12.5703125" defaultRowHeight="15.75" customHeight="1" x14ac:dyDescent="0.2"/>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3">
        <v>1</v>
      </c>
      <c r="B2" s="2" t="s">
        <v>8</v>
      </c>
      <c r="C2" s="2" t="s">
        <v>147</v>
      </c>
      <c r="D2" s="2" t="s">
        <v>10</v>
      </c>
      <c r="E2" s="3" t="str">
        <f ca="1">IFERROR(__xludf.DUMMYFUNCTION("GOOGLETRANSLATE($D2,$D$1,$E$1)"),"Start")</f>
        <v>Start</v>
      </c>
      <c r="F2" s="3" t="str">
        <f ca="1">IFERROR(__xludf.DUMMYFUNCTION("GOOGLETRANSLATE($D2,$D$1,$F$1)"),"Inizio")</f>
        <v>Inizio</v>
      </c>
      <c r="G2" s="3" t="str">
        <f ca="1">IFERROR(__xludf.DUMMYFUNCTION("GOOGLETRANSLATE($D2,$D$1,G$1)"),"Commencer")</f>
        <v>Commencer</v>
      </c>
      <c r="H2" s="3" t="str">
        <f ca="1">IFERROR(__xludf.DUMMYFUNCTION("GOOGLETRANSLATE($D2,$D$1,H$1)"),"Start")</f>
        <v>Start</v>
      </c>
    </row>
    <row r="3" spans="1:26" x14ac:dyDescent="0.2">
      <c r="A3" s="3">
        <v>2</v>
      </c>
      <c r="B3" s="3" t="s">
        <v>148</v>
      </c>
      <c r="C3" s="3" t="s">
        <v>149</v>
      </c>
      <c r="D3" s="3" t="s">
        <v>150</v>
      </c>
      <c r="E3" s="3" t="str">
        <f ca="1">IFERROR(__xludf.DUMMYFUNCTION("GOOGLETRANSLATE($D3,$D$1,$E$1)"),"Universe")</f>
        <v>Universe</v>
      </c>
      <c r="F3" s="3" t="str">
        <f ca="1">IFERROR(__xludf.DUMMYFUNCTION("GOOGLETRANSLATE($D3,$D$1,$F$1)"),"Universo")</f>
        <v>Universo</v>
      </c>
      <c r="G3" s="3" t="str">
        <f ca="1">IFERROR(__xludf.DUMMYFUNCTION("GOOGLETRANSLATE($D3,$D$1,G$1)"),"Univers")</f>
        <v>Univers</v>
      </c>
      <c r="H3" s="3" t="str">
        <f ca="1">IFERROR(__xludf.DUMMYFUNCTION("GOOGLETRANSLATE($D3,$D$1,H$1)"),"Universum")</f>
        <v>Universum</v>
      </c>
    </row>
    <row r="4" spans="1:26" x14ac:dyDescent="0.2">
      <c r="A4" s="3">
        <v>3</v>
      </c>
      <c r="B4" s="3" t="s">
        <v>34</v>
      </c>
      <c r="C4" s="3" t="s">
        <v>151</v>
      </c>
      <c r="D4" s="3" t="s">
        <v>36</v>
      </c>
      <c r="E4" s="3" t="str">
        <f ca="1">IFERROR(__xludf.DUMMYFUNCTION("GOOGLETRANSLATE($D4,$D$1,$E$1)"),"Fire")</f>
        <v>Fire</v>
      </c>
      <c r="F4" s="3" t="str">
        <f ca="1">IFERROR(__xludf.DUMMYFUNCTION("GOOGLETRANSLATE($D4,$D$1,$F$1)"),"Fuoco")</f>
        <v>Fuoco</v>
      </c>
      <c r="G4" s="3" t="str">
        <f ca="1">IFERROR(__xludf.DUMMYFUNCTION("GOOGLETRANSLATE($D4,$D$1,G$1)"),"Feu")</f>
        <v>Feu</v>
      </c>
      <c r="H4" s="3" t="str">
        <f ca="1">IFERROR(__xludf.DUMMYFUNCTION("GOOGLETRANSLATE($D4,$D$1,H$1)"),"Feuer")</f>
        <v>Feuer</v>
      </c>
    </row>
    <row r="5" spans="1:26" x14ac:dyDescent="0.2">
      <c r="A5" s="3">
        <v>4</v>
      </c>
      <c r="B5" s="3" t="s">
        <v>152</v>
      </c>
      <c r="C5" s="3" t="s">
        <v>153</v>
      </c>
      <c r="D5" s="3" t="s">
        <v>18</v>
      </c>
      <c r="E5" s="3" t="str">
        <f ca="1">IFERROR(__xludf.DUMMYFUNCTION("GOOGLETRANSLATE($D5,$D$1,$E$1)"),"Love")</f>
        <v>Love</v>
      </c>
      <c r="F5" s="3" t="str">
        <f ca="1">IFERROR(__xludf.DUMMYFUNCTION("GOOGLETRANSLATE($D5,$D$1,F$1)"),"Amore")</f>
        <v>Amore</v>
      </c>
      <c r="G5" s="3" t="str">
        <f ca="1">IFERROR(__xludf.DUMMYFUNCTION("GOOGLETRANSLATE($D5,$D$1,G$1)"),"Amour")</f>
        <v>Amour</v>
      </c>
      <c r="H5" s="3" t="str">
        <f ca="1">IFERROR(__xludf.DUMMYFUNCTION("GOOGLETRANSLATE($D5,$D$1,H$1)"),"Liebe")</f>
        <v>Liebe</v>
      </c>
    </row>
    <row r="6" spans="1:26" x14ac:dyDescent="0.2">
      <c r="A6" s="3">
        <v>5</v>
      </c>
      <c r="B6" s="3" t="s">
        <v>15</v>
      </c>
      <c r="C6" s="3" t="s">
        <v>154</v>
      </c>
      <c r="D6" s="3" t="s">
        <v>17</v>
      </c>
      <c r="E6" s="3" t="str">
        <f ca="1">IFERROR(__xludf.DUMMYFUNCTION("GOOGLETRANSLATE($D6,$D$1,$E$1)"),"Mountain")</f>
        <v>Mountain</v>
      </c>
      <c r="F6" s="3" t="str">
        <f ca="1">IFERROR(__xludf.DUMMYFUNCTION("GOOGLETRANSLATE($D6,$D$1,$F$1)"),"Montagna")</f>
        <v>Montagna</v>
      </c>
      <c r="G6" s="3" t="str">
        <f ca="1">IFERROR(__xludf.DUMMYFUNCTION("GOOGLETRANSLATE($D6,$D$1,G$1)"),"Montagne")</f>
        <v>Montagne</v>
      </c>
      <c r="H6" s="3" t="str">
        <f ca="1">IFERROR(__xludf.DUMMYFUNCTION("GOOGLETRANSLATE($D6,$D$1,H$1)"),"Berg")</f>
        <v>Berg</v>
      </c>
    </row>
    <row r="7" spans="1:26" x14ac:dyDescent="0.2">
      <c r="A7" s="3">
        <v>6</v>
      </c>
      <c r="B7" s="3" t="s">
        <v>82</v>
      </c>
      <c r="C7" s="3" t="s">
        <v>155</v>
      </c>
      <c r="D7" s="3" t="s">
        <v>14</v>
      </c>
      <c r="E7" s="3" t="str">
        <f ca="1">IFERROR(__xludf.DUMMYFUNCTION("GOOGLETRANSLATE($D7,$D$1,$E$1)"),"Life")</f>
        <v>Life</v>
      </c>
      <c r="F7" s="3" t="str">
        <f ca="1">IFERROR(__xludf.DUMMYFUNCTION("GOOGLETRANSLATE($D7,$D$1,$F$1)"),"Vita")</f>
        <v>Vita</v>
      </c>
      <c r="G7" s="3" t="str">
        <f ca="1">IFERROR(__xludf.DUMMYFUNCTION("GOOGLETRANSLATE($D7,$D$1,G$1)"),"Vie")</f>
        <v>Vie</v>
      </c>
      <c r="H7" s="3" t="str">
        <f ca="1">IFERROR(__xludf.DUMMYFUNCTION("GOOGLETRANSLATE($D7,$D$1,H$1)"),"Leben")</f>
        <v>Leben</v>
      </c>
    </row>
    <row r="8" spans="1:26" x14ac:dyDescent="0.2">
      <c r="A8" s="3">
        <v>7</v>
      </c>
      <c r="B8" s="3" t="s">
        <v>22</v>
      </c>
      <c r="C8" s="3" t="s">
        <v>156</v>
      </c>
      <c r="D8" s="3" t="s">
        <v>24</v>
      </c>
      <c r="E8" s="3" t="str">
        <f ca="1">IFERROR(__xludf.DUMMYFUNCTION("GOOGLETRANSLATE($D8,$D$1,$E$1)"),"Death")</f>
        <v>Death</v>
      </c>
      <c r="F8" s="3" t="str">
        <f ca="1">IFERROR(__xludf.DUMMYFUNCTION("GOOGLETRANSLATE($D8,$D$1,$F$1)"),"Morte")</f>
        <v>Morte</v>
      </c>
      <c r="G8" s="3" t="str">
        <f ca="1">IFERROR(__xludf.DUMMYFUNCTION("GOOGLETRANSLATE($D8,$D$1,G$1)"),"La mort")</f>
        <v>La mort</v>
      </c>
      <c r="H8" s="3" t="str">
        <f ca="1">IFERROR(__xludf.DUMMYFUNCTION("GOOGLETRANSLATE($D8,$D$1,H$1)"),"Tod")</f>
        <v>Tod</v>
      </c>
    </row>
    <row r="9" spans="1:26" x14ac:dyDescent="0.2">
      <c r="A9" s="3">
        <v>8</v>
      </c>
      <c r="B9" s="3" t="s">
        <v>25</v>
      </c>
      <c r="C9" s="3" t="s">
        <v>157</v>
      </c>
      <c r="D9" s="3" t="s">
        <v>27</v>
      </c>
      <c r="E9" s="3" t="str">
        <f ca="1">IFERROR(__xludf.DUMMYFUNCTION("GOOGLETRANSLATE($D9,$D$1,$E$1)"),"Cat")</f>
        <v>Cat</v>
      </c>
      <c r="F9" s="3" t="str">
        <f ca="1">IFERROR(__xludf.DUMMYFUNCTION("GOOGLETRANSLATE($D9,$D$1,$F$1)"),"Gatto")</f>
        <v>Gatto</v>
      </c>
      <c r="G9" s="3" t="str">
        <f ca="1">IFERROR(__xludf.DUMMYFUNCTION("GOOGLETRANSLATE($D9,$D$1,G$1)"),"Chat")</f>
        <v>Chat</v>
      </c>
      <c r="H9" s="3" t="str">
        <f ca="1">IFERROR(__xludf.DUMMYFUNCTION("GOOGLETRANSLATE($D9,$D$1,H$1)"),"Katze")</f>
        <v>Katze</v>
      </c>
    </row>
    <row r="10" spans="1:26" x14ac:dyDescent="0.2">
      <c r="A10" s="3">
        <v>9</v>
      </c>
      <c r="B10" s="3" t="s">
        <v>28</v>
      </c>
      <c r="C10" s="3" t="s">
        <v>158</v>
      </c>
      <c r="D10" s="3" t="s">
        <v>30</v>
      </c>
      <c r="E10" s="3" t="str">
        <f ca="1">IFERROR(__xludf.DUMMYFUNCTION("GOOGLETRANSLATE($D10,$D$1,$E$1)"),"Moon")</f>
        <v>Moon</v>
      </c>
      <c r="F10" s="3" t="str">
        <f ca="1">IFERROR(__xludf.DUMMYFUNCTION("GOOGLETRANSLATE($D10,$D$1,$F$1)"),"Luna")</f>
        <v>Luna</v>
      </c>
      <c r="G10" s="3" t="str">
        <f ca="1">IFERROR(__xludf.DUMMYFUNCTION("GOOGLETRANSLATE($D10,$D$1,G$1)"),"Lune")</f>
        <v>Lune</v>
      </c>
      <c r="H10" s="3" t="str">
        <f ca="1">IFERROR(__xludf.DUMMYFUNCTION("GOOGLETRANSLATE($D10,$D$1,H$1)"),"Mond")</f>
        <v>Mond</v>
      </c>
    </row>
    <row r="11" spans="1:26" x14ac:dyDescent="0.2">
      <c r="A11" s="3">
        <v>10</v>
      </c>
      <c r="B11" s="3" t="s">
        <v>31</v>
      </c>
      <c r="C11" s="3" t="s">
        <v>159</v>
      </c>
      <c r="D11" s="3" t="s">
        <v>33</v>
      </c>
      <c r="E11" s="3" t="str">
        <f ca="1">IFERROR(__xludf.DUMMYFUNCTION("GOOGLETRANSLATE($D11,$D$1,$E$1)"),"Home")</f>
        <v>Home</v>
      </c>
      <c r="F11" s="3" t="str">
        <f ca="1">IFERROR(__xludf.DUMMYFUNCTION("GOOGLETRANSLATE($D11,$D$1,$F$1)"),"Casa")</f>
        <v>Casa</v>
      </c>
      <c r="G11" s="3" t="str">
        <f ca="1">IFERROR(__xludf.DUMMYFUNCTION("GOOGLETRANSLATE($D11,$D$1,G$1)"),"Maison")</f>
        <v>Maison</v>
      </c>
      <c r="H11" s="3" t="str">
        <f ca="1">IFERROR(__xludf.DUMMYFUNCTION("GOOGLETRANSLATE($D11,$D$1,H$1)"),"Heim")</f>
        <v>Heim</v>
      </c>
    </row>
    <row r="12" spans="1:26" x14ac:dyDescent="0.2">
      <c r="A12" s="3">
        <v>11</v>
      </c>
      <c r="B12" s="3" t="s">
        <v>40</v>
      </c>
      <c r="C12" s="3" t="s">
        <v>160</v>
      </c>
      <c r="D12" s="3" t="s">
        <v>42</v>
      </c>
      <c r="E12" s="3" t="str">
        <f ca="1">IFERROR(__xludf.DUMMYFUNCTION("GOOGLETRANSLATE($D12,$D$1,$E$1)"),"Star")</f>
        <v>Star</v>
      </c>
      <c r="F12" s="3" t="str">
        <f ca="1">IFERROR(__xludf.DUMMYFUNCTION("GOOGLETRANSLATE($D12,$D$1,$F$1)"),"Stella")</f>
        <v>Stella</v>
      </c>
      <c r="G12" s="3" t="str">
        <f ca="1">IFERROR(__xludf.DUMMYFUNCTION("GOOGLETRANSLATE($D12,$D$1,G$1)"),"Étoile")</f>
        <v>Étoile</v>
      </c>
      <c r="H12" s="3" t="str">
        <f ca="1">IFERROR(__xludf.DUMMYFUNCTION("GOOGLETRANSLATE($D12,$D$1,H$1)"),"Stern")</f>
        <v>Stern</v>
      </c>
    </row>
    <row r="13" spans="1:26" x14ac:dyDescent="0.2">
      <c r="A13" s="3">
        <v>12</v>
      </c>
      <c r="B13" s="3" t="s">
        <v>161</v>
      </c>
      <c r="C13" s="3" t="s">
        <v>162</v>
      </c>
      <c r="D13" s="3" t="s">
        <v>45</v>
      </c>
      <c r="E13" s="3" t="str">
        <f ca="1">IFERROR(__xludf.DUMMYFUNCTION("GOOGLETRANSLATE($D13,$D$1,$E$1)"),"Dog")</f>
        <v>Dog</v>
      </c>
      <c r="F13" s="3" t="str">
        <f ca="1">IFERROR(__xludf.DUMMYFUNCTION("GOOGLETRANSLATE($D13,$D$1,$F$1)"),"Cane")</f>
        <v>Cane</v>
      </c>
      <c r="G13" s="3" t="str">
        <f ca="1">IFERROR(__xludf.DUMMYFUNCTION("GOOGLETRANSLATE($D13,$D$1,G$1)"),"Chien")</f>
        <v>Chien</v>
      </c>
      <c r="H13" s="3" t="str">
        <f ca="1">IFERROR(__xludf.DUMMYFUNCTION("GOOGLETRANSLATE($D13,$D$1,H$1)"),"Hund")</f>
        <v>Hund</v>
      </c>
    </row>
    <row r="14" spans="1:26" x14ac:dyDescent="0.2">
      <c r="A14" s="3">
        <v>13</v>
      </c>
      <c r="B14" s="3" t="s">
        <v>47</v>
      </c>
      <c r="C14" s="3" t="s">
        <v>163</v>
      </c>
      <c r="D14" s="3" t="s">
        <v>49</v>
      </c>
      <c r="E14" s="3" t="str">
        <f ca="1">IFERROR(__xludf.DUMMYFUNCTION("GOOGLETRANSLATE($D14,$D$1,$E$1)"),"Force")</f>
        <v>Force</v>
      </c>
      <c r="F14" s="3" t="str">
        <f ca="1">IFERROR(__xludf.DUMMYFUNCTION("GOOGLETRANSLATE($D14,$D$1,$F$1)"),"Forza")</f>
        <v>Forza</v>
      </c>
      <c r="G14" s="3" t="str">
        <f ca="1">IFERROR(__xludf.DUMMYFUNCTION("GOOGLETRANSLATE($D14,$D$1,G$1)"),"Forcer")</f>
        <v>Forcer</v>
      </c>
      <c r="H14" s="3" t="str">
        <f ca="1">IFERROR(__xludf.DUMMYFUNCTION("GOOGLETRANSLATE($D14,$D$1,H$1)"),"Gewalt")</f>
        <v>Gewalt</v>
      </c>
    </row>
    <row r="15" spans="1:26" x14ac:dyDescent="0.2">
      <c r="A15" s="3">
        <v>14</v>
      </c>
      <c r="B15" s="3" t="s">
        <v>50</v>
      </c>
      <c r="C15" s="3" t="s">
        <v>164</v>
      </c>
      <c r="D15" s="3" t="s">
        <v>52</v>
      </c>
      <c r="E15" s="3" t="str">
        <f ca="1">IFERROR(__xludf.DUMMYFUNCTION("GOOGLETRANSLATE($D15,$D$1,$E$1)"),"Sea")</f>
        <v>Sea</v>
      </c>
      <c r="F15" s="3" t="str">
        <f ca="1">IFERROR(__xludf.DUMMYFUNCTION("GOOGLETRANSLATE($D15,$D$1,$F$1)"),"Mare")</f>
        <v>Mare</v>
      </c>
      <c r="G15" s="3" t="str">
        <f ca="1">IFERROR(__xludf.DUMMYFUNCTION("GOOGLETRANSLATE($D15,$D$1,G$1)"),"Mer")</f>
        <v>Mer</v>
      </c>
      <c r="H15" s="3" t="str">
        <f ca="1">IFERROR(__xludf.DUMMYFUNCTION("GOOGLETRANSLATE($D15,$D$1,H$1)"),"Meer")</f>
        <v>Meer</v>
      </c>
    </row>
    <row r="16" spans="1:26" x14ac:dyDescent="0.2">
      <c r="A16" s="3">
        <v>15</v>
      </c>
      <c r="B16" s="2" t="s">
        <v>65</v>
      </c>
      <c r="C16" s="2" t="s">
        <v>165</v>
      </c>
      <c r="D16" s="2" t="s">
        <v>67</v>
      </c>
      <c r="E16" s="3" t="str">
        <f ca="1">IFERROR(__xludf.DUMMYFUNCTION("GOOGLETRANSLATE($D16,$D$1,$E$1)"),"Evening")</f>
        <v>Evening</v>
      </c>
      <c r="F16" s="3" t="str">
        <f ca="1">IFERROR(__xludf.DUMMYFUNCTION("GOOGLETRANSLATE($D16,$D$1,$F$1)"),"Sera")</f>
        <v>Sera</v>
      </c>
      <c r="G16" s="3" t="str">
        <f ca="1">IFERROR(__xludf.DUMMYFUNCTION("GOOGLETRANSLATE($D16,$D$1,G$1)"),"Soirée")</f>
        <v>Soirée</v>
      </c>
      <c r="H16" s="3" t="str">
        <f ca="1">IFERROR(__xludf.DUMMYFUNCTION("GOOGLETRANSLATE($D16,$D$1,H$1)"),"Abend")</f>
        <v>Abend</v>
      </c>
    </row>
    <row r="17" spans="1:26" x14ac:dyDescent="0.2">
      <c r="A17" s="3">
        <v>16</v>
      </c>
      <c r="B17" s="2" t="s">
        <v>70</v>
      </c>
      <c r="C17" s="2" t="s">
        <v>166</v>
      </c>
      <c r="D17" s="2" t="s">
        <v>72</v>
      </c>
      <c r="E17" s="3" t="str">
        <f ca="1">IFERROR(__xludf.DUMMYFUNCTION("GOOGLETRANSLATE($D17,$D$1,$E$1)"),"Beauty")</f>
        <v>Beauty</v>
      </c>
      <c r="F17" s="3" t="str">
        <f ca="1">IFERROR(__xludf.DUMMYFUNCTION("GOOGLETRANSLATE($D17,$D$1,$F$1)"),"Bellezza")</f>
        <v>Bellezza</v>
      </c>
      <c r="G17" s="3" t="str">
        <f ca="1">IFERROR(__xludf.DUMMYFUNCTION("GOOGLETRANSLATE($D17,$D$1,G$1)"),"Beauté")</f>
        <v>Beauté</v>
      </c>
      <c r="H17" s="3" t="str">
        <f ca="1">IFERROR(__xludf.DUMMYFUNCTION("GOOGLETRANSLATE($D17,$D$1,H$1)"),"Schönheit")</f>
        <v>Schönheit</v>
      </c>
    </row>
    <row r="18" spans="1:26" x14ac:dyDescent="0.2">
      <c r="A18" s="3">
        <v>17</v>
      </c>
      <c r="B18" s="2" t="s">
        <v>73</v>
      </c>
      <c r="C18" s="2" t="s">
        <v>167</v>
      </c>
      <c r="D18" s="2" t="s">
        <v>168</v>
      </c>
      <c r="E18" s="3" t="str">
        <f ca="1">IFERROR(__xludf.DUMMYFUNCTION("GOOGLETRANSLATE($D18,$D$1,$E$1)"),"Eternity")</f>
        <v>Eternity</v>
      </c>
      <c r="F18" s="3" t="str">
        <f ca="1">IFERROR(__xludf.DUMMYFUNCTION("GOOGLETRANSLATE($D18,$D$1,$F$1)"),"Eternità")</f>
        <v>Eternità</v>
      </c>
      <c r="G18" s="3" t="str">
        <f ca="1">IFERROR(__xludf.DUMMYFUNCTION("GOOGLETRANSLATE($D18,$D$1,G$1)"),"Éternité")</f>
        <v>Éternité</v>
      </c>
      <c r="H18" s="3" t="str">
        <f ca="1">IFERROR(__xludf.DUMMYFUNCTION("GOOGLETRANSLATE($D18,$D$1,H$1)"),"Ewigkeit")</f>
        <v>Ewigkeit</v>
      </c>
    </row>
    <row r="19" spans="1:26" x14ac:dyDescent="0.2">
      <c r="A19" s="3">
        <v>18</v>
      </c>
      <c r="B19" s="2" t="s">
        <v>79</v>
      </c>
      <c r="C19" s="2" t="s">
        <v>169</v>
      </c>
      <c r="D19" s="2" t="s">
        <v>81</v>
      </c>
      <c r="E19" s="3" t="str">
        <f ca="1">IFERROR(__xludf.DUMMYFUNCTION("GOOGLETRANSLATE($D19,$D$1,$E$1)"),"Rain")</f>
        <v>Rain</v>
      </c>
      <c r="F19" s="3" t="str">
        <f ca="1">IFERROR(__xludf.DUMMYFUNCTION("GOOGLETRANSLATE($D19,$D$1,$F$1)"),"Piovere")</f>
        <v>Piovere</v>
      </c>
      <c r="G19" s="3" t="str">
        <f ca="1">IFERROR(__xludf.DUMMYFUNCTION("GOOGLETRANSLATE($D19,$D$1,G$1)"),"Pluie")</f>
        <v>Pluie</v>
      </c>
      <c r="H19" s="3" t="str">
        <f ca="1">IFERROR(__xludf.DUMMYFUNCTION("GOOGLETRANSLATE($D19,$D$1,H$1)"),"Regen")</f>
        <v>Regen</v>
      </c>
    </row>
    <row r="20" spans="1:26" x14ac:dyDescent="0.2">
      <c r="A20" s="3">
        <v>19</v>
      </c>
      <c r="B20" s="2" t="s">
        <v>170</v>
      </c>
      <c r="C20" s="2" t="s">
        <v>171</v>
      </c>
      <c r="D20" s="2" t="s">
        <v>172</v>
      </c>
      <c r="E20" s="3" t="str">
        <f ca="1">IFERROR(__xludf.DUMMYFUNCTION("GOOGLETRANSLATE($D20,$D$1,$E$1)"),"Sand")</f>
        <v>Sand</v>
      </c>
      <c r="F20" s="3" t="str">
        <f ca="1">IFERROR(__xludf.DUMMYFUNCTION("GOOGLETRANSLATE($D20,$D$1,$F$1)"),"Sabbia")</f>
        <v>Sabbia</v>
      </c>
      <c r="G20" s="3" t="str">
        <f ca="1">IFERROR(__xludf.DUMMYFUNCTION("GOOGLETRANSLATE($D20,$D$1,G$1)"),"Sable")</f>
        <v>Sable</v>
      </c>
      <c r="H20" s="3" t="str">
        <f ca="1">IFERROR(__xludf.DUMMYFUNCTION("GOOGLETRANSLATE($D20,$D$1,H$1)"),"Sand")</f>
        <v>Sand</v>
      </c>
    </row>
    <row r="21" spans="1:26" x14ac:dyDescent="0.2">
      <c r="A21" s="3">
        <v>20</v>
      </c>
      <c r="B21" s="2" t="s">
        <v>173</v>
      </c>
      <c r="C21" s="2" t="s">
        <v>174</v>
      </c>
      <c r="D21" s="2" t="s">
        <v>19</v>
      </c>
      <c r="E21" s="3" t="str">
        <f ca="1">IFERROR(__xludf.DUMMYFUNCTION("GOOGLETRANSLATE($D21,$D$1,$E$1)"),"Happiness")</f>
        <v>Happiness</v>
      </c>
      <c r="F21" s="3" t="str">
        <f ca="1">IFERROR(__xludf.DUMMYFUNCTION("GOOGLETRANSLATE($D21,$D$1,$F$1)"),"Felicità")</f>
        <v>Felicità</v>
      </c>
      <c r="G21" s="3" t="str">
        <f ca="1">IFERROR(__xludf.DUMMYFUNCTION("GOOGLETRANSLATE($D21,$D$1,G$1)"),"Bonheur")</f>
        <v>Bonheur</v>
      </c>
      <c r="H21" s="3" t="str">
        <f ca="1">IFERROR(__xludf.DUMMYFUNCTION("GOOGLETRANSLATE($D21,$D$1,H$1)"),"Glück")</f>
        <v>Glück</v>
      </c>
    </row>
    <row r="22" spans="1:26" x14ac:dyDescent="0.2">
      <c r="A22" s="3">
        <v>21</v>
      </c>
      <c r="B22" s="2" t="s">
        <v>92</v>
      </c>
      <c r="C22" s="2" t="s">
        <v>175</v>
      </c>
      <c r="D22" s="2" t="s">
        <v>94</v>
      </c>
      <c r="E22" s="3" t="str">
        <f ca="1">IFERROR(__xludf.DUMMYFUNCTION("GOOGLETRANSLATE($D22,$D$1,$E$1)"),"Darling")</f>
        <v>Darling</v>
      </c>
      <c r="F22" s="3" t="str">
        <f ca="1">IFERROR(__xludf.DUMMYFUNCTION("GOOGLETRANSLATE($D22,$D$1,$F$1)"),"Tesoro")</f>
        <v>Tesoro</v>
      </c>
      <c r="G22" s="3" t="str">
        <f ca="1">IFERROR(__xludf.DUMMYFUNCTION("GOOGLETRANSLATE($D22,$D$1,G$1)"),"Chéri")</f>
        <v>Chéri</v>
      </c>
      <c r="H22" s="3" t="str">
        <f ca="1">IFERROR(__xludf.DUMMYFUNCTION("GOOGLETRANSLATE($D22,$D$1,H$1)"),"Schatz")</f>
        <v>Schatz</v>
      </c>
      <c r="J22" s="2"/>
      <c r="K22" s="2"/>
      <c r="L22" s="2"/>
    </row>
    <row r="23" spans="1:26" x14ac:dyDescent="0.2">
      <c r="A23" s="3">
        <v>22</v>
      </c>
      <c r="B23" s="2" t="s">
        <v>176</v>
      </c>
      <c r="C23" s="2" t="s">
        <v>177</v>
      </c>
      <c r="D23" s="2" t="s">
        <v>98</v>
      </c>
      <c r="E23" s="3" t="str">
        <f ca="1">IFERROR(__xludf.DUMMYFUNCTION("GOOGLETRANSLATE($D23,$D$1,$E$1)"),"Dream")</f>
        <v>Dream</v>
      </c>
      <c r="F23" s="3" t="str">
        <f ca="1">IFERROR(__xludf.DUMMYFUNCTION("GOOGLETRANSLATE($D23,$D$1,$F$1)"),"Sogno")</f>
        <v>Sogno</v>
      </c>
      <c r="G23" s="3" t="str">
        <f ca="1">IFERROR(__xludf.DUMMYFUNCTION("GOOGLETRANSLATE($D23,$D$1,G$1)"),"Rêve")</f>
        <v>Rêve</v>
      </c>
      <c r="H23" s="3" t="str">
        <f ca="1">IFERROR(__xludf.DUMMYFUNCTION("GOOGLETRANSLATE($D23,$D$1,H$1)"),"Traum")</f>
        <v>Traum</v>
      </c>
    </row>
    <row r="24" spans="1:26" x14ac:dyDescent="0.2">
      <c r="A24" s="3">
        <v>23</v>
      </c>
      <c r="B24" s="2" t="s">
        <v>178</v>
      </c>
      <c r="C24" s="2" t="s">
        <v>179</v>
      </c>
      <c r="D24" s="2" t="s">
        <v>180</v>
      </c>
      <c r="E24" s="3" t="str">
        <f ca="1">IFERROR(__xludf.DUMMYFUNCTION("GOOGLETRANSLATE($D24,$D$1,$E$1)"),"Vital Energy")</f>
        <v>Vital Energy</v>
      </c>
      <c r="F24" s="3" t="str">
        <f ca="1">IFERROR(__xludf.DUMMYFUNCTION("GOOGLETRANSLATE($D24,$D$1,$F$1)"),"Energia vitale")</f>
        <v>Energia vitale</v>
      </c>
      <c r="G24" s="3" t="str">
        <f ca="1">IFERROR(__xludf.DUMMYFUNCTION("GOOGLETRANSLATE($D24,$D$1,G$1)"),"Énergie vitale")</f>
        <v>Énergie vitale</v>
      </c>
      <c r="H24" s="3" t="str">
        <f ca="1">IFERROR(__xludf.DUMMYFUNCTION("GOOGLETRANSLATE($D24,$D$1,H$1)"),"Lebensenergie")</f>
        <v>Lebensenergie</v>
      </c>
    </row>
    <row r="25" spans="1:26" x14ac:dyDescent="0.2">
      <c r="A25" s="3">
        <v>24</v>
      </c>
      <c r="B25" s="2" t="s">
        <v>181</v>
      </c>
      <c r="C25" s="2" t="s">
        <v>182</v>
      </c>
      <c r="D25" s="2" t="s">
        <v>183</v>
      </c>
      <c r="E25" s="3" t="str">
        <f ca="1">IFERROR(__xludf.DUMMYFUNCTION("GOOGLETRANSLATE($D25,$D$1,$E$1)"),"Wind")</f>
        <v>Wind</v>
      </c>
      <c r="F25" s="3" t="str">
        <f ca="1">IFERROR(__xludf.DUMMYFUNCTION("GOOGLETRANSLATE($D25,$D$1,$F$1)"),"Vento")</f>
        <v>Vento</v>
      </c>
      <c r="G25" s="3" t="str">
        <f ca="1">IFERROR(__xludf.DUMMYFUNCTION("GOOGLETRANSLATE($D25,$D$1,G$1)"),"Vent")</f>
        <v>Vent</v>
      </c>
      <c r="H25" s="3" t="str">
        <f ca="1">IFERROR(__xludf.DUMMYFUNCTION("GOOGLETRANSLATE($D25,$D$1,H$1)"),"Wind")</f>
        <v>Wind</v>
      </c>
    </row>
    <row r="26" spans="1:26" x14ac:dyDescent="0.2">
      <c r="A26" s="3">
        <v>25</v>
      </c>
      <c r="B26" s="2" t="s">
        <v>110</v>
      </c>
      <c r="C26" s="2" t="s">
        <v>184</v>
      </c>
      <c r="D26" s="2" t="s">
        <v>112</v>
      </c>
      <c r="E26" s="3" t="str">
        <f ca="1">IFERROR(__xludf.DUMMYFUNCTION("GOOGLETRANSLATE($D26,$D$1,$E$1)"),"Flower")</f>
        <v>Flower</v>
      </c>
      <c r="F26" s="3" t="str">
        <f ca="1">IFERROR(__xludf.DUMMYFUNCTION("GOOGLETRANSLATE($D26,$D$1,$F$1)"),"Fiore")</f>
        <v>Fiore</v>
      </c>
      <c r="G26" s="3" t="str">
        <f ca="1">IFERROR(__xludf.DUMMYFUNCTION("GOOGLETRANSLATE($D26,$D$1,G$1)"),"Fleur")</f>
        <v>Fleur</v>
      </c>
      <c r="H26" s="3" t="str">
        <f ca="1">IFERROR(__xludf.DUMMYFUNCTION("GOOGLETRANSLATE($D26,$D$1,H$1)"),"Blume")</f>
        <v>Blume</v>
      </c>
    </row>
    <row r="27" spans="1:26" x14ac:dyDescent="0.2">
      <c r="A27" s="3">
        <v>26</v>
      </c>
      <c r="B27" s="2" t="s">
        <v>113</v>
      </c>
      <c r="C27" s="2" t="s">
        <v>185</v>
      </c>
      <c r="D27" s="2" t="s">
        <v>115</v>
      </c>
      <c r="E27" s="3" t="str">
        <f ca="1">IFERROR(__xludf.DUMMYFUNCTION("GOOGLETRANSLATE($D27,$D$1,$E$1)"),"Harmony")</f>
        <v>Harmony</v>
      </c>
      <c r="F27" s="3" t="str">
        <f ca="1">IFERROR(__xludf.DUMMYFUNCTION("GOOGLETRANSLATE($D27,$D$1,$F$1)"),"Armonia")</f>
        <v>Armonia</v>
      </c>
      <c r="G27" s="3" t="str">
        <f ca="1">IFERROR(__xludf.DUMMYFUNCTION("GOOGLETRANSLATE($D27,$D$1,G$1)"),"Harmonie")</f>
        <v>Harmonie</v>
      </c>
      <c r="H27" s="3" t="str">
        <f ca="1">IFERROR(__xludf.DUMMYFUNCTION("GOOGLETRANSLATE($D27,$D$1,H$1)"),"Harmonie")</f>
        <v>Harmonie</v>
      </c>
    </row>
    <row r="28" spans="1:26" x14ac:dyDescent="0.2">
      <c r="A28" s="3">
        <v>27</v>
      </c>
      <c r="B28" s="2" t="s">
        <v>186</v>
      </c>
      <c r="C28" s="2" t="s">
        <v>187</v>
      </c>
      <c r="D28" s="2" t="s">
        <v>118</v>
      </c>
      <c r="E28" s="3" t="str">
        <f ca="1">IFERROR(__xludf.DUMMYFUNCTION("GOOGLETRANSLATE($D28,$D$1,$E$1)"),"Wisdom")</f>
        <v>Wisdom</v>
      </c>
      <c r="F28" s="3" t="str">
        <f ca="1">IFERROR(__xludf.DUMMYFUNCTION("GOOGLETRANSLATE($D28,$D$1,$F$1)"),"Saggezza")</f>
        <v>Saggezza</v>
      </c>
      <c r="G28" s="3" t="str">
        <f ca="1">IFERROR(__xludf.DUMMYFUNCTION("GOOGLETRANSLATE($D28,$D$1,G$1)"),"Sagesse")</f>
        <v>Sagesse</v>
      </c>
      <c r="H28" s="3" t="str">
        <f ca="1">IFERROR(__xludf.DUMMYFUNCTION("GOOGLETRANSLATE($D28,$D$1,H$1)"),"Weisheit")</f>
        <v>Weisheit</v>
      </c>
    </row>
    <row r="29" spans="1:26" x14ac:dyDescent="0.2">
      <c r="A29" s="3">
        <v>28</v>
      </c>
      <c r="B29" s="2" t="s">
        <v>119</v>
      </c>
      <c r="C29" s="2" t="s">
        <v>188</v>
      </c>
      <c r="D29" s="2" t="s">
        <v>121</v>
      </c>
      <c r="E29" s="3" t="str">
        <f ca="1">IFERROR(__xludf.DUMMYFUNCTION("GOOGLETRANSLATE($D29,$D$1,$E$1)"),"TRUE")</f>
        <v>TRUE</v>
      </c>
      <c r="F29" s="3" t="str">
        <f ca="1">IFERROR(__xludf.DUMMYFUNCTION("GOOGLETRANSLATE($D29,$D$1,$F$1)"),"VERO")</f>
        <v>VERO</v>
      </c>
      <c r="G29" s="3" t="str">
        <f ca="1">IFERROR(__xludf.DUMMYFUNCTION("GOOGLETRANSLATE($D29,$D$1,G$1)"),"VRAI")</f>
        <v>VRAI</v>
      </c>
      <c r="H29" s="3" t="str">
        <f ca="1">IFERROR(__xludf.DUMMYFUNCTION("GOOGLETRANSLATE($D29,$D$1,H$1)"),"WAHR")</f>
        <v>WAHR</v>
      </c>
      <c r="K29" s="2"/>
      <c r="L29" s="2"/>
      <c r="M29" s="2"/>
    </row>
    <row r="30" spans="1:26" x14ac:dyDescent="0.2">
      <c r="A30" s="3">
        <v>29</v>
      </c>
      <c r="B30" s="2" t="s">
        <v>189</v>
      </c>
      <c r="C30" s="2" t="s">
        <v>190</v>
      </c>
      <c r="D30" s="2" t="s">
        <v>125</v>
      </c>
      <c r="E30" s="3" t="str">
        <f ca="1">IFERROR(__xludf.DUMMYFUNCTION("GOOGLETRANSLATE($D30,$D$1,$E$1)"),"Cloud")</f>
        <v>Cloud</v>
      </c>
      <c r="F30" s="3" t="str">
        <f ca="1">IFERROR(__xludf.DUMMYFUNCTION("GOOGLETRANSLATE($D30,$D$1,$F$1)"),"Nuvola")</f>
        <v>Nuvola</v>
      </c>
      <c r="G30" s="3" t="str">
        <f ca="1">IFERROR(__xludf.DUMMYFUNCTION("GOOGLETRANSLATE($D30,$D$1,G$1)"),"Nuage")</f>
        <v>Nuage</v>
      </c>
      <c r="H30" s="3" t="str">
        <f ca="1">IFERROR(__xludf.DUMMYFUNCTION("GOOGLETRANSLATE($D30,$D$1,H$1)"),"Wolke")</f>
        <v>Wolke</v>
      </c>
    </row>
    <row r="31" spans="1:26" x14ac:dyDescent="0.2">
      <c r="A31" s="3">
        <v>30</v>
      </c>
      <c r="B31" s="2" t="s">
        <v>191</v>
      </c>
      <c r="C31" s="2" t="s">
        <v>192</v>
      </c>
      <c r="D31" s="2" t="s">
        <v>46</v>
      </c>
      <c r="E31" s="2" t="str">
        <f ca="1">IFERROR(__xludf.DUMMYFUNCTION("GOOGLETRANSLATE($D31,$D$1,$E$1)"),"Spirit")</f>
        <v>Spirit</v>
      </c>
      <c r="F31" s="2" t="str">
        <f ca="1">IFERROR(__xludf.DUMMYFUNCTION("GOOGLETRANSLATE($D31,$D$1,$F$1)"),"Spirito")</f>
        <v>Spirito</v>
      </c>
      <c r="G31" s="2" t="str">
        <f ca="1">IFERROR(__xludf.DUMMYFUNCTION("GOOGLETRANSLATE($D31,$D$1,G$1)"),"Esprit")</f>
        <v>Esprit</v>
      </c>
      <c r="H31" s="2" t="str">
        <f ca="1">IFERROR(__xludf.DUMMYFUNCTION("GOOGLETRANSLATE($D31,$D$1,H$1)"),"Geist")</f>
        <v>Geist</v>
      </c>
      <c r="I31" s="2"/>
      <c r="J31" s="2"/>
      <c r="K31" s="2"/>
      <c r="L31" s="2"/>
      <c r="M31" s="2"/>
      <c r="N31" s="2"/>
      <c r="O31" s="2"/>
      <c r="P31" s="2"/>
      <c r="Q31" s="2"/>
      <c r="R31" s="2"/>
      <c r="S31" s="2"/>
      <c r="T31" s="2"/>
      <c r="U31" s="2"/>
      <c r="V31" s="2"/>
      <c r="W31" s="2"/>
      <c r="X31" s="2"/>
      <c r="Y31" s="2"/>
      <c r="Z31" s="2"/>
    </row>
    <row r="32" spans="1:26" x14ac:dyDescent="0.2">
      <c r="A32" s="3">
        <v>31</v>
      </c>
      <c r="B32" s="2" t="s">
        <v>193</v>
      </c>
      <c r="C32" s="2" t="s">
        <v>194</v>
      </c>
      <c r="D32" s="2" t="s">
        <v>195</v>
      </c>
      <c r="E32" s="3" t="str">
        <f ca="1">IFERROR(__xludf.DUMMYFUNCTION("GOOGLETRANSLATE($D32,$D$1,$E$1)"),"Lie")</f>
        <v>Lie</v>
      </c>
      <c r="F32" s="3" t="str">
        <f ca="1">IFERROR(__xludf.DUMMYFUNCTION("GOOGLETRANSLATE($D32,$D$1,$F$1)"),"Menzogna")</f>
        <v>Menzogna</v>
      </c>
      <c r="G32" s="3" t="str">
        <f ca="1">IFERROR(__xludf.DUMMYFUNCTION("GOOGLETRANSLATE($D32,$D$1,G$1)"),"Mensonge")</f>
        <v>Mensonge</v>
      </c>
      <c r="H32" s="3" t="str">
        <f ca="1">IFERROR(__xludf.DUMMYFUNCTION("GOOGLETRANSLATE($D32,$D$1,H$1)"),"Lüge")</f>
        <v>Lüge</v>
      </c>
    </row>
    <row r="33" spans="1:8" x14ac:dyDescent="0.2">
      <c r="A33" s="3">
        <v>32</v>
      </c>
      <c r="B33" s="2" t="s">
        <v>196</v>
      </c>
      <c r="C33" s="2" t="s">
        <v>197</v>
      </c>
      <c r="D33" s="2" t="s">
        <v>198</v>
      </c>
      <c r="E33" s="3" t="str">
        <f ca="1">IFERROR(__xludf.DUMMYFUNCTION("GOOGLETRANSLATE($D33,$D$1,$E$1)"),"Craziness")</f>
        <v>Craziness</v>
      </c>
      <c r="F33" s="3" t="str">
        <f ca="1">IFERROR(__xludf.DUMMYFUNCTION("GOOGLETRANSLATE($D33,$D$1,$F$1)"),"Follia")</f>
        <v>Follia</v>
      </c>
      <c r="G33" s="3" t="str">
        <f ca="1">IFERROR(__xludf.DUMMYFUNCTION("GOOGLETRANSLATE($D33,$D$1,G$1)"),"Folie")</f>
        <v>Folie</v>
      </c>
      <c r="H33" s="3" t="str">
        <f ca="1">IFERROR(__xludf.DUMMYFUNCTION("GOOGLETRANSLATE($D33,$D$1,H$1)"),"Verrücktheit")</f>
        <v>Verrücktheit</v>
      </c>
    </row>
    <row r="34" spans="1:8" x14ac:dyDescent="0.2">
      <c r="A34" s="3">
        <v>33</v>
      </c>
      <c r="B34" s="2" t="s">
        <v>199</v>
      </c>
      <c r="C34" s="2" t="s">
        <v>200</v>
      </c>
      <c r="D34" s="2" t="s">
        <v>201</v>
      </c>
      <c r="E34" s="3" t="str">
        <f ca="1">IFERROR(__xludf.DUMMYFUNCTION("GOOGLETRANSLATE($D34,$D$1,$E$1)"),"Abyss")</f>
        <v>Abyss</v>
      </c>
      <c r="F34" s="3" t="str">
        <f ca="1">IFERROR(__xludf.DUMMYFUNCTION("GOOGLETRANSLATE($D34,$D$1,$F$1)"),"Abisso")</f>
        <v>Abisso</v>
      </c>
      <c r="G34" s="3" t="str">
        <f ca="1">IFERROR(__xludf.DUMMYFUNCTION("GOOGLETRANSLATE($D34,$D$1,G$1)"),"Abîme")</f>
        <v>Abîme</v>
      </c>
      <c r="H34" s="3" t="str">
        <f ca="1">IFERROR(__xludf.DUMMYFUNCTION("GOOGLETRANSLATE($D34,$D$1,H$1)"),"Abgrund")</f>
        <v>Abgrund</v>
      </c>
    </row>
    <row r="35" spans="1:8" x14ac:dyDescent="0.2">
      <c r="A35" s="3">
        <v>34</v>
      </c>
      <c r="B35" s="2" t="s">
        <v>99</v>
      </c>
      <c r="C35" s="2" t="s">
        <v>151</v>
      </c>
      <c r="D35" s="2" t="s">
        <v>202</v>
      </c>
      <c r="E35" s="3" t="str">
        <f ca="1">IFERROR(__xludf.DUMMYFUNCTION("GOOGLETRANSLATE($D35,$D$1,$E$1)"),"Sun")</f>
        <v>Sun</v>
      </c>
      <c r="F35" s="3" t="str">
        <f ca="1">IFERROR(__xludf.DUMMYFUNCTION("GOOGLETRANSLATE($D35,$D$1,$F$1)"),"Sole")</f>
        <v>Sole</v>
      </c>
      <c r="G35" s="3" t="str">
        <f ca="1">IFERROR(__xludf.DUMMYFUNCTION("GOOGLETRANSLATE($D35,$D$1,G$1)"),"Soleil")</f>
        <v>Soleil</v>
      </c>
      <c r="H35" s="3" t="str">
        <f ca="1">IFERROR(__xludf.DUMMYFUNCTION("GOOGLETRANSLATE($D35,$D$1,H$1)"),"Sonne")</f>
        <v>Sonne</v>
      </c>
    </row>
    <row r="36" spans="1:8" x14ac:dyDescent="0.2">
      <c r="A36" s="3">
        <v>35</v>
      </c>
      <c r="B36" s="2" t="s">
        <v>102</v>
      </c>
      <c r="C36" s="2" t="s">
        <v>203</v>
      </c>
      <c r="D36" s="2" t="s">
        <v>204</v>
      </c>
      <c r="E36" s="3" t="str">
        <f ca="1">IFERROR(__xludf.DUMMYFUNCTION("GOOGLETRANSLATE($D36,$D$1,$E$1)"),"Heart")</f>
        <v>Heart</v>
      </c>
      <c r="F36" s="3" t="str">
        <f ca="1">IFERROR(__xludf.DUMMYFUNCTION("GOOGLETRANSLATE($D36,$D$1,$F$1)"),"Cuore")</f>
        <v>Cuore</v>
      </c>
      <c r="G36" s="3" t="str">
        <f ca="1">IFERROR(__xludf.DUMMYFUNCTION("GOOGLETRANSLATE($D36,$D$1,G$1)"),"Cœur")</f>
        <v>Cœur</v>
      </c>
      <c r="H36" s="3" t="str">
        <f ca="1">IFERROR(__xludf.DUMMYFUNCTION("GOOGLETRANSLATE($D36,$D$1,H$1)"),"Herz")</f>
        <v>Herz</v>
      </c>
    </row>
    <row r="37" spans="1:8" x14ac:dyDescent="0.2">
      <c r="A37" s="3">
        <v>36</v>
      </c>
      <c r="B37" s="2" t="s">
        <v>144</v>
      </c>
      <c r="C37" s="2" t="s">
        <v>205</v>
      </c>
      <c r="D37" s="2" t="s">
        <v>146</v>
      </c>
      <c r="E37" s="3" t="str">
        <f ca="1">IFERROR(__xludf.DUMMYFUNCTION("GOOGLETRANSLATE($D37,$D$1,$E$1)"),"Water")</f>
        <v>Water</v>
      </c>
      <c r="F37" s="3" t="str">
        <f ca="1">IFERROR(__xludf.DUMMYFUNCTION("GOOGLETRANSLATE($D37,$D$1,$F$1)"),"Acqua")</f>
        <v>Acqua</v>
      </c>
      <c r="G37" s="3" t="str">
        <f ca="1">IFERROR(__xludf.DUMMYFUNCTION("GOOGLETRANSLATE($D37,$D$1,G$1)"),"Eau")</f>
        <v>Eau</v>
      </c>
      <c r="H37" s="3" t="str">
        <f ca="1">IFERROR(__xludf.DUMMYFUNCTION("GOOGLETRANSLATE($D37,$D$1,H$1)"),"Wasser")</f>
        <v>Wasser</v>
      </c>
    </row>
    <row r="38" spans="1:8" x14ac:dyDescent="0.2">
      <c r="A38" s="3">
        <v>37</v>
      </c>
      <c r="B38" s="2" t="s">
        <v>56</v>
      </c>
      <c r="C38" s="2" t="s">
        <v>206</v>
      </c>
      <c r="D38" s="2" t="s">
        <v>58</v>
      </c>
      <c r="E38" s="3" t="str">
        <f ca="1">IFERROR(__xludf.DUMMYFUNCTION("GOOGLETRANSLATE($D38,$D$1,$E$1)"),"Path")</f>
        <v>Path</v>
      </c>
      <c r="F38" s="3" t="str">
        <f ca="1">IFERROR(__xludf.DUMMYFUNCTION("GOOGLETRANSLATE($D38,$D$1,$F$1)"),"Sentiero")</f>
        <v>Sentiero</v>
      </c>
      <c r="G38" s="3" t="str">
        <f ca="1">IFERROR(__xludf.DUMMYFUNCTION("GOOGLETRANSLATE($D38,$D$1,G$1)"),"Chemin")</f>
        <v>Chemin</v>
      </c>
      <c r="H38" s="3" t="str">
        <f ca="1">IFERROR(__xludf.DUMMYFUNCTION("GOOGLETRANSLATE($D38,$D$1,H$1)"),"Weg")</f>
        <v>Weg</v>
      </c>
    </row>
    <row r="39" spans="1:8" x14ac:dyDescent="0.2">
      <c r="A39" s="3">
        <v>38</v>
      </c>
      <c r="B39" s="2" t="s">
        <v>207</v>
      </c>
      <c r="C39" s="2" t="s">
        <v>208</v>
      </c>
      <c r="D39" s="2" t="s">
        <v>209</v>
      </c>
      <c r="E39" s="3" t="str">
        <f ca="1">IFERROR(__xludf.DUMMYFUNCTION("GOOGLETRANSLATE($D39,$D$1,$E$1)"),"Silence")</f>
        <v>Silence</v>
      </c>
      <c r="F39" s="3" t="str">
        <f ca="1">IFERROR(__xludf.DUMMYFUNCTION("GOOGLETRANSLATE($D39,$D$1,$F$1)"),"Silenzio")</f>
        <v>Silenzio</v>
      </c>
      <c r="G39" s="3" t="str">
        <f ca="1">IFERROR(__xludf.DUMMYFUNCTION("GOOGLETRANSLATE($D39,$D$1,G$1)"),"Silence")</f>
        <v>Silence</v>
      </c>
      <c r="H39" s="3" t="str">
        <f ca="1">IFERROR(__xludf.DUMMYFUNCTION("GOOGLETRANSLATE($D39,$D$1,H$1)"),"Schweigen")</f>
        <v>Schweigen</v>
      </c>
    </row>
    <row r="40" spans="1:8" x14ac:dyDescent="0.2">
      <c r="A40" s="3">
        <v>39</v>
      </c>
      <c r="B40" s="2" t="s">
        <v>210</v>
      </c>
      <c r="C40" s="2" t="s">
        <v>211</v>
      </c>
      <c r="D40" s="2" t="s">
        <v>212</v>
      </c>
      <c r="E40" s="3" t="str">
        <f ca="1">IFERROR(__xludf.DUMMYFUNCTION("GOOGLETRANSLATE($D40,$D$1,$E$1)"),"River")</f>
        <v>River</v>
      </c>
      <c r="F40" s="3" t="str">
        <f ca="1">IFERROR(__xludf.DUMMYFUNCTION("GOOGLETRANSLATE($D40,$D$1,$F$1)"),"Fiume")</f>
        <v>Fiume</v>
      </c>
      <c r="G40" s="3" t="str">
        <f ca="1">IFERROR(__xludf.DUMMYFUNCTION("GOOGLETRANSLATE($D40,$D$1,G$1)"),"Rivière")</f>
        <v>Rivière</v>
      </c>
      <c r="H40" s="3" t="str">
        <f ca="1">IFERROR(__xludf.DUMMYFUNCTION("GOOGLETRANSLATE($D40,$D$1,H$1)"),"Fluss")</f>
        <v>Fluss</v>
      </c>
    </row>
    <row r="41" spans="1:8" x14ac:dyDescent="0.2">
      <c r="A41" s="3">
        <v>40</v>
      </c>
      <c r="B41" s="2" t="s">
        <v>213</v>
      </c>
      <c r="C41" s="2" t="s">
        <v>214</v>
      </c>
      <c r="D41" s="2" t="s">
        <v>215</v>
      </c>
      <c r="E41" s="3" t="str">
        <f ca="1">IFERROR(__xludf.DUMMYFUNCTION("GOOGLETRANSLATE($D41,$D$1,$E$1)"),"Storm")</f>
        <v>Storm</v>
      </c>
      <c r="F41" s="3" t="str">
        <f ca="1">IFERROR(__xludf.DUMMYFUNCTION("GOOGLETRANSLATE($D41,$D$1,$F$1)"),"Tempesta")</f>
        <v>Tempesta</v>
      </c>
      <c r="G41" s="3" t="str">
        <f ca="1">IFERROR(__xludf.DUMMYFUNCTION("GOOGLETRANSLATE($D41,$D$1,G$1)"),"Tempête")</f>
        <v>Tempête</v>
      </c>
      <c r="H41" s="3" t="str">
        <f ca="1">IFERROR(__xludf.DUMMYFUNCTION("GOOGLETRANSLATE($D41,$D$1,H$1)"),"Sturm")</f>
        <v>Sturm</v>
      </c>
    </row>
    <row r="42" spans="1:8" x14ac:dyDescent="0.2">
      <c r="A42" s="3">
        <v>41</v>
      </c>
      <c r="B42" s="2" t="s">
        <v>216</v>
      </c>
      <c r="C42" s="2" t="s">
        <v>217</v>
      </c>
      <c r="D42" s="2" t="s">
        <v>218</v>
      </c>
      <c r="E42" s="3" t="str">
        <f ca="1">IFERROR(__xludf.DUMMYFUNCTION("GOOGLETRANSLATE($D42,$D$1,$E$1)"),"Well")</f>
        <v>Well</v>
      </c>
      <c r="F42" s="3" t="str">
        <f ca="1">IFERROR(__xludf.DUMMYFUNCTION("GOOGLETRANSLATE($D42,$D$1,$F$1)"),"BENE")</f>
        <v>BENE</v>
      </c>
      <c r="G42" s="3" t="str">
        <f ca="1">IFERROR(__xludf.DUMMYFUNCTION("GOOGLETRANSLATE($D42,$D$1,G$1)"),"Bien")</f>
        <v>Bien</v>
      </c>
      <c r="H42" s="3" t="str">
        <f ca="1">IFERROR(__xludf.DUMMYFUNCTION("GOOGLETRANSLATE($D42,$D$1,H$1)"),"Also")</f>
        <v>Also</v>
      </c>
    </row>
    <row r="43" spans="1:8" x14ac:dyDescent="0.2">
      <c r="A43" s="3">
        <v>42</v>
      </c>
      <c r="B43" s="2" t="s">
        <v>219</v>
      </c>
      <c r="C43" s="2" t="s">
        <v>220</v>
      </c>
      <c r="D43" s="2" t="s">
        <v>221</v>
      </c>
      <c r="E43" s="3" t="str">
        <f ca="1">IFERROR(__xludf.DUMMYFUNCTION("GOOGLETRANSLATE($D43,$D$1,$E$1)"),"Bad")</f>
        <v>Bad</v>
      </c>
      <c r="F43" s="3" t="str">
        <f ca="1">IFERROR(__xludf.DUMMYFUNCTION("GOOGLETRANSLATE($D43,$D$1,$F$1)"),"Cattivo")</f>
        <v>Cattivo</v>
      </c>
      <c r="G43" s="3" t="str">
        <f ca="1">IFERROR(__xludf.DUMMYFUNCTION("GOOGLETRANSLATE($D43,$D$1,G$1)"),"Mauvais")</f>
        <v>Mauvais</v>
      </c>
      <c r="H43" s="3" t="str">
        <f ca="1">IFERROR(__xludf.DUMMYFUNCTION("GOOGLETRANSLATE($D43,$D$1,H$1)"),"Schlecht")</f>
        <v>Schlecht</v>
      </c>
    </row>
    <row r="44" spans="1:8" x14ac:dyDescent="0.2">
      <c r="A44" s="3">
        <v>43</v>
      </c>
      <c r="B44" s="2" t="s">
        <v>129</v>
      </c>
      <c r="C44" s="2" t="s">
        <v>187</v>
      </c>
      <c r="D44" s="2" t="s">
        <v>131</v>
      </c>
      <c r="E44" s="3" t="str">
        <f ca="1">IFERROR(__xludf.DUMMYFUNCTION("GOOGLETRANSLATE($D44,$D$1,$E$1)"),"Blood")</f>
        <v>Blood</v>
      </c>
      <c r="F44" s="3" t="str">
        <f ca="1">IFERROR(__xludf.DUMMYFUNCTION("GOOGLETRANSLATE($D44,$D$1,$F$1)"),"Sangue")</f>
        <v>Sangue</v>
      </c>
      <c r="G44" s="3" t="str">
        <f ca="1">IFERROR(__xludf.DUMMYFUNCTION("GOOGLETRANSLATE($D44,$D$1,G$1)"),"Sang")</f>
        <v>Sang</v>
      </c>
      <c r="H44" s="3" t="str">
        <f ca="1">IFERROR(__xludf.DUMMYFUNCTION("GOOGLETRANSLATE($D44,$D$1,H$1)"),"Blut")</f>
        <v>Blut</v>
      </c>
    </row>
    <row r="45" spans="1:8" x14ac:dyDescent="0.2">
      <c r="A45" s="3">
        <v>44</v>
      </c>
      <c r="B45" s="2" t="s">
        <v>222</v>
      </c>
      <c r="C45" s="2" t="s">
        <v>223</v>
      </c>
      <c r="D45" s="2" t="s">
        <v>224</v>
      </c>
      <c r="E45" s="3" t="str">
        <f ca="1">IFERROR(__xludf.DUMMYFUNCTION("GOOGLETRANSLATE($D45,$D$1,$E$1)"),"Smoke")</f>
        <v>Smoke</v>
      </c>
      <c r="F45" s="3" t="str">
        <f ca="1">IFERROR(__xludf.DUMMYFUNCTION("GOOGLETRANSLATE($D45,$D$1,$F$1)"),"Fumo")</f>
        <v>Fumo</v>
      </c>
      <c r="G45" s="3" t="str">
        <f ca="1">IFERROR(__xludf.DUMMYFUNCTION("GOOGLETRANSLATE($D45,$D$1,G$1)"),"Fumée")</f>
        <v>Fumée</v>
      </c>
      <c r="H45" s="3" t="str">
        <f ca="1">IFERROR(__xludf.DUMMYFUNCTION("GOOGLETRANSLATE($D45,$D$1,H$1)"),"Rauch")</f>
        <v>Rauch</v>
      </c>
    </row>
    <row r="46" spans="1:8" x14ac:dyDescent="0.2">
      <c r="A46" s="3">
        <v>45</v>
      </c>
      <c r="B46" s="2" t="s">
        <v>225</v>
      </c>
      <c r="C46" s="2" t="s">
        <v>226</v>
      </c>
      <c r="D46" s="2" t="s">
        <v>227</v>
      </c>
      <c r="E46" s="3" t="str">
        <f ca="1">IFERROR(__xludf.DUMMYFUNCTION("GOOGLETRANSLATE($D46,$D$1,$E$1)"),"At")</f>
        <v>At</v>
      </c>
      <c r="F46" s="3" t="str">
        <f ca="1">IFERROR(__xludf.DUMMYFUNCTION("GOOGLETRANSLATE($D46,$D$1,$F$1)"),"A")</f>
        <v>A</v>
      </c>
      <c r="G46" s="3" t="str">
        <f ca="1">IFERROR(__xludf.DUMMYFUNCTION("GOOGLETRANSLATE($D46,$D$1,G$1)"),"À")</f>
        <v>À</v>
      </c>
      <c r="H46" s="3" t="str">
        <f ca="1">IFERROR(__xludf.DUMMYFUNCTION("GOOGLETRANSLATE($D46,$D$1,H$1)"),"Bei")</f>
        <v>Bei</v>
      </c>
    </row>
    <row r="47" spans="1:8" x14ac:dyDescent="0.2">
      <c r="A47" s="3">
        <v>46</v>
      </c>
      <c r="B47" s="2" t="s">
        <v>228</v>
      </c>
      <c r="C47" s="2" t="s">
        <v>229</v>
      </c>
      <c r="D47" s="2" t="s">
        <v>230</v>
      </c>
      <c r="E47" s="3" t="str">
        <f ca="1">IFERROR(__xludf.DUMMYFUNCTION("GOOGLETRANSLATE($D47,$D$1,$E$1)"),"Luck")</f>
        <v>Luck</v>
      </c>
      <c r="F47" s="3" t="str">
        <f ca="1">IFERROR(__xludf.DUMMYFUNCTION("GOOGLETRANSLATE($D47,$D$1,$F$1)"),"Fortuna")</f>
        <v>Fortuna</v>
      </c>
      <c r="G47" s="3" t="str">
        <f ca="1">IFERROR(__xludf.DUMMYFUNCTION("GOOGLETRANSLATE($D47,$D$1,G$1)"),"Chance")</f>
        <v>Chance</v>
      </c>
      <c r="H47" s="3" t="str">
        <f ca="1">IFERROR(__xludf.DUMMYFUNCTION("GOOGLETRANSLATE($D47,$D$1,H$1)"),"Glück")</f>
        <v>Glück</v>
      </c>
    </row>
    <row r="48" spans="1:8" x14ac:dyDescent="0.2">
      <c r="A48" s="3">
        <v>47</v>
      </c>
      <c r="B48" s="2" t="s">
        <v>231</v>
      </c>
      <c r="C48" s="2" t="s">
        <v>179</v>
      </c>
      <c r="D48" s="2" t="s">
        <v>69</v>
      </c>
      <c r="E48" s="3" t="str">
        <f ca="1">IFERROR(__xludf.DUMMYFUNCTION("GOOGLETRANSLATE($D48,$D$1,$E$1)"),"Tree")</f>
        <v>Tree</v>
      </c>
      <c r="F48" s="3" t="str">
        <f ca="1">IFERROR(__xludf.DUMMYFUNCTION("GOOGLETRANSLATE($D48,$D$1,$F$1)"),"Albero")</f>
        <v>Albero</v>
      </c>
      <c r="G48" s="3" t="str">
        <f ca="1">IFERROR(__xludf.DUMMYFUNCTION("GOOGLETRANSLATE($D48,$D$1,G$1)"),"Arbre")</f>
        <v>Arbre</v>
      </c>
      <c r="H48" s="3" t="str">
        <f ca="1">IFERROR(__xludf.DUMMYFUNCTION("GOOGLETRANSLATE($D48,$D$1,H$1)"),"Baum")</f>
        <v>Baum</v>
      </c>
    </row>
    <row r="49" spans="1:8" x14ac:dyDescent="0.2">
      <c r="A49" s="3">
        <v>48</v>
      </c>
      <c r="B49" s="2" t="s">
        <v>141</v>
      </c>
      <c r="C49" s="2" t="s">
        <v>232</v>
      </c>
      <c r="D49" s="2" t="s">
        <v>143</v>
      </c>
      <c r="E49" s="3" t="str">
        <f ca="1">IFERROR(__xludf.DUMMYFUNCTION("GOOGLETRANSLATE($D49,$D$1,$E$1)"),"Light")</f>
        <v>Light</v>
      </c>
      <c r="F49" s="3" t="str">
        <f ca="1">IFERROR(__xludf.DUMMYFUNCTION("GOOGLETRANSLATE($D49,$D$1,$F$1)"),"Leggero")</f>
        <v>Leggero</v>
      </c>
      <c r="G49" s="3" t="str">
        <f ca="1">IFERROR(__xludf.DUMMYFUNCTION("GOOGLETRANSLATE($D49,$D$1,G$1)"),"Lumière")</f>
        <v>Lumière</v>
      </c>
      <c r="H49" s="3" t="str">
        <f ca="1">IFERROR(__xludf.DUMMYFUNCTION("GOOGLETRANSLATE($D49,$D$1,H$1)"),"Licht")</f>
        <v>Licht</v>
      </c>
    </row>
    <row r="50" spans="1:8" x14ac:dyDescent="0.2">
      <c r="A50" s="3">
        <v>49</v>
      </c>
      <c r="B50" s="2" t="s">
        <v>132</v>
      </c>
      <c r="C50" s="2" t="s">
        <v>233</v>
      </c>
      <c r="D50" s="2" t="s">
        <v>134</v>
      </c>
      <c r="E50" s="3" t="str">
        <f ca="1">IFERROR(__xludf.DUMMYFUNCTION("GOOGLETRANSLATE($D50,$D$1,$E$1)"),"Person")</f>
        <v>Person</v>
      </c>
      <c r="F50" s="3" t="str">
        <f ca="1">IFERROR(__xludf.DUMMYFUNCTION("GOOGLETRANSLATE($D50,$D$1,$F$1)"),"Persona")</f>
        <v>Persona</v>
      </c>
      <c r="G50" s="3" t="str">
        <f ca="1">IFERROR(__xludf.DUMMYFUNCTION("GOOGLETRANSLATE($D50,$D$1,G$1)"),"Personne")</f>
        <v>Personne</v>
      </c>
      <c r="H50" s="3" t="str">
        <f ca="1">IFERROR(__xludf.DUMMYFUNCTION("GOOGLETRANSLATE($D50,$D$1,H$1)"),"Person")</f>
        <v>Person</v>
      </c>
    </row>
    <row r="51" spans="1:8" x14ac:dyDescent="0.2">
      <c r="A51" s="3">
        <v>50</v>
      </c>
      <c r="B51" s="2" t="s">
        <v>234</v>
      </c>
      <c r="C51" s="2" t="s">
        <v>235</v>
      </c>
      <c r="D51" s="2" t="s">
        <v>236</v>
      </c>
      <c r="E51" s="3" t="str">
        <f ca="1">IFERROR(__xludf.DUMMYFUNCTION("GOOGLETRANSLATE($D51,$D$1,$E$1)"),"Shade")</f>
        <v>Shade</v>
      </c>
      <c r="F51" s="3" t="str">
        <f ca="1">IFERROR(__xludf.DUMMYFUNCTION("GOOGLETRANSLATE($D51,$D$1,$F$1)"),"Ombra")</f>
        <v>Ombra</v>
      </c>
      <c r="G51" s="3" t="str">
        <f ca="1">IFERROR(__xludf.DUMMYFUNCTION("GOOGLETRANSLATE($D51,$D$1,G$1)"),"Ombre")</f>
        <v>Ombre</v>
      </c>
      <c r="H51" s="3" t="str">
        <f ca="1">IFERROR(__xludf.DUMMYFUNCTION("GOOGLETRANSLATE($D51,$D$1,H$1)"),"Schatten")</f>
        <v>Schatten</v>
      </c>
    </row>
    <row r="52" spans="1:8" x14ac:dyDescent="0.2">
      <c r="A52" s="3">
        <v>51</v>
      </c>
      <c r="B52" s="2" t="s">
        <v>237</v>
      </c>
      <c r="C52" s="2" t="s">
        <v>238</v>
      </c>
      <c r="D52" s="2" t="s">
        <v>239</v>
      </c>
      <c r="E52" s="3" t="str">
        <f ca="1">IFERROR(__xludf.DUMMYFUNCTION("GOOGLETRANSLATE($D52,$D$1,$E$1)"),"Romantic love")</f>
        <v>Romantic love</v>
      </c>
      <c r="F52" s="3" t="str">
        <f ca="1">IFERROR(__xludf.DUMMYFUNCTION("GOOGLETRANSLATE($D52,$D$1,$F$1)"),"Amore romantico")</f>
        <v>Amore romantico</v>
      </c>
      <c r="G52" s="3" t="str">
        <f ca="1">IFERROR(__xludf.DUMMYFUNCTION("GOOGLETRANSLATE($D52,$D$1,G$1)"),"Amour romantique")</f>
        <v>Amour romantique</v>
      </c>
      <c r="H52" s="3" t="str">
        <f ca="1">IFERROR(__xludf.DUMMYFUNCTION("GOOGLETRANSLATE($D52,$D$1,H$1)"),"Romantische Liebe")</f>
        <v>Romantische Liebe</v>
      </c>
    </row>
    <row r="53" spans="1:8" x14ac:dyDescent="0.2">
      <c r="A53" s="3">
        <v>52</v>
      </c>
      <c r="B53" s="2" t="s">
        <v>240</v>
      </c>
      <c r="C53" s="2" t="s">
        <v>241</v>
      </c>
      <c r="D53" s="2" t="s">
        <v>242</v>
      </c>
      <c r="E53" s="3" t="str">
        <f ca="1">IFERROR(__xludf.DUMMYFUNCTION("GOOGLETRANSLATE($D53,$D$1,$E$1)"),"Time")</f>
        <v>Time</v>
      </c>
      <c r="F53" s="3" t="str">
        <f ca="1">IFERROR(__xludf.DUMMYFUNCTION("GOOGLETRANSLATE($D53,$D$1,$F$1)"),"Tempo")</f>
        <v>Tempo</v>
      </c>
      <c r="G53" s="3" t="str">
        <f ca="1">IFERROR(__xludf.DUMMYFUNCTION("GOOGLETRANSLATE($D53,$D$1,G$1)"),"Temps")</f>
        <v>Temps</v>
      </c>
      <c r="H53" s="3" t="str">
        <f ca="1">IFERROR(__xludf.DUMMYFUNCTION("GOOGLETRANSLATE($D53,$D$1,H$1)"),"Zeit")</f>
        <v>Zeit</v>
      </c>
    </row>
    <row r="54" spans="1:8" x14ac:dyDescent="0.2">
      <c r="A54" s="3">
        <v>53</v>
      </c>
      <c r="B54" s="2" t="s">
        <v>243</v>
      </c>
      <c r="C54" s="2" t="s">
        <v>244</v>
      </c>
      <c r="D54" s="2" t="s">
        <v>245</v>
      </c>
      <c r="E54" s="3" t="str">
        <f ca="1">IFERROR(__xludf.DUMMYFUNCTION("GOOGLETRANSLATE($D54,$D$1,$E$1)"),"End")</f>
        <v>End</v>
      </c>
      <c r="F54" s="3" t="str">
        <f ca="1">IFERROR(__xludf.DUMMYFUNCTION("GOOGLETRANSLATE($D54,$D$1,$F$1)"),"FINE")</f>
        <v>FINE</v>
      </c>
      <c r="G54" s="3" t="str">
        <f ca="1">IFERROR(__xludf.DUMMYFUNCTION("GOOGLETRANSLATE($D54,$D$1,G$1)"),"Fin")</f>
        <v>Fin</v>
      </c>
      <c r="H54" s="3" t="str">
        <f ca="1">IFERROR(__xludf.DUMMYFUNCTION("GOOGLETRANSLATE($D54,$D$1,H$1)"),"Ende")</f>
        <v>Ende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Z53"/>
  <sheetViews>
    <sheetView workbookViewId="0"/>
  </sheetViews>
  <sheetFormatPr baseColWidth="10" defaultColWidth="12.5703125" defaultRowHeight="15.75" customHeight="1" x14ac:dyDescent="0.2"/>
  <cols>
    <col min="5" max="5" width="18.140625" customWidth="1"/>
    <col min="6" max="6" width="25.5703125" customWidth="1"/>
  </cols>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3">
        <v>1</v>
      </c>
      <c r="B2" s="3" t="s">
        <v>246</v>
      </c>
      <c r="C2" s="3" t="s">
        <v>247</v>
      </c>
      <c r="D2" s="3" t="s">
        <v>14</v>
      </c>
      <c r="E2" s="3" t="str">
        <f ca="1">IFERROR(__xludf.DUMMYFUNCTION("GOOGLETRANSLATE($D2,$D$1,$E$1)"),"Life")</f>
        <v>Life</v>
      </c>
      <c r="F2" s="3" t="str">
        <f ca="1">IFERROR(__xludf.DUMMYFUNCTION("GOOGLETRANSLATE($D2,$D$1,$F$1)"),"Vita")</f>
        <v>Vita</v>
      </c>
      <c r="G2" s="3" t="str">
        <f ca="1">IFERROR(__xludf.DUMMYFUNCTION("GOOGLETRANSLATE($D2,$D$1,G$1)"),"Vie")</f>
        <v>Vie</v>
      </c>
      <c r="H2" s="3" t="str">
        <f ca="1">IFERROR(__xludf.DUMMYFUNCTION("GOOGLETRANSLATE($D2,$D$1,H$1)"),"Leben")</f>
        <v>Leben</v>
      </c>
      <c r="K2" s="8"/>
      <c r="L2" s="8"/>
      <c r="M2" s="8"/>
    </row>
    <row r="3" spans="1:26" x14ac:dyDescent="0.2">
      <c r="A3" s="3">
        <v>2</v>
      </c>
      <c r="B3" s="3" t="s">
        <v>248</v>
      </c>
      <c r="C3" s="3" t="s">
        <v>249</v>
      </c>
      <c r="D3" s="3" t="s">
        <v>24</v>
      </c>
      <c r="E3" s="3" t="str">
        <f ca="1">IFERROR(__xludf.DUMMYFUNCTION("GOOGLETRANSLATE($D3,$D$1,$E$1)"),"Death")</f>
        <v>Death</v>
      </c>
      <c r="F3" s="3" t="str">
        <f ca="1">IFERROR(__xludf.DUMMYFUNCTION("GOOGLETRANSLATE($D3,$D$1,$F$1)"),"Morte")</f>
        <v>Morte</v>
      </c>
      <c r="G3" s="3" t="str">
        <f ca="1">IFERROR(__xludf.DUMMYFUNCTION("GOOGLETRANSLATE($D3,$D$1,G$1)"),"La mort")</f>
        <v>La mort</v>
      </c>
      <c r="H3" s="3" t="str">
        <f ca="1">IFERROR(__xludf.DUMMYFUNCTION("GOOGLETRANSLATE($D3,$D$1,H$1)"),"Tod")</f>
        <v>Tod</v>
      </c>
    </row>
    <row r="4" spans="1:26" x14ac:dyDescent="0.2">
      <c r="A4" s="3">
        <v>3</v>
      </c>
      <c r="B4" s="3" t="s">
        <v>250</v>
      </c>
      <c r="C4" s="3" t="s">
        <v>251</v>
      </c>
      <c r="D4" s="3" t="s">
        <v>36</v>
      </c>
      <c r="E4" s="3" t="str">
        <f ca="1">IFERROR(__xludf.DUMMYFUNCTION("GOOGLETRANSLATE($D4,$D$1,$E$1)"),"Fire")</f>
        <v>Fire</v>
      </c>
      <c r="F4" s="3" t="str">
        <f ca="1">IFERROR(__xludf.DUMMYFUNCTION("GOOGLETRANSLATE($D4,$D$1,$F$1)"),"Fuoco")</f>
        <v>Fuoco</v>
      </c>
      <c r="G4" s="3" t="str">
        <f ca="1">IFERROR(__xludf.DUMMYFUNCTION("GOOGLETRANSLATE($D4,$D$1,G$1)"),"Feu")</f>
        <v>Feu</v>
      </c>
      <c r="H4" s="3" t="str">
        <f ca="1">IFERROR(__xludf.DUMMYFUNCTION("GOOGLETRANSLATE($D4,$D$1,H$1)"),"Feuer")</f>
        <v>Feuer</v>
      </c>
    </row>
    <row r="5" spans="1:26" x14ac:dyDescent="0.2">
      <c r="A5" s="3">
        <v>4</v>
      </c>
      <c r="B5" s="3" t="s">
        <v>252</v>
      </c>
      <c r="C5" s="3" t="s">
        <v>253</v>
      </c>
      <c r="D5" s="3" t="s">
        <v>146</v>
      </c>
      <c r="E5" s="3" t="str">
        <f ca="1">IFERROR(__xludf.DUMMYFUNCTION("GOOGLETRANSLATE($D5,$D$1,$E$1)"),"Water")</f>
        <v>Water</v>
      </c>
      <c r="F5" s="3" t="str">
        <f ca="1">IFERROR(__xludf.DUMMYFUNCTION("GOOGLETRANSLATE($D5,$D$1,F$1)"),"Acqua")</f>
        <v>Acqua</v>
      </c>
      <c r="G5" s="3" t="str">
        <f ca="1">IFERROR(__xludf.DUMMYFUNCTION("GOOGLETRANSLATE($D5,$D$1,G$1)"),"Eau")</f>
        <v>Eau</v>
      </c>
      <c r="H5" s="3" t="str">
        <f ca="1">IFERROR(__xludf.DUMMYFUNCTION("GOOGLETRANSLATE($D5,$D$1,H$1)"),"Wasser")</f>
        <v>Wasser</v>
      </c>
    </row>
    <row r="6" spans="1:26" x14ac:dyDescent="0.2">
      <c r="A6" s="3">
        <v>5</v>
      </c>
      <c r="B6" s="3" t="s">
        <v>254</v>
      </c>
      <c r="C6" s="3" t="s">
        <v>255</v>
      </c>
      <c r="D6" s="3" t="s">
        <v>30</v>
      </c>
      <c r="E6" s="3" t="str">
        <f ca="1">IFERROR(__xludf.DUMMYFUNCTION("GOOGLETRANSLATE($D6,$D$1,$E$1)"),"Moon")</f>
        <v>Moon</v>
      </c>
      <c r="F6" s="3" t="str">
        <f ca="1">IFERROR(__xludf.DUMMYFUNCTION("GOOGLETRANSLATE($D6,$D$1,$F$1)"),"Luna")</f>
        <v>Luna</v>
      </c>
      <c r="G6" s="3" t="str">
        <f ca="1">IFERROR(__xludf.DUMMYFUNCTION("GOOGLETRANSLATE($D6,$D$1,G$1)"),"Lune")</f>
        <v>Lune</v>
      </c>
      <c r="H6" s="3" t="str">
        <f ca="1">IFERROR(__xludf.DUMMYFUNCTION("GOOGLETRANSLATE($D6,$D$1,H$1)"),"Mond")</f>
        <v>Mond</v>
      </c>
    </row>
    <row r="7" spans="1:26" x14ac:dyDescent="0.2">
      <c r="A7" s="3">
        <v>6</v>
      </c>
      <c r="B7" s="3" t="s">
        <v>256</v>
      </c>
      <c r="C7" s="3" t="s">
        <v>257</v>
      </c>
      <c r="D7" s="3" t="s">
        <v>42</v>
      </c>
      <c r="E7" s="3" t="str">
        <f ca="1">IFERROR(__xludf.DUMMYFUNCTION("GOOGLETRANSLATE($D7,$D$1,$E$1)"),"Star")</f>
        <v>Star</v>
      </c>
      <c r="F7" s="3" t="str">
        <f ca="1">IFERROR(__xludf.DUMMYFUNCTION("GOOGLETRANSLATE($D7,$D$1,$F$1)"),"Stella")</f>
        <v>Stella</v>
      </c>
      <c r="G7" s="3" t="str">
        <f ca="1">IFERROR(__xludf.DUMMYFUNCTION("GOOGLETRANSLATE($D7,$D$1,G$1)"),"Étoile")</f>
        <v>Étoile</v>
      </c>
      <c r="H7" s="3" t="str">
        <f ca="1">IFERROR(__xludf.DUMMYFUNCTION("GOOGLETRANSLATE($D7,$D$1,H$1)"),"Stern")</f>
        <v>Stern</v>
      </c>
    </row>
    <row r="8" spans="1:26" x14ac:dyDescent="0.2">
      <c r="A8" s="3">
        <v>7</v>
      </c>
      <c r="B8" s="3" t="s">
        <v>258</v>
      </c>
      <c r="C8" s="3" t="s">
        <v>259</v>
      </c>
      <c r="D8" s="3" t="s">
        <v>17</v>
      </c>
      <c r="E8" s="3" t="str">
        <f ca="1">IFERROR(__xludf.DUMMYFUNCTION("GOOGLETRANSLATE($D8,$D$1,$E$1)"),"Mountain")</f>
        <v>Mountain</v>
      </c>
      <c r="F8" s="3" t="str">
        <f ca="1">IFERROR(__xludf.DUMMYFUNCTION("GOOGLETRANSLATE($D8,$D$1,$F$1)"),"Montagna")</f>
        <v>Montagna</v>
      </c>
      <c r="G8" s="3" t="str">
        <f ca="1">IFERROR(__xludf.DUMMYFUNCTION("GOOGLETRANSLATE($D8,$D$1,G$1)"),"Montagne")</f>
        <v>Montagne</v>
      </c>
      <c r="H8" s="3" t="str">
        <f ca="1">IFERROR(__xludf.DUMMYFUNCTION("GOOGLETRANSLATE($D8,$D$1,H$1)"),"Berg")</f>
        <v>Berg</v>
      </c>
    </row>
    <row r="9" spans="1:26" x14ac:dyDescent="0.2">
      <c r="A9" s="3">
        <v>8</v>
      </c>
      <c r="B9" s="3" t="s">
        <v>260</v>
      </c>
      <c r="C9" s="3" t="s">
        <v>261</v>
      </c>
      <c r="D9" s="3" t="s">
        <v>112</v>
      </c>
      <c r="E9" s="3" t="str">
        <f ca="1">IFERROR(__xludf.DUMMYFUNCTION("GOOGLETRANSLATE($D9,$D$1,$E$1)"),"Flower")</f>
        <v>Flower</v>
      </c>
      <c r="F9" s="3" t="str">
        <f ca="1">IFERROR(__xludf.DUMMYFUNCTION("GOOGLETRANSLATE($D9,$D$1,$F$1)"),"Fiore")</f>
        <v>Fiore</v>
      </c>
      <c r="G9" s="3" t="str">
        <f ca="1">IFERROR(__xludf.DUMMYFUNCTION("GOOGLETRANSLATE($D9,$D$1,G$1)"),"Fleur")</f>
        <v>Fleur</v>
      </c>
      <c r="H9" s="3" t="str">
        <f ca="1">IFERROR(__xludf.DUMMYFUNCTION("GOOGLETRANSLATE($D9,$D$1,H$1)"),"Blume")</f>
        <v>Blume</v>
      </c>
    </row>
    <row r="10" spans="1:26" x14ac:dyDescent="0.2">
      <c r="A10" s="3">
        <v>9</v>
      </c>
      <c r="B10" s="3" t="s">
        <v>262</v>
      </c>
      <c r="C10" s="3" t="s">
        <v>263</v>
      </c>
      <c r="D10" s="3" t="s">
        <v>143</v>
      </c>
      <c r="E10" s="3" t="str">
        <f ca="1">IFERROR(__xludf.DUMMYFUNCTION("GOOGLETRANSLATE($D10,$D$1,$E$1)"),"Light")</f>
        <v>Light</v>
      </c>
      <c r="F10" s="3" t="str">
        <f ca="1">IFERROR(__xludf.DUMMYFUNCTION("GOOGLETRANSLATE($D10,$D$1,$F$1)"),"Leggero")</f>
        <v>Leggero</v>
      </c>
      <c r="G10" s="3" t="str">
        <f ca="1">IFERROR(__xludf.DUMMYFUNCTION("GOOGLETRANSLATE($D10,$D$1,G$1)"),"Lumière")</f>
        <v>Lumière</v>
      </c>
      <c r="H10" s="3" t="str">
        <f ca="1">IFERROR(__xludf.DUMMYFUNCTION("GOOGLETRANSLATE($D10,$D$1,H$1)"),"Licht")</f>
        <v>Licht</v>
      </c>
    </row>
    <row r="11" spans="1:26" x14ac:dyDescent="0.2">
      <c r="A11" s="3">
        <v>10</v>
      </c>
      <c r="B11" s="3" t="s">
        <v>264</v>
      </c>
      <c r="C11" s="3" t="s">
        <v>265</v>
      </c>
      <c r="D11" s="3" t="s">
        <v>67</v>
      </c>
      <c r="E11" s="3" t="str">
        <f ca="1">IFERROR(__xludf.DUMMYFUNCTION("GOOGLETRANSLATE($D11,$D$1,$E$1)"),"Evening")</f>
        <v>Evening</v>
      </c>
      <c r="F11" s="3" t="str">
        <f ca="1">IFERROR(__xludf.DUMMYFUNCTION("GOOGLETRANSLATE($D11,$D$1,$F$1)"),"Sera")</f>
        <v>Sera</v>
      </c>
      <c r="G11" s="3" t="str">
        <f ca="1">IFERROR(__xludf.DUMMYFUNCTION("GOOGLETRANSLATE($D11,$D$1,G$1)"),"Soirée")</f>
        <v>Soirée</v>
      </c>
      <c r="H11" s="3" t="str">
        <f ca="1">IFERROR(__xludf.DUMMYFUNCTION("GOOGLETRANSLATE($D11,$D$1,H$1)"),"Abend")</f>
        <v>Abend</v>
      </c>
    </row>
    <row r="12" spans="1:26" x14ac:dyDescent="0.2">
      <c r="A12" s="3">
        <v>11</v>
      </c>
      <c r="B12" s="3" t="s">
        <v>266</v>
      </c>
      <c r="C12" s="3" t="s">
        <v>267</v>
      </c>
      <c r="D12" s="3" t="s">
        <v>98</v>
      </c>
      <c r="E12" s="3" t="str">
        <f ca="1">IFERROR(__xludf.DUMMYFUNCTION("GOOGLETRANSLATE($D12,$D$1,$E$1)"),"Dream")</f>
        <v>Dream</v>
      </c>
      <c r="F12" s="3" t="str">
        <f ca="1">IFERROR(__xludf.DUMMYFUNCTION("GOOGLETRANSLATE($D12,$D$1,$F$1)"),"Sogno")</f>
        <v>Sogno</v>
      </c>
      <c r="G12" s="3" t="str">
        <f ca="1">IFERROR(__xludf.DUMMYFUNCTION("GOOGLETRANSLATE($D12,$D$1,G$1)"),"Rêve")</f>
        <v>Rêve</v>
      </c>
      <c r="H12" s="3" t="str">
        <f ca="1">IFERROR(__xludf.DUMMYFUNCTION("GOOGLETRANSLATE($D12,$D$1,H$1)"),"Traum")</f>
        <v>Traum</v>
      </c>
    </row>
    <row r="13" spans="1:26" x14ac:dyDescent="0.2">
      <c r="A13" s="3">
        <v>12</v>
      </c>
      <c r="B13" s="3" t="s">
        <v>268</v>
      </c>
      <c r="C13" s="3" t="s">
        <v>269</v>
      </c>
      <c r="D13" s="3" t="s">
        <v>58</v>
      </c>
      <c r="E13" s="3" t="str">
        <f ca="1">IFERROR(__xludf.DUMMYFUNCTION("GOOGLETRANSLATE($D13,$D$1,$E$1)"),"Path")</f>
        <v>Path</v>
      </c>
      <c r="F13" s="3" t="str">
        <f ca="1">IFERROR(__xludf.DUMMYFUNCTION("GOOGLETRANSLATE($D13,$D$1,$F$1)"),"Sentiero")</f>
        <v>Sentiero</v>
      </c>
      <c r="G13" s="3" t="str">
        <f ca="1">IFERROR(__xludf.DUMMYFUNCTION("GOOGLETRANSLATE($D13,$D$1,G$1)"),"Chemin")</f>
        <v>Chemin</v>
      </c>
      <c r="H13" s="3" t="str">
        <f ca="1">IFERROR(__xludf.DUMMYFUNCTION("GOOGLETRANSLATE($D13,$D$1,H$1)"),"Weg")</f>
        <v>Weg</v>
      </c>
    </row>
    <row r="14" spans="1:26" x14ac:dyDescent="0.2">
      <c r="A14" s="3">
        <v>13</v>
      </c>
      <c r="B14" s="3" t="s">
        <v>270</v>
      </c>
      <c r="C14" s="3" t="s">
        <v>271</v>
      </c>
      <c r="D14" s="3" t="s">
        <v>272</v>
      </c>
      <c r="E14" s="3" t="str">
        <f ca="1">IFERROR(__xludf.DUMMYFUNCTION("GOOGLETRANSLATE($D14,$D$1,$E$1)"),"Strength / Energy")</f>
        <v>Strength / Energy</v>
      </c>
      <c r="F14" s="3" t="str">
        <f ca="1">IFERROR(__xludf.DUMMYFUNCTION("GOOGLETRANSLATE($D14,$D$1,$F$1)"),"Forza / Energia")</f>
        <v>Forza / Energia</v>
      </c>
      <c r="G14" s="3" t="str">
        <f ca="1">IFERROR(__xludf.DUMMYFUNCTION("GOOGLETRANSLATE($D14,$D$1,G$1)"),"Force / Énergie")</f>
        <v>Force / Énergie</v>
      </c>
      <c r="H14" s="3" t="str">
        <f ca="1">IFERROR(__xludf.DUMMYFUNCTION("GOOGLETRANSLATE($D14,$D$1,H$1)"),"Kraft / Energie")</f>
        <v>Kraft / Energie</v>
      </c>
    </row>
    <row r="15" spans="1:26" x14ac:dyDescent="0.2">
      <c r="A15" s="3">
        <v>14</v>
      </c>
      <c r="B15" s="3" t="s">
        <v>273</v>
      </c>
      <c r="C15" s="3" t="s">
        <v>229</v>
      </c>
      <c r="D15" s="3" t="s">
        <v>274</v>
      </c>
      <c r="E15" s="3" t="str">
        <f ca="1">IFERROR(__xludf.DUMMYFUNCTION("GOOGLETRANSLATE($D15,$D$1,$E$1)"),"Destiny / Luck")</f>
        <v>Destiny / Luck</v>
      </c>
      <c r="F15" s="3" t="str">
        <f ca="1">IFERROR(__xludf.DUMMYFUNCTION("GOOGLETRANSLATE($D15,$D$1,$F$1)"),"Destino / Fortuna")</f>
        <v>Destino / Fortuna</v>
      </c>
      <c r="G15" s="3" t="str">
        <f ca="1">IFERROR(__xludf.DUMMYFUNCTION("GOOGLETRANSLATE($D15,$D$1,G$1)"),"Destin / Chance")</f>
        <v>Destin / Chance</v>
      </c>
      <c r="H15" s="3" t="str">
        <f ca="1">IFERROR(__xludf.DUMMYFUNCTION("GOOGLETRANSLATE($D15,$D$1,H$1)"),"Schicksal / Glück")</f>
        <v>Schicksal / Glück</v>
      </c>
    </row>
    <row r="16" spans="1:26" x14ac:dyDescent="0.2">
      <c r="A16" s="3">
        <v>15</v>
      </c>
      <c r="B16" s="3" t="s">
        <v>275</v>
      </c>
      <c r="C16" s="3" t="s">
        <v>276</v>
      </c>
      <c r="D16" s="3" t="s">
        <v>277</v>
      </c>
      <c r="E16" s="3" t="str">
        <f ca="1">IFERROR(__xludf.DUMMYFUNCTION("GOOGLETRANSLATE($D16,$D$1,$E$1)"),"Gold / Treasure")</f>
        <v>Gold / Treasure</v>
      </c>
      <c r="F16" s="3" t="str">
        <f ca="1">IFERROR(__xludf.DUMMYFUNCTION("GOOGLETRANSLATE($D16,$D$1,$F$1)"),"Oro / Tesoro")</f>
        <v>Oro / Tesoro</v>
      </c>
      <c r="G16" s="3" t="str">
        <f ca="1">IFERROR(__xludf.DUMMYFUNCTION("GOOGLETRANSLATE($D16,$D$1,G$1)"),"Or / Trésor")</f>
        <v>Or / Trésor</v>
      </c>
      <c r="H16" s="3" t="str">
        <f ca="1">IFERROR(__xludf.DUMMYFUNCTION("GOOGLETRANSLATE($D16,$D$1,H$1)"),"Gold / Schatz")</f>
        <v>Gold / Schatz</v>
      </c>
    </row>
    <row r="17" spans="1:26" x14ac:dyDescent="0.2">
      <c r="A17" s="3">
        <v>16</v>
      </c>
      <c r="B17" s="3" t="s">
        <v>278</v>
      </c>
      <c r="C17" s="3" t="s">
        <v>279</v>
      </c>
      <c r="D17" s="3" t="s">
        <v>202</v>
      </c>
      <c r="E17" s="3" t="str">
        <f ca="1">IFERROR(__xludf.DUMMYFUNCTION("GOOGLETRANSLATE($D17,$D$1,$E$1)"),"Sun")</f>
        <v>Sun</v>
      </c>
      <c r="F17" s="3" t="str">
        <f ca="1">IFERROR(__xludf.DUMMYFUNCTION("GOOGLETRANSLATE($D17,$D$1,$F$1)"),"Sole")</f>
        <v>Sole</v>
      </c>
      <c r="G17" s="3" t="str">
        <f ca="1">IFERROR(__xludf.DUMMYFUNCTION("GOOGLETRANSLATE($D17,$D$1,G$1)"),"Soleil")</f>
        <v>Soleil</v>
      </c>
      <c r="H17" s="3" t="str">
        <f ca="1">IFERROR(__xludf.DUMMYFUNCTION("GOOGLETRANSLATE($D17,$D$1,H$1)"),"Sonne")</f>
        <v>Sonne</v>
      </c>
    </row>
    <row r="18" spans="1:26" x14ac:dyDescent="0.2">
      <c r="A18" s="3">
        <v>17</v>
      </c>
      <c r="B18" s="3" t="s">
        <v>280</v>
      </c>
      <c r="C18" s="3" t="s">
        <v>281</v>
      </c>
      <c r="D18" s="3" t="s">
        <v>282</v>
      </c>
      <c r="E18" s="3" t="str">
        <f ca="1">IFERROR(__xludf.DUMMYFUNCTION("GOOGLETRANSLATE($D18,$D$1,$E$1)"),"Eye / Snow")</f>
        <v>Eye / Snow</v>
      </c>
      <c r="F18" s="3" t="str">
        <f ca="1">IFERROR(__xludf.DUMMYFUNCTION("GOOGLETRANSLATE($D18,$D$1,$F$1)"),"Occhio / Neve")</f>
        <v>Occhio / Neve</v>
      </c>
      <c r="G18" s="3" t="str">
        <f ca="1">IFERROR(__xludf.DUMMYFUNCTION("GOOGLETRANSLATE($D18,$D$1,G$1)"),"Œil / Neige")</f>
        <v>Œil / Neige</v>
      </c>
      <c r="H18" s="3" t="str">
        <f ca="1">IFERROR(__xludf.DUMMYFUNCTION("GOOGLETRANSLATE($D18,$D$1,H$1)"),"Auge / Schnee")</f>
        <v>Auge / Schnee</v>
      </c>
    </row>
    <row r="19" spans="1:26" x14ac:dyDescent="0.2">
      <c r="A19" s="3">
        <v>18</v>
      </c>
      <c r="B19" s="3" t="s">
        <v>283</v>
      </c>
      <c r="C19" s="3" t="s">
        <v>284</v>
      </c>
      <c r="D19" s="3" t="s">
        <v>131</v>
      </c>
      <c r="E19" s="3" t="str">
        <f ca="1">IFERROR(__xludf.DUMMYFUNCTION("GOOGLETRANSLATE($D19,$D$1,$E$1)"),"Blood")</f>
        <v>Blood</v>
      </c>
      <c r="F19" s="3" t="str">
        <f ca="1">IFERROR(__xludf.DUMMYFUNCTION("GOOGLETRANSLATE($D19,$D$1,$F$1)"),"Sangue")</f>
        <v>Sangue</v>
      </c>
      <c r="G19" s="3" t="str">
        <f ca="1">IFERROR(__xludf.DUMMYFUNCTION("GOOGLETRANSLATE($D19,$D$1,G$1)"),"Sang")</f>
        <v>Sang</v>
      </c>
      <c r="H19" s="3" t="str">
        <f ca="1">IFERROR(__xludf.DUMMYFUNCTION("GOOGLETRANSLATE($D19,$D$1,H$1)"),"Blut")</f>
        <v>Blut</v>
      </c>
    </row>
    <row r="20" spans="1:26" x14ac:dyDescent="0.2">
      <c r="A20" s="3">
        <v>19</v>
      </c>
      <c r="B20" s="3" t="s">
        <v>285</v>
      </c>
      <c r="C20" s="3" t="s">
        <v>286</v>
      </c>
      <c r="D20" s="3" t="s">
        <v>287</v>
      </c>
      <c r="E20" s="3" t="str">
        <f ca="1">IFERROR(__xludf.DUMMYFUNCTION("GOOGLETRANSLATE($D20,$D$1,$E$1)"),"Word / Horse")</f>
        <v>Word / Horse</v>
      </c>
      <c r="F20" s="3" t="str">
        <f ca="1">IFERROR(__xludf.DUMMYFUNCTION("GOOGLETRANSLATE($D20,$D$1,$F$1)"),"Parola / Cavallo")</f>
        <v>Parola / Cavallo</v>
      </c>
      <c r="G20" s="3" t="str">
        <f ca="1">IFERROR(__xludf.DUMMYFUNCTION("GOOGLETRANSLATE($D20,$D$1,G$1)"),"Mot / Cheval")</f>
        <v>Mot / Cheval</v>
      </c>
      <c r="H20" s="3" t="str">
        <f ca="1">IFERROR(__xludf.DUMMYFUNCTION("GOOGLETRANSLATE($D20,$D$1,H$1)"),"Wort / Pferd")</f>
        <v>Wort / Pferd</v>
      </c>
    </row>
    <row r="21" spans="1:26" x14ac:dyDescent="0.2">
      <c r="A21" s="3">
        <v>20</v>
      </c>
      <c r="B21" s="3" t="s">
        <v>288</v>
      </c>
      <c r="C21" s="3" t="s">
        <v>289</v>
      </c>
      <c r="D21" s="3" t="s">
        <v>290</v>
      </c>
      <c r="E21" s="3" t="str">
        <f ca="1">IFERROR(__xludf.DUMMYFUNCTION("GOOGLETRANSLATE($D21,$D$1,$E$1)"),"Writing / Letter")</f>
        <v>Writing / Letter</v>
      </c>
      <c r="F21" s="3" t="str">
        <f ca="1">IFERROR(__xludf.DUMMYFUNCTION("GOOGLETRANSLATE($D21,$D$1,$F$1)"),"Scrittura / Lettera")</f>
        <v>Scrittura / Lettera</v>
      </c>
      <c r="G21" s="3" t="str">
        <f ca="1">IFERROR(__xludf.DUMMYFUNCTION("GOOGLETRANSLATE($D21,$D$1,G$1)"),"Écriture / Lettre")</f>
        <v>Écriture / Lettre</v>
      </c>
      <c r="H21" s="3" t="str">
        <f ca="1">IFERROR(__xludf.DUMMYFUNCTION("GOOGLETRANSLATE($D21,$D$1,H$1)"),"Schreiben / Brief")</f>
        <v>Schreiben / Brief</v>
      </c>
    </row>
    <row r="22" spans="1:26" x14ac:dyDescent="0.2">
      <c r="A22" s="3">
        <v>22</v>
      </c>
      <c r="B22" s="3" t="s">
        <v>291</v>
      </c>
      <c r="C22" s="3" t="s">
        <v>292</v>
      </c>
      <c r="D22" s="3" t="s">
        <v>293</v>
      </c>
      <c r="E22" s="3" t="str">
        <f ca="1">IFERROR(__xludf.DUMMYFUNCTION("GOOGLETRANSLATE($D22,$D$1,$E$1)"),"Affection / Emotional bond")</f>
        <v>Affection / Emotional bond</v>
      </c>
      <c r="F22" s="3" t="str">
        <f ca="1">IFERROR(__xludf.DUMMYFUNCTION("GOOGLETRANSLATE($D22,$D$1,$F$1)"),"Affetto / Legame emotivo")</f>
        <v>Affetto / Legame emotivo</v>
      </c>
      <c r="G22" s="3" t="str">
        <f ca="1">IFERROR(__xludf.DUMMYFUNCTION("GOOGLETRANSLATE($D22,$D$1,G$1)"),"Affection / Lien affectif")</f>
        <v>Affection / Lien affectif</v>
      </c>
      <c r="H22" s="3" t="str">
        <f ca="1">IFERROR(__xludf.DUMMYFUNCTION("GOOGLETRANSLATE($D22,$D$1,H$1)"),"Zuneigung / Emotionale Bindung")</f>
        <v>Zuneigung / Emotionale Bindung</v>
      </c>
    </row>
    <row r="23" spans="1:26" x14ac:dyDescent="0.2">
      <c r="A23" s="3">
        <v>23</v>
      </c>
      <c r="B23" s="3" t="s">
        <v>294</v>
      </c>
      <c r="C23" s="3" t="s">
        <v>295</v>
      </c>
      <c r="D23" s="3" t="s">
        <v>296</v>
      </c>
      <c r="E23" s="3" t="str">
        <f ca="1">IFERROR(__xludf.DUMMYFUNCTION("GOOGLETRANSLATE($D23,$D$1,$E$1)"),"Soul / Spirit")</f>
        <v>Soul / Spirit</v>
      </c>
      <c r="F23" s="3" t="str">
        <f ca="1">IFERROR(__xludf.DUMMYFUNCTION("GOOGLETRANSLATE($D23,$D$1,$F$1)"),"Anima / Spirito")</f>
        <v>Anima / Spirito</v>
      </c>
      <c r="G23" s="3" t="str">
        <f ca="1">IFERROR(__xludf.DUMMYFUNCTION("GOOGLETRANSLATE($D23,$D$1,G$1)"),"Âme / Esprit")</f>
        <v>Âme / Esprit</v>
      </c>
      <c r="H23" s="3" t="str">
        <f ca="1">IFERROR(__xludf.DUMMYFUNCTION("GOOGLETRANSLATE($D23,$D$1,H$1)"),"Seele / Geist")</f>
        <v>Seele / Geist</v>
      </c>
    </row>
    <row r="24" spans="1:26" x14ac:dyDescent="0.2">
      <c r="A24" s="3">
        <v>24</v>
      </c>
      <c r="B24" s="3" t="s">
        <v>297</v>
      </c>
      <c r="C24" s="3" t="s">
        <v>298</v>
      </c>
      <c r="D24" s="3" t="s">
        <v>299</v>
      </c>
      <c r="E24" s="3" t="str">
        <f ca="1">IFERROR(__xludf.DUMMYFUNCTION("GOOGLETRANSLATE($D24,$D$1,$E$1)"),"Star / Sacred / Castle")</f>
        <v>Star / Sacred / Castle</v>
      </c>
      <c r="F24" s="3" t="str">
        <f ca="1">IFERROR(__xludf.DUMMYFUNCTION("GOOGLETRANSLATE($D24,$D$1,$F$1)"),"Stella / Sacro / Castello")</f>
        <v>Stella / Sacro / Castello</v>
      </c>
      <c r="G24" s="3" t="str">
        <f ca="1">IFERROR(__xludf.DUMMYFUNCTION("GOOGLETRANSLATE($D24,$D$1,G$1)"),"Étoile / Sacré / Château")</f>
        <v>Étoile / Sacré / Château</v>
      </c>
      <c r="H24" s="3" t="str">
        <f ca="1">IFERROR(__xludf.DUMMYFUNCTION("GOOGLETRANSLATE($D24,$D$1,H$1)"),"Stern / Heilig / Schloss")</f>
        <v>Stern / Heilig / Schloss</v>
      </c>
    </row>
    <row r="25" spans="1:26" x14ac:dyDescent="0.2">
      <c r="A25" s="3">
        <v>25</v>
      </c>
      <c r="B25" s="3" t="s">
        <v>300</v>
      </c>
      <c r="C25" s="3" t="s">
        <v>301</v>
      </c>
      <c r="D25" s="3" t="s">
        <v>302</v>
      </c>
      <c r="E25" s="3" t="str">
        <f ca="1">IFERROR(__xludf.DUMMYFUNCTION("GOOGLETRANSLATE($D25,$D$1,$E$1)"),"Harmony / Fire / Anger (depending on context)")</f>
        <v>Harmony / Fire / Anger (depending on context)</v>
      </c>
      <c r="F25" s="3" t="str">
        <f ca="1">IFERROR(__xludf.DUMMYFUNCTION("GOOGLETRANSLATE($D25,$D$1,$F$1)"),"Armonia / Fuoco / Rabbia (a seconda del contesto)")</f>
        <v>Armonia / Fuoco / Rabbia (a seconda del contesto)</v>
      </c>
      <c r="G25" s="3" t="str">
        <f ca="1">IFERROR(__xludf.DUMMYFUNCTION("GOOGLETRANSLATE($D25,$D$1,G$1)"),"Harmonie / Feu / Colère (selon le contexte)")</f>
        <v>Harmonie / Feu / Colère (selon le contexte)</v>
      </c>
      <c r="H25" s="3" t="str">
        <f ca="1">IFERROR(__xludf.DUMMYFUNCTION("GOOGLETRANSLATE($D25,$D$1,H$1)"),"Harmonie / Feuer / Wut (je nach Kontext)")</f>
        <v>Harmonie / Feuer / Wut (je nach Kontext)</v>
      </c>
    </row>
    <row r="26" spans="1:26" x14ac:dyDescent="0.2">
      <c r="A26" s="3">
        <v>26</v>
      </c>
      <c r="B26" s="3" t="s">
        <v>303</v>
      </c>
      <c r="C26" s="3" t="s">
        <v>304</v>
      </c>
      <c r="D26" s="3" t="s">
        <v>305</v>
      </c>
      <c r="E26" s="3" t="str">
        <f ca="1">IFERROR(__xludf.DUMMYFUNCTION("GOOGLETRANSLATE($D26,$D$1,$E$1)"),"Heart / Inner Mind")</f>
        <v>Heart / Inner Mind</v>
      </c>
      <c r="F26" s="3" t="str">
        <f ca="1">IFERROR(__xludf.DUMMYFUNCTION("GOOGLETRANSLATE($D26,$D$1,$F$1)"),"Cuore / Mente Interiore")</f>
        <v>Cuore / Mente Interiore</v>
      </c>
      <c r="G26" s="3" t="str">
        <f ca="1">IFERROR(__xludf.DUMMYFUNCTION("GOOGLETRANSLATE($D26,$D$1,G$1)"),"Cœur / Esprit intérieur")</f>
        <v>Cœur / Esprit intérieur</v>
      </c>
      <c r="H26" s="3" t="str">
        <f ca="1">IFERROR(__xludf.DUMMYFUNCTION("GOOGLETRANSLATE($D26,$D$1,H$1)"),"Herz / Innerer Geist")</f>
        <v>Herz / Innerer Geist</v>
      </c>
    </row>
    <row r="27" spans="1:26" x14ac:dyDescent="0.2">
      <c r="A27" s="3">
        <v>27</v>
      </c>
      <c r="B27" s="3" t="s">
        <v>306</v>
      </c>
      <c r="C27" s="3" t="s">
        <v>307</v>
      </c>
      <c r="D27" s="3" t="s">
        <v>308</v>
      </c>
      <c r="E27" s="3" t="str">
        <f ca="1">IFERROR(__xludf.DUMMYFUNCTION("GOOGLETRANSLATE($D27,$D$1,$E$1)"),"Goodness / Virtue")</f>
        <v>Goodness / Virtue</v>
      </c>
      <c r="F27" s="3" t="str">
        <f ca="1">IFERROR(__xludf.DUMMYFUNCTION("GOOGLETRANSLATE($D27,$D$1,$F$1)"),"Bontà / Virtù")</f>
        <v>Bontà / Virtù</v>
      </c>
      <c r="G27" s="3" t="str">
        <f ca="1">IFERROR(__xludf.DUMMYFUNCTION("GOOGLETRANSLATE($D27,$D$1,G$1)"),"Bonté / Vertu")</f>
        <v>Bonté / Vertu</v>
      </c>
      <c r="H27" s="3" t="str">
        <f ca="1">IFERROR(__xludf.DUMMYFUNCTION("GOOGLETRANSLATE($D27,$D$1,H$1)"),"Güte / Tugend")</f>
        <v>Güte / Tugend</v>
      </c>
    </row>
    <row r="28" spans="1:26" x14ac:dyDescent="0.2">
      <c r="A28" s="3">
        <v>28</v>
      </c>
      <c r="B28" s="3" t="s">
        <v>309</v>
      </c>
      <c r="C28" s="3" t="s">
        <v>310</v>
      </c>
      <c r="D28" s="3" t="s">
        <v>311</v>
      </c>
      <c r="E28" s="3" t="str">
        <f ca="1">IFERROR(__xludf.DUMMYFUNCTION("GOOGLETRANSLATE($D28,$D$1,$E$1)"),"Truth / Treasure")</f>
        <v>Truth / Treasure</v>
      </c>
      <c r="F28" s="3" t="str">
        <f ca="1">IFERROR(__xludf.DUMMYFUNCTION("GOOGLETRANSLATE($D28,$D$1,$F$1)"),"Verità / Tesoro")</f>
        <v>Verità / Tesoro</v>
      </c>
      <c r="G28" s="3" t="str">
        <f ca="1">IFERROR(__xludf.DUMMYFUNCTION("GOOGLETRANSLATE($D28,$D$1,G$1)"),"Vérité / Trésor")</f>
        <v>Vérité / Trésor</v>
      </c>
      <c r="H28" s="3" t="str">
        <f ca="1">IFERROR(__xludf.DUMMYFUNCTION("GOOGLETRANSLATE($D28,$D$1,H$1)"),"Wahrheit / Schatz")</f>
        <v>Wahrheit / Schatz</v>
      </c>
    </row>
    <row r="29" spans="1:26" x14ac:dyDescent="0.2">
      <c r="A29" s="3">
        <v>29</v>
      </c>
      <c r="B29" s="3" t="s">
        <v>312</v>
      </c>
      <c r="C29" s="3" t="s">
        <v>313</v>
      </c>
      <c r="D29" s="3" t="s">
        <v>21</v>
      </c>
      <c r="E29" s="3" t="str">
        <f ca="1">IFERROR(__xludf.DUMMYFUNCTION("GOOGLETRANSLATE($D29,$D$1,$E$1)"),"Dragon")</f>
        <v>Dragon</v>
      </c>
      <c r="F29" s="3" t="str">
        <f ca="1">IFERROR(__xludf.DUMMYFUNCTION("GOOGLETRANSLATE($D29,$D$1,$F$1)"),"Drago")</f>
        <v>Drago</v>
      </c>
      <c r="G29" s="3" t="str">
        <f ca="1">IFERROR(__xludf.DUMMYFUNCTION("GOOGLETRANSLATE($D29,$D$1,G$1)"),"Dragon")</f>
        <v>Dragon</v>
      </c>
      <c r="H29" s="3" t="str">
        <f ca="1">IFERROR(__xludf.DUMMYFUNCTION("GOOGLETRANSLATE($D29,$D$1,H$1)"),"Drachen")</f>
        <v>Drachen</v>
      </c>
    </row>
    <row r="30" spans="1:26" x14ac:dyDescent="0.2">
      <c r="A30" s="3">
        <v>30</v>
      </c>
      <c r="B30" s="3" t="s">
        <v>314</v>
      </c>
      <c r="C30" s="3" t="s">
        <v>315</v>
      </c>
      <c r="D30" s="3" t="s">
        <v>316</v>
      </c>
      <c r="E30" s="2" t="str">
        <f ca="1">IFERROR(__xludf.DUMMYFUNCTION("GOOGLETRANSLATE($D30,$D$1,$E$1)"),"Vital energy (chi/qi)")</f>
        <v>Vital energy (chi/qi)</v>
      </c>
      <c r="F30" s="2" t="str">
        <f ca="1">IFERROR(__xludf.DUMMYFUNCTION("GOOGLETRANSLATE($D30,$D$1,$F$1)"),"Energia vitale (chi/qi)")</f>
        <v>Energia vitale (chi/qi)</v>
      </c>
      <c r="G30" s="2" t="str">
        <f ca="1">IFERROR(__xludf.DUMMYFUNCTION("GOOGLETRANSLATE($D30,$D$1,G$1)"),"Énergie vitale (chi/qi)")</f>
        <v>Énergie vitale (chi/qi)</v>
      </c>
      <c r="H30" s="2" t="str">
        <f ca="1">IFERROR(__xludf.DUMMYFUNCTION("GOOGLETRANSLATE($D30,$D$1,H$1)"),"Lebensenergie (Chi/Qi)")</f>
        <v>Lebensenergie (Chi/Qi)</v>
      </c>
      <c r="I30" s="2"/>
      <c r="J30" s="2"/>
      <c r="N30" s="2"/>
      <c r="O30" s="2"/>
      <c r="P30" s="2"/>
      <c r="Q30" s="2"/>
      <c r="R30" s="2"/>
      <c r="S30" s="2"/>
      <c r="T30" s="2"/>
      <c r="U30" s="2"/>
      <c r="V30" s="2"/>
      <c r="W30" s="2"/>
      <c r="X30" s="2"/>
      <c r="Y30" s="2"/>
      <c r="Z30" s="2"/>
    </row>
    <row r="31" spans="1:26" x14ac:dyDescent="0.2">
      <c r="A31" s="3">
        <v>31</v>
      </c>
      <c r="B31" s="3" t="s">
        <v>317</v>
      </c>
      <c r="C31" s="3" t="s">
        <v>318</v>
      </c>
      <c r="D31" s="3" t="s">
        <v>319</v>
      </c>
      <c r="E31" s="3" t="str">
        <f ca="1">IFERROR(__xludf.DUMMYFUNCTION("GOOGLETRANSLATE($D31,$D$1,$E$1)"),"Person / Benevolence")</f>
        <v>Person / Benevolence</v>
      </c>
      <c r="F31" s="3" t="str">
        <f ca="1">IFERROR(__xludf.DUMMYFUNCTION("GOOGLETRANSLATE($D31,$D$1,$F$1)"),"Persona / Benevolenza")</f>
        <v>Persona / Benevolenza</v>
      </c>
      <c r="G31" s="3" t="str">
        <f ca="1">IFERROR(__xludf.DUMMYFUNCTION("GOOGLETRANSLATE($D31,$D$1,G$1)"),"Personne / Bienveillance")</f>
        <v>Personne / Bienveillance</v>
      </c>
      <c r="H31" s="3" t="str">
        <f ca="1">IFERROR(__xludf.DUMMYFUNCTION("GOOGLETRANSLATE($D31,$D$1,H$1)"),"Person / Wohlwollen")</f>
        <v>Person / Wohlwollen</v>
      </c>
    </row>
    <row r="32" spans="1:26" x14ac:dyDescent="0.2">
      <c r="A32" s="3">
        <v>32</v>
      </c>
      <c r="B32" s="3" t="s">
        <v>320</v>
      </c>
      <c r="C32" s="3" t="s">
        <v>321</v>
      </c>
      <c r="D32" s="3" t="s">
        <v>322</v>
      </c>
      <c r="E32" s="3" t="str">
        <f ca="1">IFERROR(__xludf.DUMMYFUNCTION("GOOGLETRANSLATE($D32,$D$1,$E$1)"),"Clarity / Name / Life")</f>
        <v>Clarity / Name / Life</v>
      </c>
      <c r="F32" s="3" t="str">
        <f ca="1">IFERROR(__xludf.DUMMYFUNCTION("GOOGLETRANSLATE($D32,$D$1,$F$1)"),"Chiarezza / Nome / Vita")</f>
        <v>Chiarezza / Nome / Vita</v>
      </c>
      <c r="G32" s="3" t="str">
        <f ca="1">IFERROR(__xludf.DUMMYFUNCTION("GOOGLETRANSLATE($D32,$D$1,G$1)"),"Clarté / Nom / Vie")</f>
        <v>Clarté / Nom / Vie</v>
      </c>
      <c r="H32" s="3" t="str">
        <f ca="1">IFERROR(__xludf.DUMMYFUNCTION("GOOGLETRANSLATE($D32,$D$1,H$1)"),"Klarheit / Name / Leben")</f>
        <v>Klarheit / Name / Leben</v>
      </c>
    </row>
    <row r="33" spans="1:8" x14ac:dyDescent="0.2">
      <c r="A33" s="3">
        <v>33</v>
      </c>
      <c r="B33" s="3" t="s">
        <v>323</v>
      </c>
      <c r="C33" s="3" t="s">
        <v>324</v>
      </c>
      <c r="D33" s="3" t="s">
        <v>325</v>
      </c>
      <c r="E33" s="3" t="str">
        <f ca="1">IFERROR(__xludf.DUMMYFUNCTION("GOOGLETRANSLATE($D33,$D$1,$E$1)"),"Beauty / Courtesy")</f>
        <v>Beauty / Courtesy</v>
      </c>
      <c r="F33" s="3" t="str">
        <f ca="1">IFERROR(__xludf.DUMMYFUNCTION("GOOGLETRANSLATE($D33,$D$1,$F$1)"),"Bellezza / Cortesia")</f>
        <v>Bellezza / Cortesia</v>
      </c>
      <c r="G33" s="3" t="str">
        <f ca="1">IFERROR(__xludf.DUMMYFUNCTION("GOOGLETRANSLATE($D33,$D$1,G$1)"),"Beauté / Courtoisie")</f>
        <v>Beauté / Courtoisie</v>
      </c>
      <c r="H33" s="3" t="str">
        <f ca="1">IFERROR(__xludf.DUMMYFUNCTION("GOOGLETRANSLATE($D33,$D$1,H$1)"),"Schönheit / Höflichkeit")</f>
        <v>Schönheit / Höflichkeit</v>
      </c>
    </row>
    <row r="34" spans="1:8" x14ac:dyDescent="0.2">
      <c r="A34" s="3">
        <v>34</v>
      </c>
      <c r="B34" s="3" t="s">
        <v>326</v>
      </c>
      <c r="C34" s="3" t="s">
        <v>327</v>
      </c>
      <c r="D34" s="3" t="s">
        <v>140</v>
      </c>
      <c r="E34" s="3" t="str">
        <f ca="1">IFERROR(__xludf.DUMMYFUNCTION("GOOGLETRANSLATE($D34,$D$1,$E$1)"),"Darkness")</f>
        <v>Darkness</v>
      </c>
      <c r="F34" s="3" t="str">
        <f ca="1">IFERROR(__xludf.DUMMYFUNCTION("GOOGLETRANSLATE($D34,$D$1,$F$1)"),"Oscurità")</f>
        <v>Oscurità</v>
      </c>
      <c r="G34" s="3" t="str">
        <f ca="1">IFERROR(__xludf.DUMMYFUNCTION("GOOGLETRANSLATE($D34,$D$1,G$1)"),"Obscurité")</f>
        <v>Obscurité</v>
      </c>
      <c r="H34" s="3" t="str">
        <f ca="1">IFERROR(__xludf.DUMMYFUNCTION("GOOGLETRANSLATE($D34,$D$1,H$1)"),"Dunkelheit")</f>
        <v>Dunkelheit</v>
      </c>
    </row>
    <row r="35" spans="1:8" x14ac:dyDescent="0.2">
      <c r="A35" s="3">
        <v>35</v>
      </c>
      <c r="B35" s="3" t="s">
        <v>328</v>
      </c>
      <c r="C35" s="3" t="s">
        <v>329</v>
      </c>
      <c r="D35" s="3" t="s">
        <v>330</v>
      </c>
      <c r="E35" s="3" t="str">
        <f ca="1">IFERROR(__xludf.DUMMYFUNCTION("GOOGLETRANSLATE($D35,$D$1,$E$1)"),"Void / Space")</f>
        <v>Void / Space</v>
      </c>
      <c r="F35" s="3" t="str">
        <f ca="1">IFERROR(__xludf.DUMMYFUNCTION("GOOGLETRANSLATE($D35,$D$1,$F$1)"),"Vuoto / Spazio")</f>
        <v>Vuoto / Spazio</v>
      </c>
      <c r="G35" s="3" t="str">
        <f ca="1">IFERROR(__xludf.DUMMYFUNCTION("GOOGLETRANSLATE($D35,$D$1,G$1)"),"Vide / Espace")</f>
        <v>Vide / Espace</v>
      </c>
      <c r="H35" s="3" t="str">
        <f ca="1">IFERROR(__xludf.DUMMYFUNCTION("GOOGLETRANSLATE($D35,$D$1,H$1)"),"Leere / Raum")</f>
        <v>Leere / Raum</v>
      </c>
    </row>
    <row r="36" spans="1:8" x14ac:dyDescent="0.2">
      <c r="A36" s="3">
        <v>36</v>
      </c>
      <c r="B36" s="3" t="s">
        <v>331</v>
      </c>
      <c r="C36" s="3" t="s">
        <v>332</v>
      </c>
      <c r="D36" s="3" t="s">
        <v>333</v>
      </c>
      <c r="E36" s="3" t="str">
        <f ca="1">IFERROR(__xludf.DUMMYFUNCTION("GOOGLETRANSLATE($D36,$D$1,$E$1)"),"Peace / Balance")</f>
        <v>Peace / Balance</v>
      </c>
      <c r="F36" s="3" t="str">
        <f ca="1">IFERROR(__xludf.DUMMYFUNCTION("GOOGLETRANSLATE($D36,$D$1,$F$1)"),"Pace / Equilibrio")</f>
        <v>Pace / Equilibrio</v>
      </c>
      <c r="G36" s="3" t="str">
        <f ca="1">IFERROR(__xludf.DUMMYFUNCTION("GOOGLETRANSLATE($D36,$D$1,G$1)"),"Paix / Équilibre")</f>
        <v>Paix / Équilibre</v>
      </c>
      <c r="H36" s="3" t="str">
        <f ca="1">IFERROR(__xludf.DUMMYFUNCTION("GOOGLETRANSLATE($D36,$D$1,H$1)"),"Frieden / Gleichgewicht")</f>
        <v>Frieden / Gleichgewicht</v>
      </c>
    </row>
    <row r="37" spans="1:8" x14ac:dyDescent="0.2">
      <c r="A37" s="3">
        <v>37</v>
      </c>
      <c r="B37" s="3" t="s">
        <v>334</v>
      </c>
      <c r="C37" s="3" t="s">
        <v>335</v>
      </c>
      <c r="D37" s="3" t="s">
        <v>115</v>
      </c>
      <c r="E37" s="3" t="str">
        <f ca="1">IFERROR(__xludf.DUMMYFUNCTION("GOOGLETRANSLATE($D37,$D$1,$E$1)"),"Harmony")</f>
        <v>Harmony</v>
      </c>
      <c r="F37" s="3" t="str">
        <f ca="1">IFERROR(__xludf.DUMMYFUNCTION("GOOGLETRANSLATE($D37,$D$1,$F$1)"),"Armonia")</f>
        <v>Armonia</v>
      </c>
      <c r="G37" s="3" t="str">
        <f ca="1">IFERROR(__xludf.DUMMYFUNCTION("GOOGLETRANSLATE($D37,$D$1,G$1)"),"Harmonie")</f>
        <v>Harmonie</v>
      </c>
      <c r="H37" s="3" t="str">
        <f ca="1">IFERROR(__xludf.DUMMYFUNCTION("GOOGLETRANSLATE($D37,$D$1,H$1)"),"Harmonie")</f>
        <v>Harmonie</v>
      </c>
    </row>
    <row r="38" spans="1:8" x14ac:dyDescent="0.2">
      <c r="A38" s="3">
        <v>38</v>
      </c>
      <c r="B38" s="3" t="s">
        <v>336</v>
      </c>
      <c r="C38" s="3" t="s">
        <v>337</v>
      </c>
      <c r="D38" s="3" t="s">
        <v>338</v>
      </c>
      <c r="E38" s="3" t="str">
        <f ca="1">IFERROR(__xludf.DUMMYFUNCTION("GOOGLETRANSLATE($D38,$D$1,$E$1)"),"Purity / Innocence")</f>
        <v>Purity / Innocence</v>
      </c>
      <c r="F38" s="3" t="str">
        <f ca="1">IFERROR(__xludf.DUMMYFUNCTION("GOOGLETRANSLATE($D38,$D$1,$F$1)"),"Purezza / Innocenza")</f>
        <v>Purezza / Innocenza</v>
      </c>
      <c r="G38" s="3" t="str">
        <f ca="1">IFERROR(__xludf.DUMMYFUNCTION("GOOGLETRANSLATE($D38,$D$1,G$1)"),"Pureté / Innocence")</f>
        <v>Pureté / Innocence</v>
      </c>
      <c r="H38" s="3" t="str">
        <f ca="1">IFERROR(__xludf.DUMMYFUNCTION("GOOGLETRANSLATE($D38,$D$1,H$1)"),"Reinheit / Unschuld")</f>
        <v>Reinheit / Unschuld</v>
      </c>
    </row>
    <row r="39" spans="1:8" x14ac:dyDescent="0.2">
      <c r="A39" s="3">
        <v>39</v>
      </c>
      <c r="B39" s="3" t="s">
        <v>339</v>
      </c>
      <c r="C39" s="3" t="s">
        <v>340</v>
      </c>
      <c r="D39" s="3" t="s">
        <v>341</v>
      </c>
      <c r="E39" s="3" t="str">
        <f ca="1">IFERROR(__xludf.DUMMYFUNCTION("GOOGLETRANSLATE($D39,$D$1,$E$1)"),"Silver / Grace")</f>
        <v>Silver / Grace</v>
      </c>
      <c r="F39" s="3" t="str">
        <f ca="1">IFERROR(__xludf.DUMMYFUNCTION("GOOGLETRANSLATE($D39,$D$1,$F$1)"),"Argento / Grazia")</f>
        <v>Argento / Grazia</v>
      </c>
      <c r="G39" s="3" t="str">
        <f ca="1">IFERROR(__xludf.DUMMYFUNCTION("GOOGLETRANSLATE($D39,$D$1,G$1)"),"Argent / Grâce")</f>
        <v>Argent / Grâce</v>
      </c>
      <c r="H39" s="3" t="str">
        <f ca="1">IFERROR(__xludf.DUMMYFUNCTION("GOOGLETRANSLATE($D39,$D$1,H$1)"),"Silber / Gnade")</f>
        <v>Silber / Gnade</v>
      </c>
    </row>
    <row r="40" spans="1:8" x14ac:dyDescent="0.2">
      <c r="A40" s="3">
        <v>40</v>
      </c>
      <c r="B40" s="3" t="s">
        <v>342</v>
      </c>
      <c r="C40" s="3" t="s">
        <v>343</v>
      </c>
      <c r="D40" s="3" t="s">
        <v>344</v>
      </c>
      <c r="E40" s="3" t="str">
        <f ca="1">IFERROR(__xludf.DUMMYFUNCTION("GOOGLETRANSLATE($D40,$D$1,$E$1)"),"River / Force")</f>
        <v>River / Force</v>
      </c>
      <c r="F40" s="3" t="str">
        <f ca="1">IFERROR(__xludf.DUMMYFUNCTION("GOOGLETRANSLATE($D40,$D$1,$F$1)"),"Fiume / Forza")</f>
        <v>Fiume / Forza</v>
      </c>
      <c r="G40" s="3" t="str">
        <f ca="1">IFERROR(__xludf.DUMMYFUNCTION("GOOGLETRANSLATE($D40,$D$1,G$1)"),"Rivière / Force")</f>
        <v>Rivière / Force</v>
      </c>
      <c r="H40" s="3" t="str">
        <f ca="1">IFERROR(__xludf.DUMMYFUNCTION("GOOGLETRANSLATE($D40,$D$1,H$1)"),"Fluss / Kraft")</f>
        <v>Fluss / Kraft</v>
      </c>
    </row>
    <row r="41" spans="1:8" x14ac:dyDescent="0.2">
      <c r="A41" s="3">
        <v>41</v>
      </c>
      <c r="B41" s="3" t="s">
        <v>250</v>
      </c>
      <c r="C41" s="3" t="s">
        <v>251</v>
      </c>
      <c r="D41" s="3" t="s">
        <v>36</v>
      </c>
      <c r="E41" s="3" t="str">
        <f ca="1">IFERROR(__xludf.DUMMYFUNCTION("GOOGLETRANSLATE($D41,$D$1,$E$1)"),"Fire")</f>
        <v>Fire</v>
      </c>
      <c r="F41" s="3" t="str">
        <f ca="1">IFERROR(__xludf.DUMMYFUNCTION("GOOGLETRANSLATE($D41,$D$1,$F$1)"),"Fuoco")</f>
        <v>Fuoco</v>
      </c>
      <c r="G41" s="3" t="str">
        <f ca="1">IFERROR(__xludf.DUMMYFUNCTION("GOOGLETRANSLATE($D41,$D$1,G$1)"),"Feu")</f>
        <v>Feu</v>
      </c>
      <c r="H41" s="3" t="str">
        <f ca="1">IFERROR(__xludf.DUMMYFUNCTION("GOOGLETRANSLATE($D41,$D$1,H$1)"),"Feuer")</f>
        <v>Feuer</v>
      </c>
    </row>
    <row r="42" spans="1:8" x14ac:dyDescent="0.2">
      <c r="A42" s="3">
        <v>42</v>
      </c>
      <c r="B42" s="3" t="s">
        <v>345</v>
      </c>
      <c r="C42" s="3" t="s">
        <v>346</v>
      </c>
      <c r="D42" s="3" t="s">
        <v>347</v>
      </c>
      <c r="E42" s="3" t="str">
        <f ca="1">IFERROR(__xludf.DUMMYFUNCTION("GOOGLETRANSLATE($D42,$D$1,$E$1)"),"Sound / Small")</f>
        <v>Sound / Small</v>
      </c>
      <c r="F42" s="3" t="str">
        <f ca="1">IFERROR(__xludf.DUMMYFUNCTION("GOOGLETRANSLATE($D42,$D$1,$F$1)"),"Suono / Piccolo")</f>
        <v>Suono / Piccolo</v>
      </c>
      <c r="G42" s="3" t="str">
        <f ca="1">IFERROR(__xludf.DUMMYFUNCTION("GOOGLETRANSLATE($D42,$D$1,G$1)"),"Son / Petit")</f>
        <v>Son / Petit</v>
      </c>
      <c r="H42" s="3" t="str">
        <f ca="1">IFERROR(__xludf.DUMMYFUNCTION("GOOGLETRANSLATE($D42,$D$1,H$1)"),"Ton / Klein")</f>
        <v>Ton / Klein</v>
      </c>
    </row>
    <row r="43" spans="1:8" x14ac:dyDescent="0.2">
      <c r="A43" s="3">
        <v>43</v>
      </c>
      <c r="B43" s="3" t="s">
        <v>348</v>
      </c>
      <c r="C43" s="3" t="s">
        <v>349</v>
      </c>
      <c r="D43" s="3" t="s">
        <v>350</v>
      </c>
      <c r="E43" s="3" t="str">
        <f ca="1">IFERROR(__xludf.DUMMYFUNCTION("GOOGLETRANSLATE($D43,$D$1,$E$1)"),"Feeling / Emotion")</f>
        <v>Feeling / Emotion</v>
      </c>
      <c r="F43" s="3" t="str">
        <f ca="1">IFERROR(__xludf.DUMMYFUNCTION("GOOGLETRANSLATE($D43,$D$1,$F$1)"),"Sentimento / Emozione")</f>
        <v>Sentimento / Emozione</v>
      </c>
      <c r="G43" s="3" t="str">
        <f ca="1">IFERROR(__xludf.DUMMYFUNCTION("GOOGLETRANSLATE($D43,$D$1,G$1)"),"Sentiment / Émotion")</f>
        <v>Sentiment / Émotion</v>
      </c>
      <c r="H43" s="3" t="str">
        <f ca="1">IFERROR(__xludf.DUMMYFUNCTION("GOOGLETRANSLATE($D43,$D$1,H$1)"),"Gefühl / Emotion")</f>
        <v>Gefühl / Emotion</v>
      </c>
    </row>
    <row r="44" spans="1:8" x14ac:dyDescent="0.2">
      <c r="A44" s="3">
        <v>44</v>
      </c>
      <c r="B44" s="3" t="s">
        <v>297</v>
      </c>
      <c r="C44" s="3" t="s">
        <v>298</v>
      </c>
      <c r="D44" s="3" t="s">
        <v>351</v>
      </c>
      <c r="E44" s="3" t="str">
        <f ca="1">IFERROR(__xludf.DUMMYFUNCTION("GOOGLETRANSLATE($D44,$D$1,$E$1)"),"Sacred / Star / Success")</f>
        <v>Sacred / Star / Success</v>
      </c>
      <c r="F44" s="3" t="str">
        <f ca="1">IFERROR(__xludf.DUMMYFUNCTION("GOOGLETRANSLATE($D44,$D$1,$F$1)"),"Sacro / Stella / Successo")</f>
        <v>Sacro / Stella / Successo</v>
      </c>
      <c r="G44" s="3" t="str">
        <f ca="1">IFERROR(__xludf.DUMMYFUNCTION("GOOGLETRANSLATE($D44,$D$1,G$1)"),"Sacré / Étoile / Succès")</f>
        <v>Sacré / Étoile / Succès</v>
      </c>
      <c r="H44" s="3" t="str">
        <f ca="1">IFERROR(__xludf.DUMMYFUNCTION("GOOGLETRANSLATE($D44,$D$1,H$1)"),"Heilig / Stern / Erfolg")</f>
        <v>Heilig / Stern / Erfolg</v>
      </c>
    </row>
    <row r="45" spans="1:8" x14ac:dyDescent="0.2">
      <c r="A45" s="3">
        <v>45</v>
      </c>
      <c r="B45" s="3" t="s">
        <v>352</v>
      </c>
      <c r="C45" s="3" t="s">
        <v>353</v>
      </c>
      <c r="D45" s="3" t="s">
        <v>354</v>
      </c>
      <c r="E45" s="3" t="str">
        <f ca="1">IFERROR(__xludf.DUMMYFUNCTION("GOOGLETRANSLATE($D45,$D$1,$E$1)"),"Center / Balance")</f>
        <v>Center / Balance</v>
      </c>
      <c r="F45" s="3" t="str">
        <f ca="1">IFERROR(__xludf.DUMMYFUNCTION("GOOGLETRANSLATE($D45,$D$1,$F$1)"),"Centro / Equilibrio")</f>
        <v>Centro / Equilibrio</v>
      </c>
      <c r="G45" s="3" t="str">
        <f ca="1">IFERROR(__xludf.DUMMYFUNCTION("GOOGLETRANSLATE($D45,$D$1,G$1)"),"Centre / Équilibre")</f>
        <v>Centre / Équilibre</v>
      </c>
      <c r="H45" s="3" t="str">
        <f ca="1">IFERROR(__xludf.DUMMYFUNCTION("GOOGLETRANSLATE($D45,$D$1,H$1)"),"Mitte / Balance")</f>
        <v>Mitte / Balance</v>
      </c>
    </row>
    <row r="46" spans="1:8" x14ac:dyDescent="0.2">
      <c r="A46" s="3">
        <v>46</v>
      </c>
      <c r="B46" s="3" t="s">
        <v>355</v>
      </c>
      <c r="C46" s="3" t="s">
        <v>356</v>
      </c>
      <c r="D46" s="3" t="s">
        <v>357</v>
      </c>
      <c r="E46" s="3" t="str">
        <f ca="1">IFERROR(__xludf.DUMMYFUNCTION("GOOGLETRANSLATE($D46,$D$1,$E$1)"),"Evil / Music (according to Hanja)")</f>
        <v>Evil / Music (according to Hanja)</v>
      </c>
      <c r="F46" s="3" t="str">
        <f ca="1">IFERROR(__xludf.DUMMYFUNCTION("GOOGLETRANSLATE($D46,$D$1,$F$1)"),"Male / Musica (secondo Hanja)")</f>
        <v>Male / Musica (secondo Hanja)</v>
      </c>
      <c r="G46" s="3" t="str">
        <f ca="1">IFERROR(__xludf.DUMMYFUNCTION("GOOGLETRANSLATE($D46,$D$1,G$1)"),"Mal / Musique (selon Hanja)")</f>
        <v>Mal / Musique (selon Hanja)</v>
      </c>
      <c r="H46" s="3" t="str">
        <f ca="1">IFERROR(__xludf.DUMMYFUNCTION("GOOGLETRANSLATE($D46,$D$1,H$1)"),"Böse / Musik (laut Hanja)")</f>
        <v>Böse / Musik (laut Hanja)</v>
      </c>
    </row>
    <row r="47" spans="1:8" x14ac:dyDescent="0.2">
      <c r="A47" s="3">
        <v>47</v>
      </c>
      <c r="B47" s="3" t="s">
        <v>306</v>
      </c>
      <c r="C47" s="3" t="s">
        <v>307</v>
      </c>
      <c r="D47" s="3" t="s">
        <v>358</v>
      </c>
      <c r="E47" s="3" t="str">
        <f ca="1">IFERROR(__xludf.DUMMYFUNCTION("GOOGLETRANSLATE($D47,$D$1,$E$1)"),"Good / Line")</f>
        <v>Good / Line</v>
      </c>
      <c r="F47" s="3" t="str">
        <f ca="1">IFERROR(__xludf.DUMMYFUNCTION("GOOGLETRANSLATE($D47,$D$1,$F$1)"),"Buono / Linea")</f>
        <v>Buono / Linea</v>
      </c>
      <c r="G47" s="3" t="str">
        <f ca="1">IFERROR(__xludf.DUMMYFUNCTION("GOOGLETRANSLATE($D47,$D$1,G$1)"),"Bon / Ligne")</f>
        <v>Bon / Ligne</v>
      </c>
      <c r="H47" s="3" t="str">
        <f ca="1">IFERROR(__xludf.DUMMYFUNCTION("GOOGLETRANSLATE($D47,$D$1,H$1)"),"Gut / Linie")</f>
        <v>Gut / Linie</v>
      </c>
    </row>
    <row r="48" spans="1:8" x14ac:dyDescent="0.2">
      <c r="A48" s="3">
        <v>48</v>
      </c>
      <c r="B48" s="3" t="s">
        <v>359</v>
      </c>
      <c r="C48" s="3" t="s">
        <v>360</v>
      </c>
      <c r="D48" s="3" t="s">
        <v>361</v>
      </c>
      <c r="E48" s="3" t="str">
        <f ca="1">IFERROR(__xludf.DUMMYFUNCTION("GOOGLETRANSLATE($D48,$D$1,$E$1)"),"Circle / Desire / Origin")</f>
        <v>Circle / Desire / Origin</v>
      </c>
      <c r="F48" s="3" t="str">
        <f ca="1">IFERROR(__xludf.DUMMYFUNCTION("GOOGLETRANSLATE($D48,$D$1,$F$1)"),"Cerchio / Desiderio / Origine")</f>
        <v>Cerchio / Desiderio / Origine</v>
      </c>
      <c r="G48" s="3" t="str">
        <f ca="1">IFERROR(__xludf.DUMMYFUNCTION("GOOGLETRANSLATE($D48,$D$1,G$1)"),"Cercle / Désir / Origine")</f>
        <v>Cercle / Désir / Origine</v>
      </c>
      <c r="H48" s="3" t="str">
        <f ca="1">IFERROR(__xludf.DUMMYFUNCTION("GOOGLETRANSLATE($D48,$D$1,H$1)"),"Kreis / Wunsch / Ursprung")</f>
        <v>Kreis / Wunsch / Ursprung</v>
      </c>
    </row>
    <row r="49" spans="1:8" x14ac:dyDescent="0.2">
      <c r="A49" s="3">
        <v>49</v>
      </c>
      <c r="B49" s="3" t="s">
        <v>362</v>
      </c>
      <c r="C49" s="3" t="s">
        <v>363</v>
      </c>
      <c r="D49" s="3" t="s">
        <v>364</v>
      </c>
      <c r="E49" s="3" t="str">
        <f ca="1">IFERROR(__xludf.DUMMYFUNCTION("GOOGLETRANSLATE($D49,$D$1,$E$1)"),"Interior / Mine")</f>
        <v>Interior / Mine</v>
      </c>
      <c r="F49" s="3" t="str">
        <f ca="1">IFERROR(__xludf.DUMMYFUNCTION("GOOGLETRANSLATE($D49,$D$1,$F$1)"),"Interno / Miniera")</f>
        <v>Interno / Miniera</v>
      </c>
      <c r="G49" s="3" t="str">
        <f ca="1">IFERROR(__xludf.DUMMYFUNCTION("GOOGLETRANSLATE($D49,$D$1,G$1)"),"Intérieur / Mine")</f>
        <v>Intérieur / Mine</v>
      </c>
      <c r="H49" s="3" t="str">
        <f ca="1">IFERROR(__xludf.DUMMYFUNCTION("GOOGLETRANSLATE($D49,$D$1,H$1)"),"Innenansicht / Bergwerk")</f>
        <v>Innenansicht / Bergwerk</v>
      </c>
    </row>
    <row r="50" spans="1:8" x14ac:dyDescent="0.2">
      <c r="A50" s="3">
        <v>50</v>
      </c>
      <c r="B50" s="3" t="s">
        <v>365</v>
      </c>
      <c r="C50" s="3" t="s">
        <v>366</v>
      </c>
      <c r="D50" s="3" t="s">
        <v>367</v>
      </c>
      <c r="E50" s="3" t="str">
        <f ca="1">IFERROR(__xludf.DUMMYFUNCTION("GOOGLETRANSLATE($D50,$D$1,$E$1)"),"Exterior / Insulation")</f>
        <v>Exterior / Insulation</v>
      </c>
      <c r="F50" s="3" t="str">
        <f ca="1">IFERROR(__xludf.DUMMYFUNCTION("GOOGLETRANSLATE($D50,$D$1,$F$1)"),"Esterno / Isolamento")</f>
        <v>Esterno / Isolamento</v>
      </c>
      <c r="G50" s="3" t="str">
        <f ca="1">IFERROR(__xludf.DUMMYFUNCTION("GOOGLETRANSLATE($D50,$D$1,G$1)"),"Extérieur / Isolation")</f>
        <v>Extérieur / Isolation</v>
      </c>
      <c r="H50" s="3" t="str">
        <f ca="1">IFERROR(__xludf.DUMMYFUNCTION("GOOGLETRANSLATE($D50,$D$1,H$1)"),"Außenbereich / Isolierung")</f>
        <v>Außenbereich / Isolierung</v>
      </c>
    </row>
    <row r="51" spans="1:8" x14ac:dyDescent="0.2">
      <c r="A51" s="3">
        <v>51</v>
      </c>
      <c r="B51" s="3" t="s">
        <v>368</v>
      </c>
      <c r="C51" s="3" t="s">
        <v>369</v>
      </c>
      <c r="D51" s="3" t="s">
        <v>370</v>
      </c>
      <c r="E51" s="3" t="str">
        <f ca="1">IFERROR(__xludf.DUMMYFUNCTION("GOOGLETRANSLATE($D51,$D$1,$E$1)"),"Passion / Heat / Fever")</f>
        <v>Passion / Heat / Fever</v>
      </c>
      <c r="F51" s="3" t="str">
        <f ca="1">IFERROR(__xludf.DUMMYFUNCTION("GOOGLETRANSLATE($D51,$D$1,$F$1)"),"Passione / Calore / Febbre")</f>
        <v>Passione / Calore / Febbre</v>
      </c>
      <c r="G51" s="3" t="str">
        <f ca="1">IFERROR(__xludf.DUMMYFUNCTION("GOOGLETRANSLATE($D51,$D$1,G$1)"),"Passion / Chaleur / Fièvre")</f>
        <v>Passion / Chaleur / Fièvre</v>
      </c>
      <c r="H51" s="3" t="str">
        <f ca="1">IFERROR(__xludf.DUMMYFUNCTION("GOOGLETRANSLATE($D51,$D$1,H$1)"),"Leidenschaft / Hitze / Fieber")</f>
        <v>Leidenschaft / Hitze / Fieber</v>
      </c>
    </row>
    <row r="52" spans="1:8" x14ac:dyDescent="0.2">
      <c r="B52" s="2"/>
      <c r="C52" s="2"/>
      <c r="D52" s="2"/>
    </row>
    <row r="53" spans="1:8" x14ac:dyDescent="0.2">
      <c r="B53" s="2"/>
      <c r="C53" s="2"/>
      <c r="D5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371</v>
      </c>
      <c r="C1" s="1" t="s">
        <v>372</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3">
        <v>1</v>
      </c>
      <c r="B2" s="1" t="s">
        <v>373</v>
      </c>
      <c r="C2" s="1" t="s">
        <v>374</v>
      </c>
      <c r="D2" s="1" t="s">
        <v>375</v>
      </c>
      <c r="E2" s="3" t="str">
        <f ca="1">IFERROR(__xludf.DUMMYFUNCTION("GOOGLETRANSLATE($D2,$D$1,$E$1)"),"Wealth, cattle, abundance.")</f>
        <v>Wealth, cattle, abundance.</v>
      </c>
      <c r="F2" s="3" t="str">
        <f ca="1">IFERROR(__xludf.DUMMYFUNCTION("GOOGLETRANSLATE($D2,$D$1,F$1)"),"Ricchezza, bestiame, abbondanza.")</f>
        <v>Ricchezza, bestiame, abbondanza.</v>
      </c>
      <c r="G2" s="3" t="str">
        <f ca="1">IFERROR(__xludf.DUMMYFUNCTION("GOOGLETRANSLATE($D2,$D$1,G$1)"),"Richesse, bétail, abondance.")</f>
        <v>Richesse, bétail, abondance.</v>
      </c>
      <c r="H2" s="3" t="str">
        <f ca="1">IFERROR(__xludf.DUMMYFUNCTION("GOOGLETRANSLATE($D2,$D$1,H$1)"),"Reichtum, Vieh, Überfluss.")</f>
        <v>Reichtum, Vieh, Überfluss.</v>
      </c>
    </row>
    <row r="3" spans="1:27" x14ac:dyDescent="0.2">
      <c r="A3" s="3">
        <v>2</v>
      </c>
      <c r="B3" s="1" t="s">
        <v>376</v>
      </c>
      <c r="C3" s="1" t="s">
        <v>377</v>
      </c>
      <c r="D3" s="1" t="s">
        <v>378</v>
      </c>
      <c r="E3" s="3" t="str">
        <f ca="1">IFERROR(__xludf.DUMMYFUNCTION("GOOGLETRANSLATE($D3,$D$1,$E$1)"),"Strength, vigor, health, resistance.")</f>
        <v>Strength, vigor, health, resistance.</v>
      </c>
      <c r="F3" s="3" t="str">
        <f ca="1">IFERROR(__xludf.DUMMYFUNCTION("GOOGLETRANSLATE($D3,$D$1,$F$1)"),"Forza, vigore, salute, resistenza.")</f>
        <v>Forza, vigore, salute, resistenza.</v>
      </c>
      <c r="G3" s="3" t="str">
        <f ca="1">IFERROR(__xludf.DUMMYFUNCTION("GOOGLETRANSLATE($D3,$D$1,G$1)"),"Force, vigueur, santé, résistance.")</f>
        <v>Force, vigueur, santé, résistance.</v>
      </c>
      <c r="H3" s="3" t="str">
        <f ca="1">IFERROR(__xludf.DUMMYFUNCTION("GOOGLETRANSLATE($D3,$D$1,H$1)"),"Kraft, Vitalität, Gesundheit, Widerstandskraft.")</f>
        <v>Kraft, Vitalität, Gesundheit, Widerstandskraft.</v>
      </c>
    </row>
    <row r="4" spans="1:27" x14ac:dyDescent="0.2">
      <c r="A4" s="3">
        <v>3</v>
      </c>
      <c r="B4" s="1" t="s">
        <v>379</v>
      </c>
      <c r="C4" s="1" t="s">
        <v>380</v>
      </c>
      <c r="D4" s="1" t="s">
        <v>381</v>
      </c>
      <c r="E4" s="3" t="str">
        <f ca="1">IFERROR(__xludf.DUMMYFUNCTION("GOOGLETRANSLATE($D4,$D$1,$E$1)"),"Thorns, protection, conflict, destructive force.")</f>
        <v>Thorns, protection, conflict, destructive force.</v>
      </c>
      <c r="F4" s="3" t="str">
        <f ca="1">IFERROR(__xludf.DUMMYFUNCTION("GOOGLETRANSLATE($D4,$D$1,$F$1)"),"Spine, protezione, conflitto, forza distruttiva.")</f>
        <v>Spine, protezione, conflitto, forza distruttiva.</v>
      </c>
      <c r="G4" s="3" t="str">
        <f ca="1">IFERROR(__xludf.DUMMYFUNCTION("GOOGLETRANSLATE($D4,$D$1,G$1)"),"Épines, protection, conflit, force destructrice.")</f>
        <v>Épines, protection, conflit, force destructrice.</v>
      </c>
      <c r="H4" s="3" t="str">
        <f ca="1">IFERROR(__xludf.DUMMYFUNCTION("GOOGLETRANSLATE($D4,$D$1,H$1)"),"Dornen, Schutz, Konflikt, zerstörerische Kraft.")</f>
        <v>Dornen, Schutz, Konflikt, zerstörerische Kraft.</v>
      </c>
    </row>
    <row r="5" spans="1:27" x14ac:dyDescent="0.2">
      <c r="A5" s="3">
        <v>4</v>
      </c>
      <c r="B5" s="1" t="s">
        <v>382</v>
      </c>
      <c r="C5" s="3" t="s">
        <v>383</v>
      </c>
      <c r="D5" s="1" t="s">
        <v>384</v>
      </c>
      <c r="E5" s="3" t="str">
        <f ca="1">IFERROR(__xludf.DUMMYFUNCTION("GOOGLETRANSLATE($D5,$D$1,$E$1)"),"Gods, wisdom, inspiration, communication.")</f>
        <v>Gods, wisdom, inspiration, communication.</v>
      </c>
      <c r="F5" s="3" t="str">
        <f ca="1">IFERROR(__xludf.DUMMYFUNCTION("GOOGLETRANSLATE($D5,$D$1,$F$1)"),"Dei, saggezza, ispirazione, comunicazione.")</f>
        <v>Dei, saggezza, ispirazione, comunicazione.</v>
      </c>
      <c r="G5" s="3" t="str">
        <f ca="1">IFERROR(__xludf.DUMMYFUNCTION("GOOGLETRANSLATE($D5,$D$1,G$1)"),"Dieux, sagesse, inspiration, communication.")</f>
        <v>Dieux, sagesse, inspiration, communication.</v>
      </c>
      <c r="H5" s="3" t="str">
        <f ca="1">IFERROR(__xludf.DUMMYFUNCTION("GOOGLETRANSLATE($D5,$D$1,H$1)"),"Götter, Weisheit, Inspiration, Kommunikation.")</f>
        <v>Götter, Weisheit, Inspiration, Kommunikation.</v>
      </c>
    </row>
    <row r="6" spans="1:27" x14ac:dyDescent="0.2">
      <c r="A6" s="3">
        <v>5</v>
      </c>
      <c r="B6" s="1" t="s">
        <v>385</v>
      </c>
      <c r="C6" s="1" t="s">
        <v>386</v>
      </c>
      <c r="D6" s="1" t="s">
        <v>387</v>
      </c>
      <c r="E6" s="3" t="str">
        <f ca="1">IFERROR(__xludf.DUMMYFUNCTION("GOOGLETRANSLATE($D6,$D$1,$E$1)"),"Journey, movement, order, rhythm.")</f>
        <v>Journey, movement, order, rhythm.</v>
      </c>
      <c r="F6" s="3" t="str">
        <f ca="1">IFERROR(__xludf.DUMMYFUNCTION("GOOGLETRANSLATE($D6,$D$1,$F$1)"),"Viaggio, movimento, ordine, ritmo.")</f>
        <v>Viaggio, movimento, ordine, ritmo.</v>
      </c>
      <c r="G6" s="3" t="str">
        <f ca="1">IFERROR(__xludf.DUMMYFUNCTION("GOOGLETRANSLATE($D6,$D$1,G$1)"),"Voyage, mouvement, ordre, rythme.")</f>
        <v>Voyage, mouvement, ordre, rythme.</v>
      </c>
      <c r="H6" s="3" t="str">
        <f ca="1">IFERROR(__xludf.DUMMYFUNCTION("GOOGLETRANSLATE($D6,$D$1,H$1)"),"Reise, Bewegung, Ordnung, Rhythmus.")</f>
        <v>Reise, Bewegung, Ordnung, Rhythmus.</v>
      </c>
    </row>
    <row r="7" spans="1:27" x14ac:dyDescent="0.2">
      <c r="A7" s="3">
        <v>6</v>
      </c>
      <c r="B7" s="1" t="s">
        <v>388</v>
      </c>
      <c r="C7" s="1" t="s">
        <v>389</v>
      </c>
      <c r="D7" s="1" t="s">
        <v>390</v>
      </c>
      <c r="E7" s="3" t="str">
        <f ca="1">IFERROR(__xludf.DUMMYFUNCTION("GOOGLETRANSLATE($D7,$D$1,$E$1)"),"Torch, knowledge, enlightenment, creativity.")</f>
        <v>Torch, knowledge, enlightenment, creativity.</v>
      </c>
      <c r="F7" s="3" t="str">
        <f ca="1">IFERROR(__xludf.DUMMYFUNCTION("GOOGLETRANSLATE($D7,$D$1,$F$1)"),"Torcia, conoscenza, illuminazione, creatività.")</f>
        <v>Torcia, conoscenza, illuminazione, creatività.</v>
      </c>
      <c r="G7" s="3" t="str">
        <f ca="1">IFERROR(__xludf.DUMMYFUNCTION("GOOGLETRANSLATE($D7,$D$1,G$1)"),"Torche, connaissance, illumination, créativité.")</f>
        <v>Torche, connaissance, illumination, créativité.</v>
      </c>
      <c r="H7" s="3" t="str">
        <f ca="1">IFERROR(__xludf.DUMMYFUNCTION("GOOGLETRANSLATE($D7,$D$1,H$1)"),"Fackel, Wissen, Erleuchtung, Kreativität.")</f>
        <v>Fackel, Wissen, Erleuchtung, Kreativität.</v>
      </c>
    </row>
    <row r="8" spans="1:27" x14ac:dyDescent="0.2">
      <c r="A8" s="3">
        <v>7</v>
      </c>
      <c r="B8" s="1" t="s">
        <v>391</v>
      </c>
      <c r="C8" s="1" t="s">
        <v>392</v>
      </c>
      <c r="D8" s="1" t="s">
        <v>393</v>
      </c>
      <c r="E8" s="3" t="str">
        <f ca="1">IFERROR(__xludf.DUMMYFUNCTION("GOOGLETRANSLATE($D8,$D$1,$E$1)"),"Gift, generosity, union, balance.")</f>
        <v>Gift, generosity, union, balance.</v>
      </c>
      <c r="F8" s="3" t="str">
        <f ca="1">IFERROR(__xludf.DUMMYFUNCTION("GOOGLETRANSLATE($D8,$D$1,$F$1)"),"Dono, generosità, unione, equilibrio.")</f>
        <v>Dono, generosità, unione, equilibrio.</v>
      </c>
      <c r="G8" s="3" t="str">
        <f ca="1">IFERROR(__xludf.DUMMYFUNCTION("GOOGLETRANSLATE($D8,$D$1,G$1)"),"Don, générosité, union, équilibre.")</f>
        <v>Don, générosité, union, équilibre.</v>
      </c>
      <c r="H8" s="3" t="str">
        <f ca="1">IFERROR(__xludf.DUMMYFUNCTION("GOOGLETRANSLATE($D8,$D$1,H$1)"),"Geschenk, Großzügigkeit, Einheit, Ausgeglichenheit.")</f>
        <v>Geschenk, Großzügigkeit, Einheit, Ausgeglichenheit.</v>
      </c>
    </row>
    <row r="9" spans="1:27" x14ac:dyDescent="0.2">
      <c r="A9" s="3">
        <v>8</v>
      </c>
      <c r="B9" s="1" t="s">
        <v>394</v>
      </c>
      <c r="C9" s="1" t="s">
        <v>395</v>
      </c>
      <c r="D9" s="1" t="s">
        <v>396</v>
      </c>
      <c r="E9" s="3" t="str">
        <f ca="1">IFERROR(__xludf.DUMMYFUNCTION("GOOGLETRANSLATE($D9,$D$1,$E$1)"),"Joy, glory, happiness, companionship.")</f>
        <v>Joy, glory, happiness, companionship.</v>
      </c>
      <c r="F9" s="3" t="str">
        <f ca="1">IFERROR(__xludf.DUMMYFUNCTION("GOOGLETRANSLATE($D9,$D$1,$F$1)"),"Gioia, gloria, felicità, compagnia.")</f>
        <v>Gioia, gloria, felicità, compagnia.</v>
      </c>
      <c r="G9" s="3" t="str">
        <f ca="1">IFERROR(__xludf.DUMMYFUNCTION("GOOGLETRANSLATE($D9,$D$1,G$1)"),"Joie, gloire, bonheur, camaraderie.")</f>
        <v>Joie, gloire, bonheur, camaraderie.</v>
      </c>
      <c r="H9" s="3" t="str">
        <f ca="1">IFERROR(__xludf.DUMMYFUNCTION("GOOGLETRANSLATE($D9,$D$1,H$1)"),"Freude, Ruhm, Glück, Kameradschaft.")</f>
        <v>Freude, Ruhm, Glück, Kameradschaft.</v>
      </c>
    </row>
    <row r="10" spans="1:27" x14ac:dyDescent="0.2">
      <c r="A10" s="3">
        <v>9</v>
      </c>
      <c r="B10" s="1" t="s">
        <v>397</v>
      </c>
      <c r="C10" s="1" t="s">
        <v>398</v>
      </c>
      <c r="D10" s="1" t="s">
        <v>399</v>
      </c>
      <c r="E10" s="3" t="str">
        <f ca="1">IFERROR(__xludf.DUMMYFUNCTION("GOOGLETRANSLATE($D10,$D$1,$E$1)"),"Hail, disruption, test, deliverance.")</f>
        <v>Hail, disruption, test, deliverance.</v>
      </c>
      <c r="F10" s="3" t="str">
        <f ca="1">IFERROR(__xludf.DUMMYFUNCTION("GOOGLETRANSLATE($D10,$D$1,$F$1)"),"Grandine, sconvolgimento, prova, liberazione.")</f>
        <v>Grandine, sconvolgimento, prova, liberazione.</v>
      </c>
      <c r="G10" s="3" t="str">
        <f ca="1">IFERROR(__xludf.DUMMYFUNCTION("GOOGLETRANSLATE($D10,$D$1,G$1)"),"Salut, perturbation, épreuve, délivrance.")</f>
        <v>Salut, perturbation, épreuve, délivrance.</v>
      </c>
      <c r="H10" s="3" t="str">
        <f ca="1">IFERROR(__xludf.DUMMYFUNCTION("GOOGLETRANSLATE($D10,$D$1,H$1)"),"Hagel, Störung, Prüfung, Erlösung.")</f>
        <v>Hagel, Störung, Prüfung, Erlösung.</v>
      </c>
    </row>
    <row r="11" spans="1:27" x14ac:dyDescent="0.2">
      <c r="A11" s="3">
        <v>10</v>
      </c>
      <c r="B11" s="1" t="s">
        <v>400</v>
      </c>
      <c r="C11" s="1" t="s">
        <v>401</v>
      </c>
      <c r="D11" s="1" t="s">
        <v>402</v>
      </c>
      <c r="E11" s="3" t="str">
        <f ca="1">IFERROR(__xludf.DUMMYFUNCTION("GOOGLETRANSLATE($D11,$D$1,$E$1)"),"Need, restriction, patience, overcoming.")</f>
        <v>Need, restriction, patience, overcoming.</v>
      </c>
      <c r="F11" s="3" t="str">
        <f ca="1">IFERROR(__xludf.DUMMYFUNCTION("GOOGLETRANSLATE($D11,$D$1,$F$1)"),"Bisogno, restrizione, pazienza, superamento.")</f>
        <v>Bisogno, restrizione, pazienza, superamento.</v>
      </c>
      <c r="G11" s="3" t="str">
        <f ca="1">IFERROR(__xludf.DUMMYFUNCTION("GOOGLETRANSLATE($D11,$D$1,G$1)"),"Besoin, restriction, patience, dépassement.")</f>
        <v>Besoin, restriction, patience, dépassement.</v>
      </c>
      <c r="H11" s="3" t="str">
        <f ca="1">IFERROR(__xludf.DUMMYFUNCTION("GOOGLETRANSLATE($D11,$D$1,H$1)"),"Bedürfnis, Einschränkung, Geduld, Überwindung.")</f>
        <v>Bedürfnis, Einschränkung, Geduld, Überwindung.</v>
      </c>
    </row>
    <row r="12" spans="1:27" x14ac:dyDescent="0.2">
      <c r="A12" s="3">
        <v>11</v>
      </c>
      <c r="B12" s="1" t="s">
        <v>403</v>
      </c>
      <c r="C12" s="1" t="s">
        <v>404</v>
      </c>
      <c r="D12" s="1" t="s">
        <v>405</v>
      </c>
      <c r="E12" s="3" t="str">
        <f ca="1">IFERROR(__xludf.DUMMYFUNCTION("GOOGLETRANSLATE($D12,$D$1,$E$1)"),"Ice, stagnation, challenge, introspection.")</f>
        <v>Ice, stagnation, challenge, introspection.</v>
      </c>
      <c r="F12" s="3" t="str">
        <f ca="1">IFERROR(__xludf.DUMMYFUNCTION("GOOGLETRANSLATE($D12,$D$1,$F$1)"),"Ghiaccio, stagnazione, sfida, introspezione.")</f>
        <v>Ghiaccio, stagnazione, sfida, introspezione.</v>
      </c>
      <c r="G12" s="3" t="str">
        <f ca="1">IFERROR(__xludf.DUMMYFUNCTION("GOOGLETRANSLATE($D12,$D$1,G$1)"),"Glace, stagnation, défi, introspection.")</f>
        <v>Glace, stagnation, défi, introspection.</v>
      </c>
      <c r="H12" s="3" t="str">
        <f ca="1">IFERROR(__xludf.DUMMYFUNCTION("GOOGLETRANSLATE($D12,$D$1,H$1)"),"Eis, Stagnation, Herausforderung, Selbstbeobachtung.")</f>
        <v>Eis, Stagnation, Herausforderung, Selbstbeobachtung.</v>
      </c>
    </row>
    <row r="13" spans="1:27" x14ac:dyDescent="0.2">
      <c r="A13" s="3">
        <v>12</v>
      </c>
      <c r="B13" s="1" t="s">
        <v>406</v>
      </c>
      <c r="C13" s="1" t="s">
        <v>407</v>
      </c>
      <c r="D13" s="1" t="s">
        <v>408</v>
      </c>
      <c r="E13" s="3" t="str">
        <f ca="1">IFERROR(__xludf.DUMMYFUNCTION("GOOGLETRANSLATE($D13,$D$1,$E$1)"),"Harvest, cycle, slow success, reward.")</f>
        <v>Harvest, cycle, slow success, reward.</v>
      </c>
      <c r="F13" s="3" t="str">
        <f ca="1">IFERROR(__xludf.DUMMYFUNCTION("GOOGLETRANSLATE($D13,$D$1,$F$1)"),"Raccolto, ciclo, lento successo, ricompensa.")</f>
        <v>Raccolto, ciclo, lento successo, ricompensa.</v>
      </c>
      <c r="G13" s="3" t="str">
        <f ca="1">IFERROR(__xludf.DUMMYFUNCTION("GOOGLETRANSLATE($D13,$D$1,G$1)"),"Récolte, cycle, succès lent, récompense.")</f>
        <v>Récolte, cycle, succès lent, récompense.</v>
      </c>
      <c r="H13" s="3" t="str">
        <f ca="1">IFERROR(__xludf.DUMMYFUNCTION("GOOGLETRANSLATE($D13,$D$1,H$1)"),"Ernte, Zyklus, langsamer Erfolg, Belohnung.")</f>
        <v>Ernte, Zyklus, langsamer Erfolg, Belohnung.</v>
      </c>
    </row>
    <row r="14" spans="1:27" x14ac:dyDescent="0.2">
      <c r="A14" s="3">
        <v>13</v>
      </c>
      <c r="B14" s="1" t="s">
        <v>409</v>
      </c>
      <c r="C14" s="1" t="s">
        <v>410</v>
      </c>
      <c r="D14" s="1" t="s">
        <v>411</v>
      </c>
      <c r="E14" s="3" t="str">
        <f ca="1">IFERROR(__xludf.DUMMYFUNCTION("GOOGLETRANSLATE($D14,$D$1,$E$1)"),"Tejo, defense, connection, life force.")</f>
        <v>Tejo, defense, connection, life force.</v>
      </c>
      <c r="F14" s="3" t="str">
        <f ca="1">IFERROR(__xludf.DUMMYFUNCTION("GOOGLETRANSLATE($D14,$D$1,$F$1)"),"Tejo, difesa, connessione, forza vitale.")</f>
        <v>Tejo, difesa, connessione, forza vitale.</v>
      </c>
      <c r="G14" s="3" t="str">
        <f ca="1">IFERROR(__xludf.DUMMYFUNCTION("GOOGLETRANSLATE($D14,$D$1,G$1)"),"Tage, défense, connexion, force vitale.")</f>
        <v>Tage, défense, connexion, force vitale.</v>
      </c>
      <c r="H14" s="3" t="str">
        <f ca="1">IFERROR(__xludf.DUMMYFUNCTION("GOOGLETRANSLATE($D14,$D$1,H$1)"),"Tejo, Verteidigung, Verbindung, Lebenskraft.")</f>
        <v>Tejo, Verteidigung, Verbindung, Lebenskraft.</v>
      </c>
    </row>
    <row r="15" spans="1:27" x14ac:dyDescent="0.2">
      <c r="A15" s="3">
        <v>14</v>
      </c>
      <c r="B15" s="1" t="s">
        <v>412</v>
      </c>
      <c r="C15" s="1" t="s">
        <v>413</v>
      </c>
      <c r="D15" s="1" t="s">
        <v>414</v>
      </c>
      <c r="E15" s="3" t="str">
        <f ca="1">IFERROR(__xludf.DUMMYFUNCTION("GOOGLETRANSLATE($D15,$D$1,$E$1)"),"Mystery, destiny, secrets, game.")</f>
        <v>Mystery, destiny, secrets, game.</v>
      </c>
      <c r="F15" s="3" t="str">
        <f ca="1">IFERROR(__xludf.DUMMYFUNCTION("GOOGLETRANSLATE($D15,$D$1,$F$1)"),"Mistero, destino, segreti, gioco.")</f>
        <v>Mistero, destino, segreti, gioco.</v>
      </c>
      <c r="G15" s="3" t="str">
        <f ca="1">IFERROR(__xludf.DUMMYFUNCTION("GOOGLETRANSLATE($D15,$D$1,G$1)"),"Mystère, destin, secrets, jeu.")</f>
        <v>Mystère, destin, secrets, jeu.</v>
      </c>
      <c r="H15" s="3" t="str">
        <f ca="1">IFERROR(__xludf.DUMMYFUNCTION("GOOGLETRANSLATE($D15,$D$1,H$1)"),"Mysterium, Schicksal, Geheimnisse, Spiel.")</f>
        <v>Mysterium, Schicksal, Geheimnisse, Spiel.</v>
      </c>
    </row>
    <row r="16" spans="1:27" x14ac:dyDescent="0.2">
      <c r="A16" s="3">
        <v>15</v>
      </c>
      <c r="B16" s="1" t="s">
        <v>415</v>
      </c>
      <c r="C16" s="1" t="s">
        <v>416</v>
      </c>
      <c r="D16" s="1" t="s">
        <v>417</v>
      </c>
      <c r="E16" s="3" t="str">
        <f ca="1">IFERROR(__xludf.DUMMYFUNCTION("GOOGLETRANSLATE($D16,$D$1,$E$1)"),"Moose, protection, defense, divine connection.")</f>
        <v>Moose, protection, defense, divine connection.</v>
      </c>
      <c r="F16" s="3" t="str">
        <f ca="1">IFERROR(__xludf.DUMMYFUNCTION("GOOGLETRANSLATE($D16,$D$1,$F$1)"),"Alce, protezione, difesa, connessione divina.")</f>
        <v>Alce, protezione, difesa, connessione divina.</v>
      </c>
      <c r="G16" s="3" t="str">
        <f ca="1">IFERROR(__xludf.DUMMYFUNCTION("GOOGLETRANSLATE($D16,$D$1,G$1)"),"Élan, protection, défense, connexion divine.")</f>
        <v>Élan, protection, défense, connexion divine.</v>
      </c>
      <c r="H16" s="3" t="str">
        <f ca="1">IFERROR(__xludf.DUMMYFUNCTION("GOOGLETRANSLATE($D16,$D$1,H$1)"),"Elch, Schutz, Verteidigung, göttliche Verbindung.")</f>
        <v>Elch, Schutz, Verteidigung, göttliche Verbindung.</v>
      </c>
    </row>
    <row r="17" spans="1:8" x14ac:dyDescent="0.2">
      <c r="A17" s="3">
        <v>16</v>
      </c>
      <c r="B17" s="1" t="s">
        <v>418</v>
      </c>
      <c r="C17" s="1" t="s">
        <v>419</v>
      </c>
      <c r="D17" s="1" t="s">
        <v>420</v>
      </c>
      <c r="E17" s="3" t="str">
        <f ca="1">IFERROR(__xludf.DUMMYFUNCTION("GOOGLETRANSLATE($D17,$D$1,$E$1)"),"Sun, success, victory, honor.")</f>
        <v>Sun, success, victory, honor.</v>
      </c>
      <c r="F17" s="3" t="str">
        <f ca="1">IFERROR(__xludf.DUMMYFUNCTION("GOOGLETRANSLATE($D17,$D$1,$F$1)"),"Sole, successo, vittoria, onore.")</f>
        <v>Sole, successo, vittoria, onore.</v>
      </c>
      <c r="G17" s="3" t="str">
        <f ca="1">IFERROR(__xludf.DUMMYFUNCTION("GOOGLETRANSLATE($D17,$D$1,G$1)"),"Soleil, succès, victoire, honneur.")</f>
        <v>Soleil, succès, victoire, honneur.</v>
      </c>
      <c r="H17" s="3" t="str">
        <f ca="1">IFERROR(__xludf.DUMMYFUNCTION("GOOGLETRANSLATE($D17,$D$1,H$1)"),"Sonne, Erfolg, Sieg, Ehre.")</f>
        <v>Sonne, Erfolg, Sieg, Ehre.</v>
      </c>
    </row>
    <row r="18" spans="1:8" x14ac:dyDescent="0.2">
      <c r="A18" s="3">
        <v>17</v>
      </c>
      <c r="B18" s="1" t="s">
        <v>421</v>
      </c>
      <c r="C18" s="1" t="s">
        <v>422</v>
      </c>
      <c r="D18" s="1" t="s">
        <v>423</v>
      </c>
      <c r="E18" s="3" t="str">
        <f ca="1">IFERROR(__xludf.DUMMYFUNCTION("GOOGLETRANSLATE($D18,$D$1,$E$1)"),"Tyr (god), justice, sacrifice, leadership.")</f>
        <v>Tyr (god), justice, sacrifice, leadership.</v>
      </c>
      <c r="F18" s="3" t="str">
        <f ca="1">IFERROR(__xludf.DUMMYFUNCTION("GOOGLETRANSLATE($D18,$D$1,$F$1)"),"Tyr (dio), giustizia, sacrificio, leadership.")</f>
        <v>Tyr (dio), giustizia, sacrificio, leadership.</v>
      </c>
      <c r="G18" s="3" t="str">
        <f ca="1">IFERROR(__xludf.DUMMYFUNCTION("GOOGLETRANSLATE($D18,$D$1,G$1)"),"Tyr (dieu), justice, sacrifice, leadership.")</f>
        <v>Tyr (dieu), justice, sacrifice, leadership.</v>
      </c>
      <c r="H18" s="3" t="str">
        <f ca="1">IFERROR(__xludf.DUMMYFUNCTION("GOOGLETRANSLATE($D18,$D$1,H$1)"),"Tyr (Gott), Gerechtigkeit, Opfer, Führung.")</f>
        <v>Tyr (Gott), Gerechtigkeit, Opfer, Führung.</v>
      </c>
    </row>
    <row r="19" spans="1:8" x14ac:dyDescent="0.2">
      <c r="A19" s="3">
        <v>18</v>
      </c>
      <c r="B19" s="1" t="s">
        <v>424</v>
      </c>
      <c r="C19" s="1" t="s">
        <v>425</v>
      </c>
      <c r="D19" s="1" t="s">
        <v>426</v>
      </c>
      <c r="E19" s="3" t="str">
        <f ca="1">IFERROR(__xludf.DUMMYFUNCTION("GOOGLETRANSLATE($D19,$D$1,$E$1)"),"Birch, growth, rebirth, fertility.")</f>
        <v>Birch, growth, rebirth, fertility.</v>
      </c>
      <c r="F19" s="3" t="str">
        <f ca="1">IFERROR(__xludf.DUMMYFUNCTION("GOOGLETRANSLATE($D19,$D$1,$F$1)"),"Betulla, crescita, rinascita, fertilità.")</f>
        <v>Betulla, crescita, rinascita, fertilità.</v>
      </c>
      <c r="G19" s="3" t="str">
        <f ca="1">IFERROR(__xludf.DUMMYFUNCTION("GOOGLETRANSLATE($D19,$D$1,G$1)"),"Bouleau, croissance, renaissance, fertilité.")</f>
        <v>Bouleau, croissance, renaissance, fertilité.</v>
      </c>
      <c r="H19" s="3" t="str">
        <f ca="1">IFERROR(__xludf.DUMMYFUNCTION("GOOGLETRANSLATE($D19,$D$1,H$1)"),"Birke, Wachstum, Wiedergeburt, Fruchtbarkeit.")</f>
        <v>Birke, Wachstum, Wiedergeburt, Fruchtbarkeit.</v>
      </c>
    </row>
    <row r="20" spans="1:8" x14ac:dyDescent="0.2">
      <c r="A20" s="3">
        <v>19</v>
      </c>
      <c r="B20" s="1" t="s">
        <v>427</v>
      </c>
      <c r="C20" s="1" t="s">
        <v>428</v>
      </c>
      <c r="D20" s="1" t="s">
        <v>429</v>
      </c>
      <c r="E20" s="3" t="str">
        <f ca="1">IFERROR(__xludf.DUMMYFUNCTION("GOOGLETRANSLATE($D20,$D$1,$E$1)"),"Horse, movement, trust, collaboration.")</f>
        <v>Horse, movement, trust, collaboration.</v>
      </c>
      <c r="F20" s="3" t="str">
        <f ca="1">IFERROR(__xludf.DUMMYFUNCTION("GOOGLETRANSLATE($D20,$D$1,$F$1)"),"Cavallo, movimento, fiducia, collaborazione.")</f>
        <v>Cavallo, movimento, fiducia, collaborazione.</v>
      </c>
      <c r="G20" s="3" t="str">
        <f ca="1">IFERROR(__xludf.DUMMYFUNCTION("GOOGLETRANSLATE($D20,$D$1,G$1)"),"Cheval, mouvement, confiance, collaboration.")</f>
        <v>Cheval, mouvement, confiance, collaboration.</v>
      </c>
      <c r="H20" s="3" t="str">
        <f ca="1">IFERROR(__xludf.DUMMYFUNCTION("GOOGLETRANSLATE($D20,$D$1,H$1)"),"Pferd, Bewegung, Vertrauen, Zusammenarbeit.")</f>
        <v>Pferd, Bewegung, Vertrauen, Zusammenarbeit.</v>
      </c>
    </row>
    <row r="21" spans="1:8" x14ac:dyDescent="0.2">
      <c r="A21" s="3">
        <v>20</v>
      </c>
      <c r="B21" s="1" t="s">
        <v>430</v>
      </c>
      <c r="C21" s="1" t="s">
        <v>431</v>
      </c>
      <c r="D21" s="1" t="s">
        <v>432</v>
      </c>
      <c r="E21" s="3" t="str">
        <f ca="1">IFERROR(__xludf.DUMMYFUNCTION("GOOGLETRANSLATE($D21,$D$1,$E$1)"),"Man, humanity, self, relationships.")</f>
        <v>Man, humanity, self, relationships.</v>
      </c>
      <c r="F21" s="3" t="str">
        <f ca="1">IFERROR(__xludf.DUMMYFUNCTION("GOOGLETRANSLATE($D21,$D$1,$F$1)"),"Uomo, umanità, sé, relazioni.")</f>
        <v>Uomo, umanità, sé, relazioni.</v>
      </c>
      <c r="G21" s="3" t="str">
        <f ca="1">IFERROR(__xludf.DUMMYFUNCTION("GOOGLETRANSLATE($D21,$D$1,G$1)"),"L'homme, l'humanité, soi, les relations.")</f>
        <v>L'homme, l'humanité, soi, les relations.</v>
      </c>
      <c r="H21" s="3" t="str">
        <f ca="1">IFERROR(__xludf.DUMMYFUNCTION("GOOGLETRANSLATE($D21,$D$1,H$1)"),"Der Mensch, die Menschheit, das Selbst, Beziehungen.")</f>
        <v>Der Mensch, die Menschheit, das Selbst, Beziehungen.</v>
      </c>
    </row>
    <row r="22" spans="1:8" x14ac:dyDescent="0.2">
      <c r="A22" s="3">
        <v>21</v>
      </c>
      <c r="B22" s="1" t="s">
        <v>433</v>
      </c>
      <c r="C22" s="1" t="s">
        <v>434</v>
      </c>
      <c r="D22" s="1" t="s">
        <v>435</v>
      </c>
      <c r="E22" s="3" t="str">
        <f ca="1">IFERROR(__xludf.DUMMYFUNCTION("GOOGLETRANSLATE($D22,$D$1,$E$1)"),"Water, intuition, fluidity, unconscious.")</f>
        <v>Water, intuition, fluidity, unconscious.</v>
      </c>
      <c r="F22" s="3" t="str">
        <f ca="1">IFERROR(__xludf.DUMMYFUNCTION("GOOGLETRANSLATE($D22,$D$1,$F$1)"),"Acqua, intuizione, fluidità, inconscio.")</f>
        <v>Acqua, intuizione, fluidità, inconscio.</v>
      </c>
      <c r="G22" s="3" t="str">
        <f ca="1">IFERROR(__xludf.DUMMYFUNCTION("GOOGLETRANSLATE($D22,$D$1,G$1)"),"Eau, intuition, fluidité, inconscient.")</f>
        <v>Eau, intuition, fluidité, inconscient.</v>
      </c>
      <c r="H22" s="3" t="str">
        <f ca="1">IFERROR(__xludf.DUMMYFUNCTION("GOOGLETRANSLATE($D22,$D$1,H$1)"),"Wasser, Intuition, Flüssigkeit, Unterbewusstsein.")</f>
        <v>Wasser, Intuition, Flüssigkeit, Unterbewusstsein.</v>
      </c>
    </row>
    <row r="23" spans="1:8" x14ac:dyDescent="0.2">
      <c r="A23" s="3">
        <v>22</v>
      </c>
      <c r="B23" s="1" t="s">
        <v>436</v>
      </c>
      <c r="C23" s="1" t="s">
        <v>437</v>
      </c>
      <c r="D23" s="1" t="s">
        <v>438</v>
      </c>
      <c r="E23" s="3" t="str">
        <f ca="1">IFERROR(__xludf.DUMMYFUNCTION("GOOGLETRANSLATE($D23,$D$1,$E$1)"),"Ing (god), fertility, new beginnings, isolation.")</f>
        <v>Ing (god), fertility, new beginnings, isolation.</v>
      </c>
      <c r="F23" s="3" t="str">
        <f ca="1">IFERROR(__xludf.DUMMYFUNCTION("GOOGLETRANSLATE($D23,$D$1,$F$1)"),"Ing (dio), fertilità, nuovi inizi, isolamento.")</f>
        <v>Ing (dio), fertilità, nuovi inizi, isolamento.</v>
      </c>
      <c r="G23" s="3" t="str">
        <f ca="1">IFERROR(__xludf.DUMMYFUNCTION("GOOGLETRANSLATE($D23,$D$1,G$1)"),"Ing (dieu), fertilité, nouveaux départs, isolement.")</f>
        <v>Ing (dieu), fertilité, nouveaux départs, isolement.</v>
      </c>
      <c r="H23" s="3" t="str">
        <f ca="1">IFERROR(__xludf.DUMMYFUNCTION("GOOGLETRANSLATE($D23,$D$1,H$1)"),"Ing (Gott), Fruchtbarkeit, Neuanfang, Isolation.")</f>
        <v>Ing (Gott), Fruchtbarkeit, Neuanfang, Isolation.</v>
      </c>
    </row>
    <row r="24" spans="1:8" x14ac:dyDescent="0.2">
      <c r="A24" s="3">
        <v>23</v>
      </c>
      <c r="B24" s="1" t="s">
        <v>439</v>
      </c>
      <c r="C24" s="1" t="s">
        <v>440</v>
      </c>
      <c r="D24" s="1" t="s">
        <v>441</v>
      </c>
      <c r="E24" s="3" t="str">
        <f ca="1">IFERROR(__xludf.DUMMYFUNCTION("GOOGLETRANSLATE($D24,$D$1,$E$1)"),"Inheritance, home, property, legacy.")</f>
        <v>Inheritance, home, property, legacy.</v>
      </c>
      <c r="F24" s="3" t="str">
        <f ca="1">IFERROR(__xludf.DUMMYFUNCTION("GOOGLETRANSLATE($D24,$D$1,$F$1)"),"Eredità, casa, proprietà, lascito.")</f>
        <v>Eredità, casa, proprietà, lascito.</v>
      </c>
      <c r="G24" s="3" t="str">
        <f ca="1">IFERROR(__xludf.DUMMYFUNCTION("GOOGLETRANSLATE($D24,$D$1,G$1)"),"Héritage, maison, propriété, legs.")</f>
        <v>Héritage, maison, propriété, legs.</v>
      </c>
      <c r="H24" s="3" t="str">
        <f ca="1">IFERROR(__xludf.DUMMYFUNCTION("GOOGLETRANSLATE($D24,$D$1,H$1)"),"Erbschaft, Haus, Eigentum, Vermächtnis.")</f>
        <v>Erbschaft, Haus, Eigentum, Vermächtnis.</v>
      </c>
    </row>
    <row r="25" spans="1:8" x14ac:dyDescent="0.2">
      <c r="A25" s="3">
        <v>24</v>
      </c>
      <c r="B25" s="1" t="s">
        <v>442</v>
      </c>
      <c r="C25" s="1" t="s">
        <v>443</v>
      </c>
      <c r="D25" s="1" t="s">
        <v>444</v>
      </c>
      <c r="E25" s="3" t="str">
        <f ca="1">IFERROR(__xludf.DUMMYFUNCTION("GOOGLETRANSLATE($D25,$D$1,$E$1)"),"Day, dawn, transformation, clarity.")</f>
        <v>Day, dawn, transformation, clarity.</v>
      </c>
      <c r="F25" s="3" t="str">
        <f ca="1">IFERROR(__xludf.DUMMYFUNCTION("GOOGLETRANSLATE($D25,$D$1,$F$1)"),"Giorno, alba, trasformazione, chiarezza.")</f>
        <v>Giorno, alba, trasformazione, chiarezza.</v>
      </c>
      <c r="G25" s="3" t="str">
        <f ca="1">IFERROR(__xludf.DUMMYFUNCTION("GOOGLETRANSLATE($D25,$D$1,G$1)"),"Jour, aube, transformation, clarté.")</f>
        <v>Jour, aube, transformation, clarté.</v>
      </c>
      <c r="H25" s="3" t="str">
        <f ca="1">IFERROR(__xludf.DUMMYFUNCTION("GOOGLETRANSLATE($D25,$D$1,H$1)"),"Tag, Morgendämmerung, Transformation, Klarheit.")</f>
        <v>Tag, Morgendämmerung, Transformation, Klarheit.</v>
      </c>
    </row>
    <row r="26" spans="1:8" x14ac:dyDescent="0.2">
      <c r="A26" s="3"/>
      <c r="B26" s="1"/>
      <c r="C26" s="1"/>
      <c r="D26" s="1"/>
      <c r="E26" s="3"/>
      <c r="F26" s="3"/>
      <c r="G26" s="3"/>
      <c r="H26" s="3"/>
    </row>
    <row r="27" spans="1:8" x14ac:dyDescent="0.2">
      <c r="A27" s="3"/>
      <c r="B27" s="1"/>
      <c r="C27" s="1" t="s">
        <v>445</v>
      </c>
      <c r="D27" s="1"/>
      <c r="E27" s="3"/>
      <c r="F27" s="3"/>
      <c r="G27" s="3"/>
      <c r="H27" s="3"/>
    </row>
    <row r="28" spans="1:8" x14ac:dyDescent="0.2">
      <c r="A28" s="3"/>
      <c r="B28" s="1"/>
      <c r="C28" s="1"/>
      <c r="D28" s="1"/>
      <c r="E28" s="3"/>
      <c r="F28" s="3"/>
      <c r="G28" s="3"/>
      <c r="H28" s="3"/>
    </row>
    <row r="29" spans="1:8" x14ac:dyDescent="0.2">
      <c r="A29" s="3"/>
      <c r="B29" s="1"/>
      <c r="C29" s="1"/>
      <c r="D29" s="1"/>
      <c r="E29" s="3"/>
      <c r="F29" s="3"/>
      <c r="G29" s="3"/>
      <c r="H29"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371</v>
      </c>
      <c r="C1" s="1" t="s">
        <v>372</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3">
        <v>1</v>
      </c>
      <c r="B2" s="1" t="s">
        <v>373</v>
      </c>
      <c r="C2" s="1" t="s">
        <v>374</v>
      </c>
      <c r="D2" s="1" t="s">
        <v>375</v>
      </c>
      <c r="E2" s="3" t="str">
        <f ca="1">IFERROR(__xludf.DUMMYFUNCTION("GOOGLETRANSLATE($D2,$D$1,$E$1)"),"Wealth, cattle, abundance.")</f>
        <v>Wealth, cattle, abundance.</v>
      </c>
      <c r="F2" s="3" t="str">
        <f ca="1">IFERROR(__xludf.DUMMYFUNCTION("GOOGLETRANSLATE($D2,$D$1,F$1)"),"Ricchezza, bestiame, abbondanza.")</f>
        <v>Ricchezza, bestiame, abbondanza.</v>
      </c>
      <c r="G2" s="3" t="str">
        <f ca="1">IFERROR(__xludf.DUMMYFUNCTION("GOOGLETRANSLATE($D2,$D$1,G$1)"),"Richesse, bétail, abondance.")</f>
        <v>Richesse, bétail, abondance.</v>
      </c>
      <c r="H2" s="3" t="str">
        <f ca="1">IFERROR(__xludf.DUMMYFUNCTION("GOOGLETRANSLATE($D2,$D$1,H$1)"),"Reichtum, Vieh, Überfluss.")</f>
        <v>Reichtum, Vieh, Überfluss.</v>
      </c>
    </row>
    <row r="3" spans="1:27" x14ac:dyDescent="0.2">
      <c r="A3" s="3">
        <v>2</v>
      </c>
      <c r="B3" s="1" t="s">
        <v>376</v>
      </c>
      <c r="C3" s="1" t="s">
        <v>377</v>
      </c>
      <c r="D3" s="1" t="s">
        <v>378</v>
      </c>
      <c r="E3" s="3" t="str">
        <f ca="1">IFERROR(__xludf.DUMMYFUNCTION("GOOGLETRANSLATE($D3,$D$1,$E$1)"),"Strength, vigor, health, resistance.")</f>
        <v>Strength, vigor, health, resistance.</v>
      </c>
      <c r="F3" s="3" t="str">
        <f ca="1">IFERROR(__xludf.DUMMYFUNCTION("GOOGLETRANSLATE($D3,$D$1,$F$1)"),"Forza, vigore, salute, resistenza.")</f>
        <v>Forza, vigore, salute, resistenza.</v>
      </c>
      <c r="G3" s="3" t="str">
        <f ca="1">IFERROR(__xludf.DUMMYFUNCTION("GOOGLETRANSLATE($D3,$D$1,G$1)"),"Force, vigueur, santé, résistance.")</f>
        <v>Force, vigueur, santé, résistance.</v>
      </c>
      <c r="H3" s="3" t="str">
        <f ca="1">IFERROR(__xludf.DUMMYFUNCTION("GOOGLETRANSLATE($D3,$D$1,H$1)"),"Kraft, Vitalität, Gesundheit, Widerstandskraft.")</f>
        <v>Kraft, Vitalität, Gesundheit, Widerstandskraft.</v>
      </c>
    </row>
    <row r="4" spans="1:27" x14ac:dyDescent="0.2">
      <c r="A4" s="3">
        <v>3</v>
      </c>
      <c r="B4" s="1" t="s">
        <v>379</v>
      </c>
      <c r="C4" s="1" t="s">
        <v>380</v>
      </c>
      <c r="D4" s="1" t="s">
        <v>381</v>
      </c>
      <c r="E4" s="3" t="str">
        <f ca="1">IFERROR(__xludf.DUMMYFUNCTION("GOOGLETRANSLATE($D4,$D$1,$E$1)"),"Thorns, protection, conflict, destructive force.")</f>
        <v>Thorns, protection, conflict, destructive force.</v>
      </c>
      <c r="F4" s="3" t="str">
        <f ca="1">IFERROR(__xludf.DUMMYFUNCTION("GOOGLETRANSLATE($D4,$D$1,$F$1)"),"Spine, protezione, conflitto, forza distruttiva.")</f>
        <v>Spine, protezione, conflitto, forza distruttiva.</v>
      </c>
      <c r="G4" s="3" t="str">
        <f ca="1">IFERROR(__xludf.DUMMYFUNCTION("GOOGLETRANSLATE($D4,$D$1,G$1)"),"Épines, protection, conflit, force destructrice.")</f>
        <v>Épines, protection, conflit, force destructrice.</v>
      </c>
      <c r="H4" s="3" t="str">
        <f ca="1">IFERROR(__xludf.DUMMYFUNCTION("GOOGLETRANSLATE($D4,$D$1,H$1)"),"Dornen, Schutz, Konflikt, zerstörerische Kraft.")</f>
        <v>Dornen, Schutz, Konflikt, zerstörerische Kraft.</v>
      </c>
    </row>
    <row r="5" spans="1:27" x14ac:dyDescent="0.2">
      <c r="A5" s="3">
        <v>4</v>
      </c>
      <c r="B5" s="1" t="s">
        <v>382</v>
      </c>
      <c r="C5" s="3" t="s">
        <v>383</v>
      </c>
      <c r="D5" s="1" t="s">
        <v>384</v>
      </c>
      <c r="E5" s="3" t="str">
        <f ca="1">IFERROR(__xludf.DUMMYFUNCTION("GOOGLETRANSLATE($D5,$D$1,$E$1)"),"Gods, wisdom, inspiration, communication.")</f>
        <v>Gods, wisdom, inspiration, communication.</v>
      </c>
      <c r="F5" s="3" t="str">
        <f ca="1">IFERROR(__xludf.DUMMYFUNCTION("GOOGLETRANSLATE($D5,$D$1,$F$1)"),"Dei, saggezza, ispirazione, comunicazione.")</f>
        <v>Dei, saggezza, ispirazione, comunicazione.</v>
      </c>
      <c r="G5" s="3" t="str">
        <f ca="1">IFERROR(__xludf.DUMMYFUNCTION("GOOGLETRANSLATE($D5,$D$1,G$1)"),"Dieux, sagesse, inspiration, communication.")</f>
        <v>Dieux, sagesse, inspiration, communication.</v>
      </c>
      <c r="H5" s="3" t="str">
        <f ca="1">IFERROR(__xludf.DUMMYFUNCTION("GOOGLETRANSLATE($D5,$D$1,H$1)"),"Götter, Weisheit, Inspiration, Kommunikation.")</f>
        <v>Götter, Weisheit, Inspiration, Kommunikation.</v>
      </c>
    </row>
    <row r="6" spans="1:27" x14ac:dyDescent="0.2">
      <c r="A6" s="3">
        <v>5</v>
      </c>
      <c r="B6" s="1" t="s">
        <v>385</v>
      </c>
      <c r="C6" s="1" t="s">
        <v>386</v>
      </c>
      <c r="D6" s="1" t="s">
        <v>387</v>
      </c>
      <c r="E6" s="3" t="str">
        <f ca="1">IFERROR(__xludf.DUMMYFUNCTION("GOOGLETRANSLATE($D6,$D$1,$E$1)"),"Journey, movement, order, rhythm.")</f>
        <v>Journey, movement, order, rhythm.</v>
      </c>
      <c r="F6" s="3" t="str">
        <f ca="1">IFERROR(__xludf.DUMMYFUNCTION("GOOGLETRANSLATE($D6,$D$1,$F$1)"),"Viaggio, movimento, ordine, ritmo.")</f>
        <v>Viaggio, movimento, ordine, ritmo.</v>
      </c>
      <c r="G6" s="3" t="str">
        <f ca="1">IFERROR(__xludf.DUMMYFUNCTION("GOOGLETRANSLATE($D6,$D$1,G$1)"),"Voyage, mouvement, ordre, rythme.")</f>
        <v>Voyage, mouvement, ordre, rythme.</v>
      </c>
      <c r="H6" s="3" t="str">
        <f ca="1">IFERROR(__xludf.DUMMYFUNCTION("GOOGLETRANSLATE($D6,$D$1,H$1)"),"Reise, Bewegung, Ordnung, Rhythmus.")</f>
        <v>Reise, Bewegung, Ordnung, Rhythmus.</v>
      </c>
    </row>
    <row r="7" spans="1:27" x14ac:dyDescent="0.2">
      <c r="A7" s="3">
        <v>6</v>
      </c>
      <c r="B7" s="1" t="s">
        <v>388</v>
      </c>
      <c r="C7" s="1" t="s">
        <v>389</v>
      </c>
      <c r="D7" s="1" t="s">
        <v>390</v>
      </c>
      <c r="E7" s="3" t="str">
        <f ca="1">IFERROR(__xludf.DUMMYFUNCTION("GOOGLETRANSLATE($D7,$D$1,$E$1)"),"Torch, knowledge, enlightenment, creativity.")</f>
        <v>Torch, knowledge, enlightenment, creativity.</v>
      </c>
      <c r="F7" s="3" t="str">
        <f ca="1">IFERROR(__xludf.DUMMYFUNCTION("GOOGLETRANSLATE($D7,$D$1,$F$1)"),"Torcia, conoscenza, illuminazione, creatività.")</f>
        <v>Torcia, conoscenza, illuminazione, creatività.</v>
      </c>
      <c r="G7" s="3" t="str">
        <f ca="1">IFERROR(__xludf.DUMMYFUNCTION("GOOGLETRANSLATE($D7,$D$1,G$1)"),"Torche, connaissance, illumination, créativité.")</f>
        <v>Torche, connaissance, illumination, créativité.</v>
      </c>
      <c r="H7" s="3" t="str">
        <f ca="1">IFERROR(__xludf.DUMMYFUNCTION("GOOGLETRANSLATE($D7,$D$1,H$1)"),"Fackel, Wissen, Erleuchtung, Kreativität.")</f>
        <v>Fackel, Wissen, Erleuchtung, Kreativität.</v>
      </c>
    </row>
    <row r="8" spans="1:27" x14ac:dyDescent="0.2">
      <c r="A8" s="3">
        <v>7</v>
      </c>
      <c r="B8" s="1" t="s">
        <v>391</v>
      </c>
      <c r="C8" s="1" t="s">
        <v>392</v>
      </c>
      <c r="D8" s="1" t="s">
        <v>393</v>
      </c>
      <c r="E8" s="3" t="str">
        <f ca="1">IFERROR(__xludf.DUMMYFUNCTION("GOOGLETRANSLATE($D8,$D$1,$E$1)"),"Gift, generosity, union, balance.")</f>
        <v>Gift, generosity, union, balance.</v>
      </c>
      <c r="F8" s="3" t="str">
        <f ca="1">IFERROR(__xludf.DUMMYFUNCTION("GOOGLETRANSLATE($D8,$D$1,$F$1)"),"Dono, generosità, unione, equilibrio.")</f>
        <v>Dono, generosità, unione, equilibrio.</v>
      </c>
      <c r="G8" s="3" t="str">
        <f ca="1">IFERROR(__xludf.DUMMYFUNCTION("GOOGLETRANSLATE($D8,$D$1,G$1)"),"Don, générosité, union, équilibre.")</f>
        <v>Don, générosité, union, équilibre.</v>
      </c>
      <c r="H8" s="3" t="str">
        <f ca="1">IFERROR(__xludf.DUMMYFUNCTION("GOOGLETRANSLATE($D8,$D$1,H$1)"),"Geschenk, Großzügigkeit, Einheit, Ausgeglichenheit.")</f>
        <v>Geschenk, Großzügigkeit, Einheit, Ausgeglichenheit.</v>
      </c>
    </row>
    <row r="9" spans="1:27" x14ac:dyDescent="0.2">
      <c r="A9" s="3">
        <v>8</v>
      </c>
      <c r="B9" s="1" t="s">
        <v>394</v>
      </c>
      <c r="C9" s="1" t="s">
        <v>395</v>
      </c>
      <c r="D9" s="1" t="s">
        <v>396</v>
      </c>
      <c r="E9" s="3" t="str">
        <f ca="1">IFERROR(__xludf.DUMMYFUNCTION("GOOGLETRANSLATE($D9,$D$1,$E$1)"),"Joy, glory, happiness, companionship.")</f>
        <v>Joy, glory, happiness, companionship.</v>
      </c>
      <c r="F9" s="3" t="str">
        <f ca="1">IFERROR(__xludf.DUMMYFUNCTION("GOOGLETRANSLATE($D9,$D$1,$F$1)"),"Gioia, gloria, felicità, compagnia.")</f>
        <v>Gioia, gloria, felicità, compagnia.</v>
      </c>
      <c r="G9" s="3" t="str">
        <f ca="1">IFERROR(__xludf.DUMMYFUNCTION("GOOGLETRANSLATE($D9,$D$1,G$1)"),"Joie, gloire, bonheur, camaraderie.")</f>
        <v>Joie, gloire, bonheur, camaraderie.</v>
      </c>
      <c r="H9" s="3" t="str">
        <f ca="1">IFERROR(__xludf.DUMMYFUNCTION("GOOGLETRANSLATE($D9,$D$1,H$1)"),"Freude, Ruhm, Glück, Kameradschaft.")</f>
        <v>Freude, Ruhm, Glück, Kameradschaft.</v>
      </c>
    </row>
    <row r="10" spans="1:27" x14ac:dyDescent="0.2">
      <c r="A10" s="3">
        <v>9</v>
      </c>
      <c r="B10" s="1" t="s">
        <v>397</v>
      </c>
      <c r="C10" s="1" t="s">
        <v>398</v>
      </c>
      <c r="D10" s="1" t="s">
        <v>399</v>
      </c>
      <c r="E10" s="3" t="str">
        <f ca="1">IFERROR(__xludf.DUMMYFUNCTION("GOOGLETRANSLATE($D10,$D$1,$E$1)"),"Hail, disruption, test, deliverance.")</f>
        <v>Hail, disruption, test, deliverance.</v>
      </c>
      <c r="F10" s="3" t="str">
        <f ca="1">IFERROR(__xludf.DUMMYFUNCTION("GOOGLETRANSLATE($D10,$D$1,$F$1)"),"Grandine, sconvolgimento, prova, liberazione.")</f>
        <v>Grandine, sconvolgimento, prova, liberazione.</v>
      </c>
      <c r="G10" s="3" t="str">
        <f ca="1">IFERROR(__xludf.DUMMYFUNCTION("GOOGLETRANSLATE($D10,$D$1,G$1)"),"Salut, perturbation, épreuve, délivrance.")</f>
        <v>Salut, perturbation, épreuve, délivrance.</v>
      </c>
      <c r="H10" s="3" t="str">
        <f ca="1">IFERROR(__xludf.DUMMYFUNCTION("GOOGLETRANSLATE($D10,$D$1,H$1)"),"Hagel, Störung, Prüfung, Erlösung.")</f>
        <v>Hagel, Störung, Prüfung, Erlösung.</v>
      </c>
    </row>
    <row r="11" spans="1:27" x14ac:dyDescent="0.2">
      <c r="A11" s="3">
        <v>10</v>
      </c>
      <c r="B11" s="1" t="s">
        <v>400</v>
      </c>
      <c r="C11" s="1" t="s">
        <v>401</v>
      </c>
      <c r="D11" s="1" t="s">
        <v>402</v>
      </c>
      <c r="E11" s="3" t="str">
        <f ca="1">IFERROR(__xludf.DUMMYFUNCTION("GOOGLETRANSLATE($D11,$D$1,$E$1)"),"Need, restriction, patience, overcoming.")</f>
        <v>Need, restriction, patience, overcoming.</v>
      </c>
      <c r="F11" s="3" t="str">
        <f ca="1">IFERROR(__xludf.DUMMYFUNCTION("GOOGLETRANSLATE($D11,$D$1,$F$1)"),"Bisogno, restrizione, pazienza, superamento.")</f>
        <v>Bisogno, restrizione, pazienza, superamento.</v>
      </c>
      <c r="G11" s="3" t="str">
        <f ca="1">IFERROR(__xludf.DUMMYFUNCTION("GOOGLETRANSLATE($D11,$D$1,G$1)"),"Besoin, restriction, patience, dépassement.")</f>
        <v>Besoin, restriction, patience, dépassement.</v>
      </c>
      <c r="H11" s="3" t="str">
        <f ca="1">IFERROR(__xludf.DUMMYFUNCTION("GOOGLETRANSLATE($D11,$D$1,H$1)"),"Bedürfnis, Einschränkung, Geduld, Überwindung.")</f>
        <v>Bedürfnis, Einschränkung, Geduld, Überwindung.</v>
      </c>
    </row>
    <row r="12" spans="1:27" x14ac:dyDescent="0.2">
      <c r="A12" s="3">
        <v>11</v>
      </c>
      <c r="B12" s="1" t="s">
        <v>403</v>
      </c>
      <c r="C12" s="1" t="s">
        <v>404</v>
      </c>
      <c r="D12" s="1" t="s">
        <v>405</v>
      </c>
      <c r="E12" s="3" t="str">
        <f ca="1">IFERROR(__xludf.DUMMYFUNCTION("GOOGLETRANSLATE($D12,$D$1,$E$1)"),"Ice, stagnation, challenge, introspection.")</f>
        <v>Ice, stagnation, challenge, introspection.</v>
      </c>
      <c r="F12" s="3" t="str">
        <f ca="1">IFERROR(__xludf.DUMMYFUNCTION("GOOGLETRANSLATE($D12,$D$1,$F$1)"),"Ghiaccio, stagnazione, sfida, introspezione.")</f>
        <v>Ghiaccio, stagnazione, sfida, introspezione.</v>
      </c>
      <c r="G12" s="3" t="str">
        <f ca="1">IFERROR(__xludf.DUMMYFUNCTION("GOOGLETRANSLATE($D12,$D$1,G$1)"),"Glace, stagnation, défi, introspection.")</f>
        <v>Glace, stagnation, défi, introspection.</v>
      </c>
      <c r="H12" s="3" t="str">
        <f ca="1">IFERROR(__xludf.DUMMYFUNCTION("GOOGLETRANSLATE($D12,$D$1,H$1)"),"Eis, Stagnation, Herausforderung, Selbstbeobachtung.")</f>
        <v>Eis, Stagnation, Herausforderung, Selbstbeobachtung.</v>
      </c>
    </row>
    <row r="13" spans="1:27" x14ac:dyDescent="0.2">
      <c r="A13" s="3">
        <v>12</v>
      </c>
      <c r="B13" s="1" t="s">
        <v>406</v>
      </c>
      <c r="C13" s="1" t="s">
        <v>407</v>
      </c>
      <c r="D13" s="1" t="s">
        <v>408</v>
      </c>
      <c r="E13" s="3" t="str">
        <f ca="1">IFERROR(__xludf.DUMMYFUNCTION("GOOGLETRANSLATE($D13,$D$1,$E$1)"),"Harvest, cycle, slow success, reward.")</f>
        <v>Harvest, cycle, slow success, reward.</v>
      </c>
      <c r="F13" s="3" t="str">
        <f ca="1">IFERROR(__xludf.DUMMYFUNCTION("GOOGLETRANSLATE($D13,$D$1,$F$1)"),"Raccolto, ciclo, lento successo, ricompensa.")</f>
        <v>Raccolto, ciclo, lento successo, ricompensa.</v>
      </c>
      <c r="G13" s="3" t="str">
        <f ca="1">IFERROR(__xludf.DUMMYFUNCTION("GOOGLETRANSLATE($D13,$D$1,G$1)"),"Récolte, cycle, succès lent, récompense.")</f>
        <v>Récolte, cycle, succès lent, récompense.</v>
      </c>
      <c r="H13" s="3" t="str">
        <f ca="1">IFERROR(__xludf.DUMMYFUNCTION("GOOGLETRANSLATE($D13,$D$1,H$1)"),"Ernte, Zyklus, langsamer Erfolg, Belohnung.")</f>
        <v>Ernte, Zyklus, langsamer Erfolg, Belohnung.</v>
      </c>
    </row>
    <row r="14" spans="1:27" x14ac:dyDescent="0.2">
      <c r="A14" s="3">
        <v>13</v>
      </c>
      <c r="B14" s="1" t="s">
        <v>409</v>
      </c>
      <c r="C14" s="1" t="s">
        <v>410</v>
      </c>
      <c r="D14" s="1" t="s">
        <v>411</v>
      </c>
      <c r="E14" s="3" t="str">
        <f ca="1">IFERROR(__xludf.DUMMYFUNCTION("GOOGLETRANSLATE($D14,$D$1,$E$1)"),"Tejo, defense, connection, life force.")</f>
        <v>Tejo, defense, connection, life force.</v>
      </c>
      <c r="F14" s="3" t="str">
        <f ca="1">IFERROR(__xludf.DUMMYFUNCTION("GOOGLETRANSLATE($D14,$D$1,$F$1)"),"Tejo, difesa, connessione, forza vitale.")</f>
        <v>Tejo, difesa, connessione, forza vitale.</v>
      </c>
      <c r="G14" s="3" t="str">
        <f ca="1">IFERROR(__xludf.DUMMYFUNCTION("GOOGLETRANSLATE($D14,$D$1,G$1)"),"Tage, défense, connexion, force vitale.")</f>
        <v>Tage, défense, connexion, force vitale.</v>
      </c>
      <c r="H14" s="3" t="str">
        <f ca="1">IFERROR(__xludf.DUMMYFUNCTION("GOOGLETRANSLATE($D14,$D$1,H$1)"),"Tejo, Verteidigung, Verbindung, Lebenskraft.")</f>
        <v>Tejo, Verteidigung, Verbindung, Lebenskraft.</v>
      </c>
    </row>
    <row r="15" spans="1:27" x14ac:dyDescent="0.2">
      <c r="A15" s="3">
        <v>14</v>
      </c>
      <c r="B15" s="1" t="s">
        <v>412</v>
      </c>
      <c r="C15" s="1" t="s">
        <v>413</v>
      </c>
      <c r="D15" s="1" t="s">
        <v>414</v>
      </c>
      <c r="E15" s="3" t="str">
        <f ca="1">IFERROR(__xludf.DUMMYFUNCTION("GOOGLETRANSLATE($D15,$D$1,$E$1)"),"Mystery, destiny, secrets, game.")</f>
        <v>Mystery, destiny, secrets, game.</v>
      </c>
      <c r="F15" s="3" t="str">
        <f ca="1">IFERROR(__xludf.DUMMYFUNCTION("GOOGLETRANSLATE($D15,$D$1,$F$1)"),"Mistero, destino, segreti, gioco.")</f>
        <v>Mistero, destino, segreti, gioco.</v>
      </c>
      <c r="G15" s="3" t="str">
        <f ca="1">IFERROR(__xludf.DUMMYFUNCTION("GOOGLETRANSLATE($D15,$D$1,G$1)"),"Mystère, destin, secrets, jeu.")</f>
        <v>Mystère, destin, secrets, jeu.</v>
      </c>
      <c r="H15" s="3" t="str">
        <f ca="1">IFERROR(__xludf.DUMMYFUNCTION("GOOGLETRANSLATE($D15,$D$1,H$1)"),"Mysterium, Schicksal, Geheimnisse, Spiel.")</f>
        <v>Mysterium, Schicksal, Geheimnisse, Spiel.</v>
      </c>
    </row>
    <row r="16" spans="1:27" x14ac:dyDescent="0.2">
      <c r="A16" s="3">
        <v>15</v>
      </c>
      <c r="B16" s="1" t="s">
        <v>415</v>
      </c>
      <c r="C16" s="1" t="s">
        <v>416</v>
      </c>
      <c r="D16" s="1" t="s">
        <v>417</v>
      </c>
      <c r="E16" s="3" t="str">
        <f ca="1">IFERROR(__xludf.DUMMYFUNCTION("GOOGLETRANSLATE($D16,$D$1,$E$1)"),"Moose, protection, defense, divine connection.")</f>
        <v>Moose, protection, defense, divine connection.</v>
      </c>
      <c r="F16" s="3" t="str">
        <f ca="1">IFERROR(__xludf.DUMMYFUNCTION("GOOGLETRANSLATE($D16,$D$1,$F$1)"),"Alce, protezione, difesa, connessione divina.")</f>
        <v>Alce, protezione, difesa, connessione divina.</v>
      </c>
      <c r="G16" s="3" t="str">
        <f ca="1">IFERROR(__xludf.DUMMYFUNCTION("GOOGLETRANSLATE($D16,$D$1,G$1)"),"Élan, protection, défense, connexion divine.")</f>
        <v>Élan, protection, défense, connexion divine.</v>
      </c>
      <c r="H16" s="3" t="str">
        <f ca="1">IFERROR(__xludf.DUMMYFUNCTION("GOOGLETRANSLATE($D16,$D$1,H$1)"),"Elch, Schutz, Verteidigung, göttliche Verbindung.")</f>
        <v>Elch, Schutz, Verteidigung, göttliche Verbindung.</v>
      </c>
    </row>
    <row r="17" spans="1:8" x14ac:dyDescent="0.2">
      <c r="A17" s="3">
        <v>16</v>
      </c>
      <c r="B17" s="1" t="s">
        <v>418</v>
      </c>
      <c r="C17" s="1" t="s">
        <v>419</v>
      </c>
      <c r="D17" s="1" t="s">
        <v>420</v>
      </c>
      <c r="E17" s="3" t="str">
        <f ca="1">IFERROR(__xludf.DUMMYFUNCTION("GOOGLETRANSLATE($D17,$D$1,$E$1)"),"Sun, success, victory, honor.")</f>
        <v>Sun, success, victory, honor.</v>
      </c>
      <c r="F17" s="3" t="str">
        <f ca="1">IFERROR(__xludf.DUMMYFUNCTION("GOOGLETRANSLATE($D17,$D$1,$F$1)"),"Sole, successo, vittoria, onore.")</f>
        <v>Sole, successo, vittoria, onore.</v>
      </c>
      <c r="G17" s="3" t="str">
        <f ca="1">IFERROR(__xludf.DUMMYFUNCTION("GOOGLETRANSLATE($D17,$D$1,G$1)"),"Soleil, succès, victoire, honneur.")</f>
        <v>Soleil, succès, victoire, honneur.</v>
      </c>
      <c r="H17" s="3" t="str">
        <f ca="1">IFERROR(__xludf.DUMMYFUNCTION("GOOGLETRANSLATE($D17,$D$1,H$1)"),"Sonne, Erfolg, Sieg, Ehre.")</f>
        <v>Sonne, Erfolg, Sieg, Ehre.</v>
      </c>
    </row>
    <row r="18" spans="1:8" x14ac:dyDescent="0.2">
      <c r="A18" s="3">
        <v>17</v>
      </c>
      <c r="B18" s="1" t="s">
        <v>421</v>
      </c>
      <c r="C18" s="1" t="s">
        <v>422</v>
      </c>
      <c r="D18" s="1" t="s">
        <v>423</v>
      </c>
      <c r="E18" s="3" t="str">
        <f ca="1">IFERROR(__xludf.DUMMYFUNCTION("GOOGLETRANSLATE($D18,$D$1,$E$1)"),"Tyr (god), justice, sacrifice, leadership.")</f>
        <v>Tyr (god), justice, sacrifice, leadership.</v>
      </c>
      <c r="F18" s="3" t="str">
        <f ca="1">IFERROR(__xludf.DUMMYFUNCTION("GOOGLETRANSLATE($D18,$D$1,$F$1)"),"Tyr (dio), giustizia, sacrificio, leadership.")</f>
        <v>Tyr (dio), giustizia, sacrificio, leadership.</v>
      </c>
      <c r="G18" s="3" t="str">
        <f ca="1">IFERROR(__xludf.DUMMYFUNCTION("GOOGLETRANSLATE($D18,$D$1,G$1)"),"Tyr (dieu), justice, sacrifice, leadership.")</f>
        <v>Tyr (dieu), justice, sacrifice, leadership.</v>
      </c>
      <c r="H18" s="3" t="str">
        <f ca="1">IFERROR(__xludf.DUMMYFUNCTION("GOOGLETRANSLATE($D18,$D$1,H$1)"),"Tyr (Gott), Gerechtigkeit, Opfer, Führung.")</f>
        <v>Tyr (Gott), Gerechtigkeit, Opfer, Führung.</v>
      </c>
    </row>
    <row r="19" spans="1:8" x14ac:dyDescent="0.2">
      <c r="A19" s="3">
        <v>18</v>
      </c>
      <c r="B19" s="1" t="s">
        <v>424</v>
      </c>
      <c r="C19" s="1" t="s">
        <v>425</v>
      </c>
      <c r="D19" s="1" t="s">
        <v>426</v>
      </c>
      <c r="E19" s="3" t="str">
        <f ca="1">IFERROR(__xludf.DUMMYFUNCTION("GOOGLETRANSLATE($D19,$D$1,$E$1)"),"Birch, growth, rebirth, fertility.")</f>
        <v>Birch, growth, rebirth, fertility.</v>
      </c>
      <c r="F19" s="3" t="str">
        <f ca="1">IFERROR(__xludf.DUMMYFUNCTION("GOOGLETRANSLATE($D19,$D$1,$F$1)"),"Betulla, crescita, rinascita, fertilità.")</f>
        <v>Betulla, crescita, rinascita, fertilità.</v>
      </c>
      <c r="G19" s="3" t="str">
        <f ca="1">IFERROR(__xludf.DUMMYFUNCTION("GOOGLETRANSLATE($D19,$D$1,G$1)"),"Bouleau, croissance, renaissance, fertilité.")</f>
        <v>Bouleau, croissance, renaissance, fertilité.</v>
      </c>
      <c r="H19" s="3" t="str">
        <f ca="1">IFERROR(__xludf.DUMMYFUNCTION("GOOGLETRANSLATE($D19,$D$1,H$1)"),"Birke, Wachstum, Wiedergeburt, Fruchtbarkeit.")</f>
        <v>Birke, Wachstum, Wiedergeburt, Fruchtbarkeit.</v>
      </c>
    </row>
    <row r="20" spans="1:8" x14ac:dyDescent="0.2">
      <c r="A20" s="3">
        <v>19</v>
      </c>
      <c r="B20" s="1" t="s">
        <v>427</v>
      </c>
      <c r="C20" s="1" t="s">
        <v>428</v>
      </c>
      <c r="D20" s="1" t="s">
        <v>429</v>
      </c>
      <c r="E20" s="3" t="str">
        <f ca="1">IFERROR(__xludf.DUMMYFUNCTION("GOOGLETRANSLATE($D20,$D$1,$E$1)"),"Horse, movement, trust, collaboration.")</f>
        <v>Horse, movement, trust, collaboration.</v>
      </c>
      <c r="F20" s="3" t="str">
        <f ca="1">IFERROR(__xludf.DUMMYFUNCTION("GOOGLETRANSLATE($D20,$D$1,$F$1)"),"Cavallo, movimento, fiducia, collaborazione.")</f>
        <v>Cavallo, movimento, fiducia, collaborazione.</v>
      </c>
      <c r="G20" s="3" t="str">
        <f ca="1">IFERROR(__xludf.DUMMYFUNCTION("GOOGLETRANSLATE($D20,$D$1,G$1)"),"Cheval, mouvement, confiance, collaboration.")</f>
        <v>Cheval, mouvement, confiance, collaboration.</v>
      </c>
      <c r="H20" s="3" t="str">
        <f ca="1">IFERROR(__xludf.DUMMYFUNCTION("GOOGLETRANSLATE($D20,$D$1,H$1)"),"Pferd, Bewegung, Vertrauen, Zusammenarbeit.")</f>
        <v>Pferd, Bewegung, Vertrauen, Zusammenarbeit.</v>
      </c>
    </row>
    <row r="21" spans="1:8" x14ac:dyDescent="0.2">
      <c r="A21" s="3">
        <v>20</v>
      </c>
      <c r="B21" s="1" t="s">
        <v>430</v>
      </c>
      <c r="C21" s="1" t="s">
        <v>431</v>
      </c>
      <c r="D21" s="1" t="s">
        <v>432</v>
      </c>
      <c r="E21" s="3" t="str">
        <f ca="1">IFERROR(__xludf.DUMMYFUNCTION("GOOGLETRANSLATE($D21,$D$1,$E$1)"),"Man, humanity, self, relationships.")</f>
        <v>Man, humanity, self, relationships.</v>
      </c>
      <c r="F21" s="3" t="str">
        <f ca="1">IFERROR(__xludf.DUMMYFUNCTION("GOOGLETRANSLATE($D21,$D$1,$F$1)"),"Uomo, umanità, sé, relazioni.")</f>
        <v>Uomo, umanità, sé, relazioni.</v>
      </c>
      <c r="G21" s="3" t="str">
        <f ca="1">IFERROR(__xludf.DUMMYFUNCTION("GOOGLETRANSLATE($D21,$D$1,G$1)"),"L'homme, l'humanité, soi, les relations.")</f>
        <v>L'homme, l'humanité, soi, les relations.</v>
      </c>
      <c r="H21" s="3" t="str">
        <f ca="1">IFERROR(__xludf.DUMMYFUNCTION("GOOGLETRANSLATE($D21,$D$1,H$1)"),"Der Mensch, die Menschheit, das Selbst, Beziehungen.")</f>
        <v>Der Mensch, die Menschheit, das Selbst, Beziehungen.</v>
      </c>
    </row>
    <row r="22" spans="1:8" x14ac:dyDescent="0.2">
      <c r="A22" s="3">
        <v>21</v>
      </c>
      <c r="B22" s="1" t="s">
        <v>433</v>
      </c>
      <c r="C22" s="1" t="s">
        <v>434</v>
      </c>
      <c r="D22" s="1" t="s">
        <v>435</v>
      </c>
      <c r="E22" s="3" t="str">
        <f ca="1">IFERROR(__xludf.DUMMYFUNCTION("GOOGLETRANSLATE($D22,$D$1,$E$1)"),"Water, intuition, fluidity, unconscious.")</f>
        <v>Water, intuition, fluidity, unconscious.</v>
      </c>
      <c r="F22" s="3" t="str">
        <f ca="1">IFERROR(__xludf.DUMMYFUNCTION("GOOGLETRANSLATE($D22,$D$1,$F$1)"),"Acqua, intuizione, fluidità, inconscio.")</f>
        <v>Acqua, intuizione, fluidità, inconscio.</v>
      </c>
      <c r="G22" s="3" t="str">
        <f ca="1">IFERROR(__xludf.DUMMYFUNCTION("GOOGLETRANSLATE($D22,$D$1,G$1)"),"Eau, intuition, fluidité, inconscient.")</f>
        <v>Eau, intuition, fluidité, inconscient.</v>
      </c>
      <c r="H22" s="3" t="str">
        <f ca="1">IFERROR(__xludf.DUMMYFUNCTION("GOOGLETRANSLATE($D22,$D$1,H$1)"),"Wasser, Intuition, Flüssigkeit, Unterbewusstsein.")</f>
        <v>Wasser, Intuition, Flüssigkeit, Unterbewusstsein.</v>
      </c>
    </row>
    <row r="23" spans="1:8" x14ac:dyDescent="0.2">
      <c r="A23" s="3">
        <v>22</v>
      </c>
      <c r="B23" s="1" t="s">
        <v>436</v>
      </c>
      <c r="C23" s="1" t="s">
        <v>437</v>
      </c>
      <c r="D23" s="1" t="s">
        <v>438</v>
      </c>
      <c r="E23" s="3" t="str">
        <f ca="1">IFERROR(__xludf.DUMMYFUNCTION("GOOGLETRANSLATE($D23,$D$1,$E$1)"),"Ing (god), fertility, new beginnings, isolation.")</f>
        <v>Ing (god), fertility, new beginnings, isolation.</v>
      </c>
      <c r="F23" s="3" t="str">
        <f ca="1">IFERROR(__xludf.DUMMYFUNCTION("GOOGLETRANSLATE($D23,$D$1,$F$1)"),"Ing (dio), fertilità, nuovi inizi, isolamento.")</f>
        <v>Ing (dio), fertilità, nuovi inizi, isolamento.</v>
      </c>
      <c r="G23" s="3" t="str">
        <f ca="1">IFERROR(__xludf.DUMMYFUNCTION("GOOGLETRANSLATE($D23,$D$1,G$1)"),"Ing (dieu), fertilité, nouveaux départs, isolement.")</f>
        <v>Ing (dieu), fertilité, nouveaux départs, isolement.</v>
      </c>
      <c r="H23" s="3" t="str">
        <f ca="1">IFERROR(__xludf.DUMMYFUNCTION("GOOGLETRANSLATE($D23,$D$1,H$1)"),"Ing (Gott), Fruchtbarkeit, Neuanfang, Isolation.")</f>
        <v>Ing (Gott), Fruchtbarkeit, Neuanfang, Isolation.</v>
      </c>
    </row>
    <row r="24" spans="1:8" x14ac:dyDescent="0.2">
      <c r="A24" s="3">
        <v>23</v>
      </c>
      <c r="B24" s="1" t="s">
        <v>439</v>
      </c>
      <c r="C24" s="1" t="s">
        <v>440</v>
      </c>
      <c r="D24" s="1" t="s">
        <v>441</v>
      </c>
      <c r="E24" s="3" t="str">
        <f ca="1">IFERROR(__xludf.DUMMYFUNCTION("GOOGLETRANSLATE($D24,$D$1,$E$1)"),"Inheritance, home, property, legacy.")</f>
        <v>Inheritance, home, property, legacy.</v>
      </c>
      <c r="F24" s="3" t="str">
        <f ca="1">IFERROR(__xludf.DUMMYFUNCTION("GOOGLETRANSLATE($D24,$D$1,$F$1)"),"Eredità, casa, proprietà, lascito.")</f>
        <v>Eredità, casa, proprietà, lascito.</v>
      </c>
      <c r="G24" s="3" t="str">
        <f ca="1">IFERROR(__xludf.DUMMYFUNCTION("GOOGLETRANSLATE($D24,$D$1,G$1)"),"Héritage, maison, propriété, legs.")</f>
        <v>Héritage, maison, propriété, legs.</v>
      </c>
      <c r="H24" s="3" t="str">
        <f ca="1">IFERROR(__xludf.DUMMYFUNCTION("GOOGLETRANSLATE($D24,$D$1,H$1)"),"Erbschaft, Haus, Eigentum, Vermächtnis.")</f>
        <v>Erbschaft, Haus, Eigentum, Vermächtnis.</v>
      </c>
    </row>
    <row r="25" spans="1:8" x14ac:dyDescent="0.2">
      <c r="A25" s="3">
        <v>24</v>
      </c>
      <c r="B25" s="1" t="s">
        <v>442</v>
      </c>
      <c r="C25" s="1" t="s">
        <v>443</v>
      </c>
      <c r="D25" s="1" t="s">
        <v>444</v>
      </c>
      <c r="E25" s="3" t="str">
        <f ca="1">IFERROR(__xludf.DUMMYFUNCTION("GOOGLETRANSLATE($D25,$D$1,$E$1)"),"Day, dawn, transformation, clarity.")</f>
        <v>Day, dawn, transformation, clarity.</v>
      </c>
      <c r="F25" s="3" t="str">
        <f ca="1">IFERROR(__xludf.DUMMYFUNCTION("GOOGLETRANSLATE($D25,$D$1,$F$1)"),"Giorno, alba, trasformazione, chiarezza.")</f>
        <v>Giorno, alba, trasformazione, chiarezza.</v>
      </c>
      <c r="G25" s="3" t="str">
        <f ca="1">IFERROR(__xludf.DUMMYFUNCTION("GOOGLETRANSLATE($D25,$D$1,G$1)"),"Jour, aube, transformation, clarté.")</f>
        <v>Jour, aube, transformation, clarté.</v>
      </c>
      <c r="H25" s="3" t="str">
        <f ca="1">IFERROR(__xludf.DUMMYFUNCTION("GOOGLETRANSLATE($D25,$D$1,H$1)"),"Tag, Morgendämmerung, Transformation, Klarheit.")</f>
        <v>Tag, Morgendämmerung, Transformation, Klarheit.</v>
      </c>
    </row>
    <row r="26" spans="1:8" x14ac:dyDescent="0.2">
      <c r="A26" s="3"/>
      <c r="B26" s="1"/>
      <c r="C26" s="1"/>
      <c r="D26" s="1"/>
      <c r="E26" s="3"/>
      <c r="F26" s="3"/>
      <c r="G26" s="3"/>
      <c r="H26" s="3"/>
    </row>
    <row r="27" spans="1:8" x14ac:dyDescent="0.2">
      <c r="A27" s="3"/>
      <c r="B27" s="1"/>
      <c r="C27" s="1" t="s">
        <v>445</v>
      </c>
      <c r="D27" s="1"/>
      <c r="E27" s="3"/>
      <c r="F27" s="3"/>
      <c r="G27" s="3"/>
      <c r="H27" s="3"/>
    </row>
    <row r="28" spans="1:8" x14ac:dyDescent="0.2">
      <c r="A28" s="3"/>
      <c r="B28" s="1"/>
      <c r="C28" s="1"/>
      <c r="D28" s="1"/>
      <c r="E28" s="3"/>
      <c r="F28" s="3"/>
      <c r="G28" s="3"/>
      <c r="H28" s="3"/>
    </row>
    <row r="29" spans="1:8" x14ac:dyDescent="0.2">
      <c r="A29" s="3"/>
      <c r="B29" s="1"/>
      <c r="C29" s="1"/>
      <c r="D29" s="1"/>
      <c r="E29" s="3"/>
      <c r="F29" s="3"/>
      <c r="G29" s="3"/>
      <c r="H29"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baseColWidth="10" defaultColWidth="12.5703125" defaultRowHeight="15.75" customHeight="1" x14ac:dyDescent="0.2"/>
  <cols>
    <col min="2" max="2" width="379.5703125" customWidth="1"/>
  </cols>
  <sheetData>
    <row r="1" spans="1:26" ht="15.75" customHeight="1" x14ac:dyDescent="0.25">
      <c r="A1" s="9" t="s">
        <v>446</v>
      </c>
      <c r="B1" s="9" t="s">
        <v>447</v>
      </c>
      <c r="C1" s="9"/>
      <c r="D1" s="9"/>
      <c r="E1" s="9"/>
      <c r="F1" s="9"/>
      <c r="G1" s="9"/>
      <c r="H1" s="9"/>
      <c r="I1" s="9"/>
      <c r="J1" s="9"/>
      <c r="K1" s="9"/>
      <c r="L1" s="9"/>
      <c r="M1" s="9"/>
      <c r="N1" s="9"/>
      <c r="O1" s="9"/>
      <c r="P1" s="9"/>
      <c r="Q1" s="9"/>
      <c r="R1" s="9"/>
      <c r="S1" s="9"/>
      <c r="T1" s="9"/>
      <c r="U1" s="9"/>
      <c r="V1" s="9"/>
      <c r="W1" s="9"/>
      <c r="X1" s="9"/>
      <c r="Y1" s="9"/>
      <c r="Z1" s="9"/>
    </row>
    <row r="2" spans="1:26" ht="15.75" customHeight="1" x14ac:dyDescent="0.25">
      <c r="A2" s="9" t="s">
        <v>448</v>
      </c>
      <c r="B2" s="9" t="s">
        <v>449</v>
      </c>
      <c r="C2" s="9"/>
      <c r="D2" s="9"/>
      <c r="E2" s="9"/>
      <c r="F2" s="9"/>
      <c r="G2" s="9"/>
      <c r="H2" s="9"/>
      <c r="I2" s="9"/>
      <c r="J2" s="9"/>
      <c r="K2" s="9"/>
      <c r="L2" s="9"/>
      <c r="M2" s="9"/>
      <c r="N2" s="9"/>
      <c r="O2" s="9"/>
      <c r="P2" s="9"/>
      <c r="Q2" s="9"/>
      <c r="R2" s="9"/>
      <c r="S2" s="9"/>
      <c r="T2" s="9"/>
      <c r="U2" s="9"/>
      <c r="V2" s="9"/>
      <c r="W2" s="9"/>
      <c r="X2" s="9"/>
      <c r="Y2" s="9"/>
      <c r="Z2" s="9"/>
    </row>
    <row r="3" spans="1:26" ht="15.75" customHeight="1" x14ac:dyDescent="0.25">
      <c r="A3" s="9" t="s">
        <v>450</v>
      </c>
      <c r="B3" s="9" t="s">
        <v>451</v>
      </c>
      <c r="C3" s="9"/>
      <c r="D3" s="9"/>
      <c r="E3" s="9"/>
      <c r="F3" s="9"/>
      <c r="G3" s="9"/>
      <c r="H3" s="9"/>
      <c r="I3" s="9"/>
      <c r="J3" s="9"/>
      <c r="K3" s="9"/>
      <c r="L3" s="9"/>
      <c r="M3" s="9"/>
      <c r="N3" s="9"/>
      <c r="O3" s="9"/>
      <c r="P3" s="9"/>
      <c r="Q3" s="9"/>
      <c r="R3" s="9"/>
      <c r="S3" s="9"/>
      <c r="T3" s="9"/>
      <c r="U3" s="9"/>
      <c r="V3" s="9"/>
      <c r="W3" s="9"/>
      <c r="X3" s="9"/>
      <c r="Y3" s="9"/>
      <c r="Z3" s="9"/>
    </row>
    <row r="4" spans="1:26" ht="15.75" customHeight="1" x14ac:dyDescent="0.25">
      <c r="A4" s="9" t="s">
        <v>452</v>
      </c>
      <c r="B4" s="9" t="s">
        <v>453</v>
      </c>
      <c r="C4" s="9"/>
      <c r="D4" s="9"/>
      <c r="E4" s="9"/>
      <c r="F4" s="9"/>
      <c r="G4" s="9"/>
      <c r="H4" s="9"/>
      <c r="I4" s="9"/>
      <c r="J4" s="9"/>
      <c r="K4" s="9"/>
      <c r="L4" s="9"/>
      <c r="M4" s="9"/>
      <c r="N4" s="9"/>
      <c r="O4" s="9"/>
      <c r="P4" s="9"/>
      <c r="Q4" s="9"/>
      <c r="R4" s="9"/>
      <c r="S4" s="9"/>
      <c r="T4" s="9"/>
      <c r="U4" s="9"/>
      <c r="V4" s="9"/>
      <c r="W4" s="9"/>
      <c r="X4" s="9"/>
      <c r="Y4" s="9"/>
      <c r="Z4" s="9"/>
    </row>
    <row r="5" spans="1:26" ht="15.75" customHeight="1" x14ac:dyDescent="0.25">
      <c r="A5" s="9" t="s">
        <v>454</v>
      </c>
      <c r="B5" s="9" t="s">
        <v>455</v>
      </c>
      <c r="C5" s="9"/>
      <c r="D5" s="9"/>
      <c r="E5" s="9"/>
      <c r="F5" s="9"/>
      <c r="G5" s="9"/>
      <c r="H5" s="9"/>
      <c r="I5" s="9"/>
      <c r="J5" s="9"/>
      <c r="K5" s="9"/>
      <c r="L5" s="9"/>
      <c r="M5" s="9"/>
      <c r="N5" s="9"/>
      <c r="O5" s="9"/>
      <c r="P5" s="9"/>
      <c r="Q5" s="9"/>
      <c r="R5" s="9"/>
      <c r="S5" s="9"/>
      <c r="T5" s="9"/>
      <c r="U5" s="9"/>
      <c r="V5" s="9"/>
      <c r="W5" s="9"/>
      <c r="X5" s="9"/>
      <c r="Y5" s="9"/>
      <c r="Z5" s="9"/>
    </row>
    <row r="6" spans="1:26" ht="15.75" customHeight="1" x14ac:dyDescent="0.25">
      <c r="A6" s="9" t="s">
        <v>456</v>
      </c>
      <c r="B6" s="9" t="s">
        <v>457</v>
      </c>
      <c r="C6" s="9"/>
      <c r="D6" s="9"/>
      <c r="E6" s="9"/>
      <c r="F6" s="9"/>
      <c r="G6" s="9"/>
      <c r="H6" s="9"/>
      <c r="I6" s="9"/>
      <c r="J6" s="9"/>
      <c r="K6" s="9"/>
      <c r="L6" s="9"/>
      <c r="M6" s="9"/>
      <c r="N6" s="9"/>
      <c r="O6" s="9"/>
      <c r="P6" s="9"/>
      <c r="Q6" s="9"/>
      <c r="R6" s="9"/>
      <c r="S6" s="9"/>
      <c r="T6" s="9"/>
      <c r="U6" s="9"/>
      <c r="V6" s="9"/>
      <c r="W6" s="9"/>
      <c r="X6" s="9"/>
      <c r="Y6" s="9"/>
      <c r="Z6" s="9"/>
    </row>
    <row r="7" spans="1:26" ht="15.75" customHeight="1" x14ac:dyDescent="0.25">
      <c r="A7" s="9" t="s">
        <v>458</v>
      </c>
      <c r="B7" s="9" t="s">
        <v>459</v>
      </c>
      <c r="C7" s="9"/>
      <c r="D7" s="9"/>
      <c r="E7" s="9"/>
      <c r="F7" s="9"/>
      <c r="G7" s="9"/>
      <c r="H7" s="9"/>
      <c r="I7" s="9"/>
      <c r="J7" s="9"/>
      <c r="K7" s="9"/>
      <c r="L7" s="9"/>
      <c r="M7" s="9"/>
      <c r="N7" s="9"/>
      <c r="O7" s="9"/>
      <c r="P7" s="9"/>
      <c r="Q7" s="9"/>
      <c r="R7" s="9"/>
      <c r="S7" s="9"/>
      <c r="T7" s="9"/>
      <c r="U7" s="9"/>
      <c r="V7" s="9"/>
      <c r="W7" s="9"/>
      <c r="X7" s="9"/>
      <c r="Y7" s="9"/>
      <c r="Z7" s="9"/>
    </row>
    <row r="8" spans="1:26" ht="15.75" customHeight="1" x14ac:dyDescent="0.25">
      <c r="A8" s="9" t="s">
        <v>460</v>
      </c>
      <c r="B8" s="9" t="s">
        <v>461</v>
      </c>
      <c r="C8" s="9"/>
      <c r="D8" s="9"/>
      <c r="E8" s="9"/>
      <c r="F8" s="9"/>
      <c r="G8" s="9"/>
      <c r="H8" s="9"/>
      <c r="I8" s="9"/>
      <c r="J8" s="9"/>
      <c r="K8" s="9"/>
      <c r="L8" s="9"/>
      <c r="M8" s="9"/>
      <c r="N8" s="9"/>
      <c r="O8" s="9"/>
      <c r="P8" s="9"/>
      <c r="Q8" s="9"/>
      <c r="R8" s="9"/>
      <c r="S8" s="9"/>
      <c r="T8" s="9"/>
      <c r="U8" s="9"/>
      <c r="V8" s="9"/>
      <c r="W8" s="9"/>
      <c r="X8" s="9"/>
      <c r="Y8" s="9"/>
      <c r="Z8" s="9"/>
    </row>
    <row r="9" spans="1:26" ht="15.75" customHeight="1" x14ac:dyDescent="0.25">
      <c r="A9" s="9" t="s">
        <v>462</v>
      </c>
      <c r="B9" s="9" t="s">
        <v>463</v>
      </c>
      <c r="C9" s="9"/>
      <c r="D9" s="9"/>
      <c r="E9" s="9"/>
      <c r="F9" s="9"/>
      <c r="G9" s="9"/>
      <c r="H9" s="9"/>
      <c r="I9" s="9"/>
      <c r="J9" s="9"/>
      <c r="K9" s="9"/>
      <c r="L9" s="9"/>
      <c r="M9" s="9"/>
      <c r="N9" s="9"/>
      <c r="O9" s="9"/>
      <c r="P9" s="9"/>
      <c r="Q9" s="9"/>
      <c r="R9" s="9"/>
      <c r="S9" s="9"/>
      <c r="T9" s="9"/>
      <c r="U9" s="9"/>
      <c r="V9" s="9"/>
      <c r="W9" s="9"/>
      <c r="X9" s="9"/>
      <c r="Y9" s="9"/>
      <c r="Z9" s="9"/>
    </row>
    <row r="10" spans="1:26" ht="15.75" customHeight="1" x14ac:dyDescent="0.25">
      <c r="A10" s="9" t="s">
        <v>464</v>
      </c>
      <c r="B10" s="9" t="s">
        <v>465</v>
      </c>
      <c r="C10" s="9"/>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25">
      <c r="A11" s="9" t="s">
        <v>466</v>
      </c>
      <c r="B11" s="9" t="s">
        <v>467</v>
      </c>
      <c r="C11" s="9"/>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25">
      <c r="A12" s="9" t="s">
        <v>468</v>
      </c>
      <c r="B12" s="9" t="s">
        <v>469</v>
      </c>
      <c r="C12" s="9"/>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25">
      <c r="A13" s="9" t="s">
        <v>470</v>
      </c>
      <c r="B13" s="9" t="s">
        <v>471</v>
      </c>
      <c r="C13" s="9"/>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25">
      <c r="A14" s="9" t="s">
        <v>472</v>
      </c>
      <c r="B14" s="9" t="s">
        <v>473</v>
      </c>
      <c r="C14" s="9"/>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5">
      <c r="A15" s="9" t="s">
        <v>474</v>
      </c>
      <c r="B15" s="9" t="s">
        <v>475</v>
      </c>
      <c r="C15" s="9"/>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5">
      <c r="A16" s="9" t="s">
        <v>476</v>
      </c>
      <c r="B16" s="9" t="s">
        <v>477</v>
      </c>
      <c r="C16" s="9"/>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 x14ac:dyDescent="0.2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 x14ac:dyDescent="0.2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 x14ac:dyDescent="0.2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 x14ac:dyDescent="0.2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 x14ac:dyDescent="0.2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 x14ac:dyDescent="0.2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 x14ac:dyDescent="0.2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9"/>
  <sheetViews>
    <sheetView workbookViewId="0"/>
  </sheetViews>
  <sheetFormatPr baseColWidth="10" defaultColWidth="12.5703125" defaultRowHeight="15.75" customHeight="1" x14ac:dyDescent="0.2"/>
  <cols>
    <col min="7" max="7" width="21.85546875" customWidth="1"/>
  </cols>
  <sheetData>
    <row r="1" spans="2:8" ht="12.75" x14ac:dyDescent="0.2">
      <c r="B1" s="3" t="s">
        <v>478</v>
      </c>
    </row>
    <row r="2" spans="2:8" ht="12.75" x14ac:dyDescent="0.2">
      <c r="B2" s="3" t="s">
        <v>479</v>
      </c>
    </row>
    <row r="3" spans="2:8" ht="12.75" x14ac:dyDescent="0.2">
      <c r="B3" s="3" t="s">
        <v>480</v>
      </c>
      <c r="C3" s="3" t="s">
        <v>481</v>
      </c>
    </row>
    <row r="4" spans="2:8" ht="15.75" customHeight="1" x14ac:dyDescent="0.25">
      <c r="B4" s="3" t="s">
        <v>482</v>
      </c>
      <c r="F4" s="3" t="s">
        <v>483</v>
      </c>
      <c r="H4" s="10" t="s">
        <v>484</v>
      </c>
    </row>
    <row r="5" spans="2:8" ht="15.75" customHeight="1" x14ac:dyDescent="0.25">
      <c r="B5" s="3" t="s">
        <v>485</v>
      </c>
      <c r="H5" s="10"/>
    </row>
    <row r="6" spans="2:8" ht="12.75" x14ac:dyDescent="0.2">
      <c r="B6" s="3" t="s">
        <v>486</v>
      </c>
    </row>
    <row r="7" spans="2:8" ht="12.75" x14ac:dyDescent="0.2">
      <c r="H7" s="3" t="s">
        <v>487</v>
      </c>
    </row>
    <row r="8" spans="2:8" ht="12.75" x14ac:dyDescent="0.2">
      <c r="B8" s="3" t="s">
        <v>488</v>
      </c>
      <c r="H8" s="3" t="s">
        <v>489</v>
      </c>
    </row>
    <row r="9" spans="2:8" ht="12.75" x14ac:dyDescent="0.2">
      <c r="B9" s="3" t="s">
        <v>490</v>
      </c>
      <c r="H9" s="3" t="s">
        <v>491</v>
      </c>
    </row>
    <row r="12" spans="2:8" ht="12.75" x14ac:dyDescent="0.2">
      <c r="B12" s="3" t="s">
        <v>492</v>
      </c>
    </row>
    <row r="13" spans="2:8" ht="12.75" x14ac:dyDescent="0.2">
      <c r="B13" s="3" t="s">
        <v>493</v>
      </c>
    </row>
    <row r="14" spans="2:8" ht="12.75" x14ac:dyDescent="0.2">
      <c r="B14" s="3" t="s">
        <v>494</v>
      </c>
      <c r="C14" s="3" t="s">
        <v>495</v>
      </c>
    </row>
    <row r="18" spans="2:8" ht="12.75" x14ac:dyDescent="0.2">
      <c r="B18" s="3" t="s">
        <v>496</v>
      </c>
    </row>
    <row r="19" spans="2:8" ht="12.75" x14ac:dyDescent="0.2">
      <c r="B19" s="3" t="s">
        <v>497</v>
      </c>
    </row>
    <row r="21" spans="2:8" ht="12.75" x14ac:dyDescent="0.2">
      <c r="B21" s="3" t="s">
        <v>498</v>
      </c>
    </row>
    <row r="22" spans="2:8" ht="12.75" x14ac:dyDescent="0.2">
      <c r="B22" s="3" t="s">
        <v>499</v>
      </c>
    </row>
    <row r="25" spans="2:8" ht="12.75" x14ac:dyDescent="0.2">
      <c r="B25" s="3" t="s">
        <v>500</v>
      </c>
    </row>
    <row r="26" spans="2:8" ht="12.75" x14ac:dyDescent="0.2">
      <c r="B26" s="3" t="s">
        <v>501</v>
      </c>
      <c r="G26" s="3" t="s">
        <v>502</v>
      </c>
      <c r="H26" s="3" t="s">
        <v>503</v>
      </c>
    </row>
    <row r="27" spans="2:8" ht="12.75" x14ac:dyDescent="0.2">
      <c r="B27" s="3" t="s">
        <v>504</v>
      </c>
      <c r="G27" s="3" t="s">
        <v>505</v>
      </c>
      <c r="H27" s="3" t="s">
        <v>506</v>
      </c>
    </row>
    <row r="28" spans="2:8" ht="12.75" x14ac:dyDescent="0.2">
      <c r="B28" s="3" t="s">
        <v>507</v>
      </c>
      <c r="G28" s="3" t="s">
        <v>508</v>
      </c>
      <c r="H28" s="3" t="s">
        <v>509</v>
      </c>
    </row>
    <row r="29" spans="2:8" ht="12.75" x14ac:dyDescent="0.2">
      <c r="G29" s="3" t="s">
        <v>510</v>
      </c>
      <c r="H29" s="3" t="s">
        <v>510</v>
      </c>
    </row>
    <row r="30" spans="2:8" ht="12.75" x14ac:dyDescent="0.2">
      <c r="B30" s="3" t="s">
        <v>511</v>
      </c>
      <c r="C30" s="3" t="s">
        <v>512</v>
      </c>
      <c r="G30" s="3" t="s">
        <v>513</v>
      </c>
      <c r="H30" s="3" t="s">
        <v>514</v>
      </c>
    </row>
    <row r="31" spans="2:8" ht="12.75" x14ac:dyDescent="0.2">
      <c r="B31" s="3" t="s">
        <v>515</v>
      </c>
      <c r="G31" s="3" t="s">
        <v>487</v>
      </c>
      <c r="H31" s="3" t="s">
        <v>516</v>
      </c>
    </row>
    <row r="32" spans="2:8" ht="12.75" x14ac:dyDescent="0.2">
      <c r="G32" s="3" t="s">
        <v>517</v>
      </c>
      <c r="H32" s="3" t="s">
        <v>518</v>
      </c>
    </row>
    <row r="33" spans="7:8" ht="12.75" x14ac:dyDescent="0.2">
      <c r="G33" s="3" t="s">
        <v>519</v>
      </c>
      <c r="H33" s="3" t="s">
        <v>520</v>
      </c>
    </row>
    <row r="34" spans="7:8" ht="12.75" x14ac:dyDescent="0.2">
      <c r="G34" s="3" t="s">
        <v>521</v>
      </c>
      <c r="H34" s="3" t="s">
        <v>522</v>
      </c>
    </row>
    <row r="35" spans="7:8" ht="12.75" x14ac:dyDescent="0.2">
      <c r="G35" s="3" t="s">
        <v>523</v>
      </c>
      <c r="H35" s="3" t="s">
        <v>524</v>
      </c>
    </row>
    <row r="36" spans="7:8" ht="12.75" x14ac:dyDescent="0.2">
      <c r="G36" s="3" t="s">
        <v>525</v>
      </c>
      <c r="H36" s="3" t="s">
        <v>526</v>
      </c>
    </row>
    <row r="37" spans="7:8" ht="12.75" x14ac:dyDescent="0.2">
      <c r="G37" s="3" t="s">
        <v>527</v>
      </c>
      <c r="H37" s="3" t="s">
        <v>528</v>
      </c>
    </row>
    <row r="38" spans="7:8" ht="12.75" x14ac:dyDescent="0.2">
      <c r="G38" s="3" t="s">
        <v>529</v>
      </c>
      <c r="H38" s="3" t="s">
        <v>530</v>
      </c>
    </row>
    <row r="39" spans="7:8" ht="12.75" x14ac:dyDescent="0.2">
      <c r="G39" s="3" t="s">
        <v>531</v>
      </c>
      <c r="H39" s="3" t="s">
        <v>532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6"/>
  <sheetViews>
    <sheetView workbookViewId="0"/>
  </sheetViews>
  <sheetFormatPr baseColWidth="10" defaultColWidth="12.5703125" defaultRowHeight="15.75" customHeight="1" x14ac:dyDescent="0.2"/>
  <cols>
    <col min="9" max="9" width="26.28515625" customWidth="1"/>
    <col min="10" max="10" width="44.85546875" customWidth="1"/>
  </cols>
  <sheetData>
    <row r="1" spans="1:13" x14ac:dyDescent="0.2">
      <c r="A1" s="2" t="s">
        <v>533</v>
      </c>
      <c r="B1" s="2" t="s">
        <v>534</v>
      </c>
      <c r="C1" s="2" t="s">
        <v>535</v>
      </c>
      <c r="D1" s="2" t="s">
        <v>536</v>
      </c>
      <c r="E1" s="2" t="s">
        <v>537</v>
      </c>
      <c r="I1" s="2" t="s">
        <v>533</v>
      </c>
      <c r="J1" s="2" t="s">
        <v>538</v>
      </c>
      <c r="K1" s="2" t="s">
        <v>535</v>
      </c>
      <c r="L1" s="2" t="s">
        <v>536</v>
      </c>
      <c r="M1" s="2" t="s">
        <v>537</v>
      </c>
    </row>
    <row r="2" spans="1:13" x14ac:dyDescent="0.2">
      <c r="A2" s="2" t="s">
        <v>539</v>
      </c>
      <c r="B2" s="2" t="s">
        <v>540</v>
      </c>
      <c r="C2" s="2" t="s">
        <v>541</v>
      </c>
      <c r="D2" s="2" t="s">
        <v>542</v>
      </c>
      <c r="E2" s="2" t="s">
        <v>543</v>
      </c>
      <c r="I2" s="2" t="s">
        <v>544</v>
      </c>
      <c r="J2" s="2" t="s">
        <v>545</v>
      </c>
      <c r="K2" s="2" t="s">
        <v>546</v>
      </c>
      <c r="L2" s="2" t="s">
        <v>547</v>
      </c>
      <c r="M2" s="2" t="s">
        <v>548</v>
      </c>
    </row>
    <row r="3" spans="1:13" x14ac:dyDescent="0.2">
      <c r="A3" s="2" t="s">
        <v>549</v>
      </c>
      <c r="B3" s="2" t="s">
        <v>550</v>
      </c>
      <c r="C3" s="2" t="s">
        <v>551</v>
      </c>
      <c r="D3" s="2" t="s">
        <v>552</v>
      </c>
      <c r="E3" s="2" t="s">
        <v>553</v>
      </c>
      <c r="I3" s="2" t="s">
        <v>554</v>
      </c>
      <c r="J3" s="2" t="s">
        <v>555</v>
      </c>
      <c r="K3" s="2" t="s">
        <v>556</v>
      </c>
      <c r="L3" s="2" t="s">
        <v>557</v>
      </c>
      <c r="M3" s="2" t="s">
        <v>548</v>
      </c>
    </row>
    <row r="4" spans="1:13" x14ac:dyDescent="0.2">
      <c r="A4" s="2" t="s">
        <v>558</v>
      </c>
      <c r="B4" s="2" t="s">
        <v>559</v>
      </c>
      <c r="C4" s="2" t="s">
        <v>560</v>
      </c>
      <c r="D4" s="2" t="s">
        <v>561</v>
      </c>
      <c r="E4" s="2" t="s">
        <v>562</v>
      </c>
      <c r="I4" s="2" t="s">
        <v>563</v>
      </c>
      <c r="J4" s="2" t="s">
        <v>564</v>
      </c>
      <c r="K4" s="2" t="s">
        <v>565</v>
      </c>
      <c r="L4" s="2" t="s">
        <v>566</v>
      </c>
      <c r="M4" s="2" t="s">
        <v>548</v>
      </c>
    </row>
    <row r="5" spans="1:13" x14ac:dyDescent="0.2">
      <c r="A5" s="2" t="s">
        <v>567</v>
      </c>
      <c r="B5" s="2" t="s">
        <v>568</v>
      </c>
      <c r="C5" s="2" t="s">
        <v>569</v>
      </c>
      <c r="D5" s="2" t="s">
        <v>570</v>
      </c>
      <c r="E5" s="2" t="s">
        <v>571</v>
      </c>
      <c r="I5" s="2" t="s">
        <v>572</v>
      </c>
      <c r="J5" s="2" t="s">
        <v>573</v>
      </c>
      <c r="K5" s="2" t="s">
        <v>574</v>
      </c>
      <c r="L5" s="2" t="s">
        <v>575</v>
      </c>
      <c r="M5" s="2" t="s">
        <v>548</v>
      </c>
    </row>
    <row r="6" spans="1:13" x14ac:dyDescent="0.2">
      <c r="A6" s="2" t="s">
        <v>563</v>
      </c>
      <c r="B6" s="2" t="s">
        <v>576</v>
      </c>
      <c r="C6" s="2" t="s">
        <v>565</v>
      </c>
      <c r="D6" s="2" t="s">
        <v>566</v>
      </c>
      <c r="E6" s="2" t="s">
        <v>204</v>
      </c>
      <c r="I6" s="2" t="s">
        <v>577</v>
      </c>
      <c r="J6" s="2" t="s">
        <v>578</v>
      </c>
      <c r="K6" s="2" t="s">
        <v>579</v>
      </c>
      <c r="L6" s="2" t="s">
        <v>575</v>
      </c>
      <c r="M6" s="2" t="s">
        <v>548</v>
      </c>
    </row>
    <row r="7" spans="1:13" x14ac:dyDescent="0.2">
      <c r="A7" s="2" t="s">
        <v>580</v>
      </c>
      <c r="B7" s="2" t="s">
        <v>581</v>
      </c>
      <c r="C7" s="2" t="s">
        <v>582</v>
      </c>
      <c r="D7" s="2" t="s">
        <v>575</v>
      </c>
      <c r="E7" s="2" t="s">
        <v>583</v>
      </c>
      <c r="I7" s="2" t="s">
        <v>584</v>
      </c>
      <c r="J7" s="2" t="s">
        <v>585</v>
      </c>
      <c r="K7" s="2" t="s">
        <v>586</v>
      </c>
      <c r="L7" s="2" t="s">
        <v>575</v>
      </c>
      <c r="M7" s="2" t="s">
        <v>548</v>
      </c>
    </row>
    <row r="8" spans="1:13" x14ac:dyDescent="0.2">
      <c r="A8" s="2" t="s">
        <v>587</v>
      </c>
      <c r="B8" s="2" t="s">
        <v>588</v>
      </c>
      <c r="C8" s="2" t="s">
        <v>589</v>
      </c>
      <c r="D8" s="2" t="s">
        <v>590</v>
      </c>
      <c r="E8" s="2" t="s">
        <v>591</v>
      </c>
      <c r="I8" s="2" t="s">
        <v>592</v>
      </c>
      <c r="J8" s="2" t="s">
        <v>593</v>
      </c>
      <c r="K8" s="2" t="s">
        <v>594</v>
      </c>
      <c r="L8" s="2" t="s">
        <v>595</v>
      </c>
      <c r="M8" s="2" t="s">
        <v>548</v>
      </c>
    </row>
    <row r="9" spans="1:13" x14ac:dyDescent="0.2">
      <c r="A9" s="2" t="s">
        <v>596</v>
      </c>
      <c r="B9" s="2" t="s">
        <v>597</v>
      </c>
      <c r="C9" s="2" t="s">
        <v>598</v>
      </c>
      <c r="D9" s="2" t="s">
        <v>599</v>
      </c>
      <c r="E9" s="2" t="s">
        <v>600</v>
      </c>
      <c r="I9" s="2" t="s">
        <v>601</v>
      </c>
      <c r="J9" s="2" t="s">
        <v>602</v>
      </c>
      <c r="K9" s="2" t="s">
        <v>603</v>
      </c>
      <c r="L9" s="2" t="s">
        <v>604</v>
      </c>
      <c r="M9" s="2" t="s">
        <v>548</v>
      </c>
    </row>
    <row r="10" spans="1:13" x14ac:dyDescent="0.2">
      <c r="A10" s="2" t="s">
        <v>605</v>
      </c>
      <c r="B10" s="2" t="s">
        <v>606</v>
      </c>
      <c r="C10" s="2" t="s">
        <v>607</v>
      </c>
      <c r="D10" s="2" t="s">
        <v>599</v>
      </c>
      <c r="E10" s="2" t="s">
        <v>608</v>
      </c>
      <c r="I10" s="2" t="s">
        <v>609</v>
      </c>
      <c r="J10" s="2" t="s">
        <v>610</v>
      </c>
      <c r="K10" s="2" t="s">
        <v>611</v>
      </c>
      <c r="L10" s="2" t="s">
        <v>612</v>
      </c>
      <c r="M10" s="2" t="s">
        <v>548</v>
      </c>
    </row>
    <row r="11" spans="1:13" x14ac:dyDescent="0.2">
      <c r="A11" s="2" t="s">
        <v>613</v>
      </c>
      <c r="B11" s="2" t="s">
        <v>614</v>
      </c>
      <c r="C11" s="2" t="s">
        <v>615</v>
      </c>
      <c r="D11" s="2" t="s">
        <v>616</v>
      </c>
      <c r="E11" s="2" t="s">
        <v>146</v>
      </c>
      <c r="I11" s="2" t="s">
        <v>617</v>
      </c>
      <c r="J11" s="2" t="s">
        <v>618</v>
      </c>
      <c r="K11" s="2" t="s">
        <v>619</v>
      </c>
      <c r="L11" s="2" t="s">
        <v>575</v>
      </c>
      <c r="M11" s="2" t="s">
        <v>548</v>
      </c>
    </row>
    <row r="12" spans="1:13" x14ac:dyDescent="0.2">
      <c r="A12" s="2" t="s">
        <v>620</v>
      </c>
      <c r="B12" s="2" t="s">
        <v>621</v>
      </c>
      <c r="C12" s="2" t="s">
        <v>622</v>
      </c>
      <c r="D12" s="2" t="s">
        <v>623</v>
      </c>
      <c r="E12" s="2" t="s">
        <v>624</v>
      </c>
      <c r="I12" s="2" t="s">
        <v>625</v>
      </c>
      <c r="J12" s="2" t="s">
        <v>626</v>
      </c>
      <c r="K12" s="2" t="s">
        <v>627</v>
      </c>
      <c r="L12" s="2" t="s">
        <v>575</v>
      </c>
      <c r="M12" s="2" t="s">
        <v>548</v>
      </c>
    </row>
    <row r="13" spans="1:13" x14ac:dyDescent="0.2">
      <c r="A13" s="2" t="s">
        <v>628</v>
      </c>
      <c r="B13" s="2" t="s">
        <v>629</v>
      </c>
      <c r="C13" s="2" t="s">
        <v>630</v>
      </c>
      <c r="D13" s="2" t="s">
        <v>631</v>
      </c>
      <c r="E13" s="2" t="s">
        <v>632</v>
      </c>
      <c r="I13" s="2" t="s">
        <v>633</v>
      </c>
      <c r="J13" s="2" t="s">
        <v>634</v>
      </c>
      <c r="K13" s="2" t="s">
        <v>635</v>
      </c>
      <c r="L13" s="2" t="s">
        <v>575</v>
      </c>
      <c r="M13" s="2" t="s">
        <v>548</v>
      </c>
    </row>
    <row r="14" spans="1:13" x14ac:dyDescent="0.2">
      <c r="A14" s="2" t="s">
        <v>636</v>
      </c>
      <c r="B14" s="2" t="s">
        <v>637</v>
      </c>
      <c r="C14" s="2" t="s">
        <v>638</v>
      </c>
      <c r="D14" s="2" t="s">
        <v>639</v>
      </c>
      <c r="E14" s="2" t="s">
        <v>640</v>
      </c>
      <c r="I14" s="2" t="s">
        <v>641</v>
      </c>
      <c r="J14" s="2" t="s">
        <v>642</v>
      </c>
      <c r="K14" s="2" t="s">
        <v>643</v>
      </c>
      <c r="L14" s="2" t="s">
        <v>644</v>
      </c>
      <c r="M14" s="2" t="s">
        <v>548</v>
      </c>
    </row>
    <row r="15" spans="1:13" x14ac:dyDescent="0.2">
      <c r="A15" s="2" t="s">
        <v>645</v>
      </c>
      <c r="B15" s="2" t="s">
        <v>646</v>
      </c>
      <c r="C15" s="2" t="s">
        <v>647</v>
      </c>
      <c r="D15" s="2" t="s">
        <v>648</v>
      </c>
      <c r="E15" s="2" t="s">
        <v>649</v>
      </c>
      <c r="I15" s="2" t="s">
        <v>650</v>
      </c>
      <c r="J15" s="2" t="s">
        <v>651</v>
      </c>
      <c r="K15" s="2" t="s">
        <v>652</v>
      </c>
      <c r="L15" s="2" t="s">
        <v>575</v>
      </c>
      <c r="M15" s="2" t="s">
        <v>548</v>
      </c>
    </row>
    <row r="16" spans="1:13" x14ac:dyDescent="0.2">
      <c r="A16" s="2" t="s">
        <v>653</v>
      </c>
      <c r="B16" s="2" t="s">
        <v>654</v>
      </c>
      <c r="C16" s="2" t="s">
        <v>594</v>
      </c>
      <c r="D16" s="2" t="s">
        <v>595</v>
      </c>
      <c r="E16" s="2" t="s">
        <v>202</v>
      </c>
      <c r="I16" s="2" t="s">
        <v>655</v>
      </c>
      <c r="J16" s="2" t="s">
        <v>656</v>
      </c>
      <c r="K16" s="2" t="s">
        <v>556</v>
      </c>
      <c r="L16" s="2" t="s">
        <v>557</v>
      </c>
      <c r="M16" s="2" t="s">
        <v>548</v>
      </c>
    </row>
    <row r="17" spans="1:13" x14ac:dyDescent="0.2">
      <c r="A17" s="2" t="s">
        <v>657</v>
      </c>
      <c r="B17" s="2" t="s">
        <v>658</v>
      </c>
      <c r="C17" s="2" t="s">
        <v>652</v>
      </c>
      <c r="D17" s="2" t="s">
        <v>575</v>
      </c>
      <c r="E17" s="2" t="s">
        <v>659</v>
      </c>
      <c r="I17" s="2" t="s">
        <v>660</v>
      </c>
      <c r="J17" s="2" t="s">
        <v>661</v>
      </c>
      <c r="K17" s="2" t="s">
        <v>662</v>
      </c>
      <c r="L17" s="2" t="s">
        <v>663</v>
      </c>
      <c r="M17" s="2" t="s">
        <v>548</v>
      </c>
    </row>
    <row r="18" spans="1:13" x14ac:dyDescent="0.2">
      <c r="A18" s="2" t="s">
        <v>664</v>
      </c>
      <c r="B18" s="2" t="s">
        <v>665</v>
      </c>
      <c r="C18" s="2" t="s">
        <v>666</v>
      </c>
      <c r="D18" s="2" t="s">
        <v>667</v>
      </c>
      <c r="E18" s="2" t="s">
        <v>668</v>
      </c>
      <c r="I18" s="2" t="s">
        <v>669</v>
      </c>
      <c r="J18" s="2" t="s">
        <v>670</v>
      </c>
      <c r="K18" s="2" t="s">
        <v>671</v>
      </c>
      <c r="L18" s="2" t="s">
        <v>672</v>
      </c>
      <c r="M18" s="2" t="s">
        <v>548</v>
      </c>
    </row>
    <row r="19" spans="1:13" x14ac:dyDescent="0.2">
      <c r="A19" s="2" t="s">
        <v>673</v>
      </c>
      <c r="B19" s="2" t="s">
        <v>674</v>
      </c>
      <c r="C19" s="2" t="s">
        <v>675</v>
      </c>
      <c r="D19" s="2" t="s">
        <v>575</v>
      </c>
      <c r="E19" s="2" t="s">
        <v>676</v>
      </c>
      <c r="I19" s="2" t="s">
        <v>677</v>
      </c>
      <c r="J19" s="2" t="s">
        <v>678</v>
      </c>
      <c r="K19" s="2" t="s">
        <v>679</v>
      </c>
      <c r="L19" s="2" t="s">
        <v>575</v>
      </c>
      <c r="M19" s="2" t="s">
        <v>548</v>
      </c>
    </row>
    <row r="20" spans="1:13" x14ac:dyDescent="0.2">
      <c r="A20" s="2" t="s">
        <v>680</v>
      </c>
      <c r="B20" s="2" t="s">
        <v>681</v>
      </c>
      <c r="C20" s="2" t="s">
        <v>682</v>
      </c>
      <c r="D20" s="2" t="s">
        <v>683</v>
      </c>
      <c r="E20" s="2" t="s">
        <v>684</v>
      </c>
      <c r="I20" s="2" t="s">
        <v>685</v>
      </c>
      <c r="J20" s="2" t="s">
        <v>686</v>
      </c>
      <c r="K20" s="2" t="s">
        <v>671</v>
      </c>
      <c r="L20" s="2" t="s">
        <v>672</v>
      </c>
      <c r="M20" s="2" t="s">
        <v>548</v>
      </c>
    </row>
    <row r="21" spans="1:13" x14ac:dyDescent="0.2">
      <c r="A21" s="2" t="s">
        <v>687</v>
      </c>
      <c r="B21" s="2" t="s">
        <v>688</v>
      </c>
      <c r="C21" s="2" t="s">
        <v>689</v>
      </c>
      <c r="D21" s="2" t="s">
        <v>575</v>
      </c>
      <c r="E21" s="2" t="s">
        <v>690</v>
      </c>
      <c r="I21" s="2" t="s">
        <v>691</v>
      </c>
      <c r="J21" s="2" t="s">
        <v>692</v>
      </c>
      <c r="K21" s="2" t="s">
        <v>693</v>
      </c>
      <c r="L21" s="2" t="s">
        <v>575</v>
      </c>
      <c r="M21" s="2" t="s">
        <v>548</v>
      </c>
    </row>
    <row r="22" spans="1:13" x14ac:dyDescent="0.2">
      <c r="A22" s="2" t="s">
        <v>694</v>
      </c>
      <c r="B22" s="2" t="s">
        <v>695</v>
      </c>
      <c r="C22" s="2" t="s">
        <v>575</v>
      </c>
      <c r="D22" s="2" t="s">
        <v>575</v>
      </c>
      <c r="E22" s="2" t="s">
        <v>696</v>
      </c>
      <c r="I22" s="2" t="s">
        <v>697</v>
      </c>
      <c r="J22" s="2" t="s">
        <v>698</v>
      </c>
      <c r="K22" s="2" t="s">
        <v>693</v>
      </c>
      <c r="L22" s="2" t="s">
        <v>575</v>
      </c>
      <c r="M22" s="2" t="s">
        <v>548</v>
      </c>
    </row>
    <row r="23" spans="1:13" x14ac:dyDescent="0.2">
      <c r="A23" s="2" t="s">
        <v>699</v>
      </c>
      <c r="B23" s="2" t="s">
        <v>700</v>
      </c>
      <c r="C23" s="2" t="s">
        <v>701</v>
      </c>
      <c r="D23" s="2" t="s">
        <v>702</v>
      </c>
      <c r="E23" s="2" t="s">
        <v>703</v>
      </c>
      <c r="I23" s="2" t="s">
        <v>567</v>
      </c>
      <c r="J23" s="2" t="s">
        <v>704</v>
      </c>
      <c r="K23" s="2" t="s">
        <v>569</v>
      </c>
      <c r="L23" s="2" t="s">
        <v>570</v>
      </c>
      <c r="M23" s="2" t="s">
        <v>548</v>
      </c>
    </row>
    <row r="24" spans="1:13" x14ac:dyDescent="0.2">
      <c r="A24" s="2" t="s">
        <v>705</v>
      </c>
      <c r="B24" s="2" t="s">
        <v>706</v>
      </c>
      <c r="C24" s="2" t="s">
        <v>707</v>
      </c>
      <c r="D24" s="2" t="s">
        <v>708</v>
      </c>
      <c r="E24" s="2" t="s">
        <v>709</v>
      </c>
      <c r="I24" s="2" t="s">
        <v>710</v>
      </c>
      <c r="J24" s="2" t="s">
        <v>711</v>
      </c>
      <c r="K24" s="2" t="s">
        <v>712</v>
      </c>
      <c r="L24" s="2" t="s">
        <v>575</v>
      </c>
      <c r="M24" s="2" t="s">
        <v>548</v>
      </c>
    </row>
    <row r="25" spans="1:13" x14ac:dyDescent="0.2">
      <c r="A25" s="2" t="s">
        <v>713</v>
      </c>
      <c r="B25" s="2" t="s">
        <v>714</v>
      </c>
      <c r="C25" s="2" t="s">
        <v>715</v>
      </c>
      <c r="D25" s="2" t="s">
        <v>716</v>
      </c>
      <c r="E25" s="2" t="s">
        <v>717</v>
      </c>
      <c r="I25" s="2" t="s">
        <v>718</v>
      </c>
      <c r="J25" s="2" t="s">
        <v>719</v>
      </c>
      <c r="K25" s="2" t="s">
        <v>720</v>
      </c>
      <c r="L25" s="2" t="s">
        <v>575</v>
      </c>
      <c r="M25" s="2" t="s">
        <v>548</v>
      </c>
    </row>
    <row r="26" spans="1:13" x14ac:dyDescent="0.2">
      <c r="A26" s="2" t="s">
        <v>721</v>
      </c>
      <c r="B26" s="2" t="s">
        <v>722</v>
      </c>
      <c r="C26" s="2" t="s">
        <v>723</v>
      </c>
      <c r="D26" s="2" t="s">
        <v>724</v>
      </c>
      <c r="E26" s="2" t="s">
        <v>725</v>
      </c>
      <c r="I26" s="2" t="s">
        <v>613</v>
      </c>
      <c r="J26" s="2" t="s">
        <v>726</v>
      </c>
      <c r="K26" s="2" t="s">
        <v>615</v>
      </c>
      <c r="L26" s="2" t="s">
        <v>616</v>
      </c>
      <c r="M26" s="2" t="s">
        <v>548</v>
      </c>
    </row>
    <row r="27" spans="1:13" x14ac:dyDescent="0.2">
      <c r="A27" s="2" t="s">
        <v>727</v>
      </c>
      <c r="B27" s="2" t="s">
        <v>728</v>
      </c>
      <c r="C27" s="2" t="s">
        <v>729</v>
      </c>
      <c r="D27" s="2" t="s">
        <v>730</v>
      </c>
      <c r="E27" s="2" t="s">
        <v>731</v>
      </c>
      <c r="I27" s="2" t="s">
        <v>732</v>
      </c>
      <c r="J27" s="2" t="s">
        <v>733</v>
      </c>
      <c r="K27" s="2" t="s">
        <v>734</v>
      </c>
      <c r="L27" s="2" t="s">
        <v>735</v>
      </c>
      <c r="M27" s="2" t="s">
        <v>548</v>
      </c>
    </row>
    <row r="28" spans="1:13" x14ac:dyDescent="0.2">
      <c r="A28" s="2" t="s">
        <v>736</v>
      </c>
      <c r="B28" s="2" t="s">
        <v>737</v>
      </c>
      <c r="C28" s="2" t="s">
        <v>738</v>
      </c>
      <c r="D28" s="2" t="s">
        <v>739</v>
      </c>
      <c r="E28" s="2" t="s">
        <v>740</v>
      </c>
      <c r="I28" s="2" t="s">
        <v>741</v>
      </c>
      <c r="J28" s="2" t="s">
        <v>742</v>
      </c>
      <c r="K28" s="2" t="s">
        <v>743</v>
      </c>
      <c r="L28" s="2" t="s">
        <v>575</v>
      </c>
      <c r="M28" s="2" t="s">
        <v>548</v>
      </c>
    </row>
    <row r="29" spans="1:13" x14ac:dyDescent="0.2">
      <c r="A29" s="2" t="s">
        <v>744</v>
      </c>
      <c r="B29" s="2" t="s">
        <v>745</v>
      </c>
      <c r="C29" s="2" t="s">
        <v>662</v>
      </c>
      <c r="D29" s="2" t="s">
        <v>663</v>
      </c>
      <c r="E29" s="2" t="s">
        <v>746</v>
      </c>
      <c r="I29" s="2" t="s">
        <v>747</v>
      </c>
      <c r="J29" s="2" t="s">
        <v>748</v>
      </c>
      <c r="K29" s="2" t="s">
        <v>749</v>
      </c>
      <c r="L29" s="2" t="s">
        <v>575</v>
      </c>
      <c r="M29" s="2" t="s">
        <v>548</v>
      </c>
    </row>
    <row r="30" spans="1:13" x14ac:dyDescent="0.2">
      <c r="A30" s="2" t="s">
        <v>750</v>
      </c>
      <c r="B30" s="2" t="s">
        <v>751</v>
      </c>
      <c r="C30" s="2" t="s">
        <v>752</v>
      </c>
      <c r="D30" s="2" t="s">
        <v>753</v>
      </c>
      <c r="E30" s="2" t="s">
        <v>754</v>
      </c>
      <c r="I30" s="2" t="s">
        <v>755</v>
      </c>
      <c r="J30" s="2" t="s">
        <v>756</v>
      </c>
      <c r="K30" s="2" t="s">
        <v>757</v>
      </c>
      <c r="L30" s="2" t="s">
        <v>575</v>
      </c>
      <c r="M30" s="2" t="s">
        <v>548</v>
      </c>
    </row>
    <row r="31" spans="1:13" x14ac:dyDescent="0.2">
      <c r="A31" s="2" t="s">
        <v>758</v>
      </c>
      <c r="B31" s="2" t="s">
        <v>759</v>
      </c>
      <c r="C31" s="2" t="s">
        <v>760</v>
      </c>
      <c r="D31" s="2" t="s">
        <v>761</v>
      </c>
      <c r="E31" s="2" t="s">
        <v>762</v>
      </c>
      <c r="I31" s="2" t="s">
        <v>763</v>
      </c>
      <c r="J31" s="2" t="s">
        <v>764</v>
      </c>
      <c r="K31" s="2" t="s">
        <v>765</v>
      </c>
      <c r="L31" s="2" t="s">
        <v>575</v>
      </c>
      <c r="M31" s="2" t="s">
        <v>548</v>
      </c>
    </row>
    <row r="32" spans="1:13" x14ac:dyDescent="0.2">
      <c r="A32" s="2" t="s">
        <v>766</v>
      </c>
      <c r="B32" s="2" t="s">
        <v>767</v>
      </c>
      <c r="C32" s="2" t="s">
        <v>768</v>
      </c>
      <c r="D32" s="2" t="s">
        <v>599</v>
      </c>
      <c r="E32" s="2" t="s">
        <v>769</v>
      </c>
      <c r="I32" s="2" t="s">
        <v>770</v>
      </c>
      <c r="J32" s="2" t="s">
        <v>771</v>
      </c>
      <c r="K32" s="2" t="s">
        <v>772</v>
      </c>
      <c r="L32" s="2" t="s">
        <v>575</v>
      </c>
      <c r="M32" s="2" t="s">
        <v>548</v>
      </c>
    </row>
    <row r="33" spans="1:13" x14ac:dyDescent="0.2">
      <c r="A33" s="2" t="s">
        <v>601</v>
      </c>
      <c r="B33" s="2" t="s">
        <v>95</v>
      </c>
      <c r="C33" s="2" t="s">
        <v>603</v>
      </c>
      <c r="D33" s="2" t="s">
        <v>604</v>
      </c>
      <c r="E33" s="2" t="s">
        <v>94</v>
      </c>
      <c r="I33" s="2" t="s">
        <v>773</v>
      </c>
      <c r="J33" s="2" t="s">
        <v>774</v>
      </c>
      <c r="K33" s="2" t="s">
        <v>671</v>
      </c>
      <c r="L33" s="2" t="s">
        <v>672</v>
      </c>
      <c r="M33" s="2" t="s">
        <v>548</v>
      </c>
    </row>
    <row r="34" spans="1:13" x14ac:dyDescent="0.2">
      <c r="A34" s="2" t="s">
        <v>609</v>
      </c>
      <c r="B34" s="2" t="s">
        <v>775</v>
      </c>
      <c r="C34" s="2" t="s">
        <v>611</v>
      </c>
      <c r="D34" s="2" t="s">
        <v>612</v>
      </c>
      <c r="E34" s="2" t="s">
        <v>776</v>
      </c>
      <c r="I34" s="2" t="s">
        <v>777</v>
      </c>
      <c r="J34" s="2" t="s">
        <v>778</v>
      </c>
      <c r="K34" s="2" t="s">
        <v>627</v>
      </c>
      <c r="L34" s="2" t="s">
        <v>575</v>
      </c>
      <c r="M34" s="2" t="s">
        <v>548</v>
      </c>
    </row>
    <row r="35" spans="1:13" x14ac:dyDescent="0.2">
      <c r="A35" s="2" t="s">
        <v>732</v>
      </c>
      <c r="B35" s="2" t="s">
        <v>779</v>
      </c>
      <c r="C35" s="2" t="s">
        <v>734</v>
      </c>
      <c r="D35" s="2" t="s">
        <v>735</v>
      </c>
      <c r="E35" s="2" t="s">
        <v>780</v>
      </c>
      <c r="I35" s="2" t="s">
        <v>673</v>
      </c>
      <c r="J35" s="2" t="s">
        <v>781</v>
      </c>
      <c r="K35" s="2" t="s">
        <v>675</v>
      </c>
      <c r="L35" s="2" t="s">
        <v>575</v>
      </c>
      <c r="M35" s="2" t="s">
        <v>548</v>
      </c>
    </row>
    <row r="36" spans="1:13" x14ac:dyDescent="0.2">
      <c r="A36" s="2" t="s">
        <v>782</v>
      </c>
      <c r="B36" s="2" t="s">
        <v>783</v>
      </c>
      <c r="C36" s="2" t="s">
        <v>784</v>
      </c>
      <c r="D36" s="2" t="s">
        <v>575</v>
      </c>
      <c r="E36" s="2" t="s">
        <v>785</v>
      </c>
      <c r="I36" s="2" t="s">
        <v>699</v>
      </c>
      <c r="J36" s="2" t="s">
        <v>786</v>
      </c>
      <c r="K36" s="2" t="s">
        <v>701</v>
      </c>
      <c r="L36" s="2" t="s">
        <v>702</v>
      </c>
      <c r="M36" s="2" t="s">
        <v>548</v>
      </c>
    </row>
    <row r="37" spans="1:13" x14ac:dyDescent="0.2">
      <c r="A37" s="2" t="s">
        <v>787</v>
      </c>
      <c r="B37" s="2" t="s">
        <v>788</v>
      </c>
      <c r="C37" s="2" t="s">
        <v>789</v>
      </c>
      <c r="D37" s="2" t="s">
        <v>575</v>
      </c>
      <c r="E37" s="2" t="s">
        <v>790</v>
      </c>
      <c r="I37" s="2" t="s">
        <v>705</v>
      </c>
      <c r="J37" s="2" t="s">
        <v>791</v>
      </c>
      <c r="K37" s="2" t="s">
        <v>707</v>
      </c>
      <c r="L37" s="2" t="s">
        <v>708</v>
      </c>
      <c r="M37" s="2" t="s">
        <v>548</v>
      </c>
    </row>
    <row r="38" spans="1:13" x14ac:dyDescent="0.2">
      <c r="A38" s="2" t="s">
        <v>792</v>
      </c>
      <c r="B38" s="2" t="s">
        <v>793</v>
      </c>
      <c r="C38" s="2" t="s">
        <v>794</v>
      </c>
      <c r="D38" s="2" t="s">
        <v>795</v>
      </c>
      <c r="E38" s="2" t="s">
        <v>796</v>
      </c>
      <c r="I38" s="2" t="s">
        <v>797</v>
      </c>
      <c r="J38" s="2" t="s">
        <v>798</v>
      </c>
      <c r="K38" s="2" t="s">
        <v>799</v>
      </c>
      <c r="L38" s="2" t="s">
        <v>575</v>
      </c>
      <c r="M38" s="2" t="s">
        <v>548</v>
      </c>
    </row>
    <row r="39" spans="1:13" x14ac:dyDescent="0.2">
      <c r="A39" s="2" t="s">
        <v>800</v>
      </c>
      <c r="B39" s="2" t="s">
        <v>801</v>
      </c>
      <c r="C39" s="2" t="s">
        <v>671</v>
      </c>
      <c r="D39" s="2" t="s">
        <v>672</v>
      </c>
      <c r="E39" s="2" t="s">
        <v>802</v>
      </c>
      <c r="I39" s="2" t="s">
        <v>803</v>
      </c>
      <c r="J39" s="2" t="s">
        <v>804</v>
      </c>
      <c r="K39" s="2" t="s">
        <v>630</v>
      </c>
      <c r="L39" s="2" t="s">
        <v>631</v>
      </c>
      <c r="M39" s="2" t="s">
        <v>548</v>
      </c>
    </row>
    <row r="40" spans="1:13" x14ac:dyDescent="0.2">
      <c r="A40" s="2" t="s">
        <v>805</v>
      </c>
      <c r="B40" s="2" t="s">
        <v>806</v>
      </c>
      <c r="C40" s="2" t="s">
        <v>807</v>
      </c>
      <c r="D40" s="2" t="s">
        <v>575</v>
      </c>
      <c r="E40" s="2" t="s">
        <v>808</v>
      </c>
      <c r="I40" s="2" t="s">
        <v>809</v>
      </c>
      <c r="J40" s="2" t="s">
        <v>810</v>
      </c>
      <c r="K40" s="2" t="s">
        <v>675</v>
      </c>
      <c r="L40" s="2" t="s">
        <v>575</v>
      </c>
      <c r="M40" s="2" t="s">
        <v>548</v>
      </c>
    </row>
    <row r="41" spans="1:13" x14ac:dyDescent="0.2">
      <c r="A41" s="2" t="s">
        <v>811</v>
      </c>
      <c r="B41" s="2" t="s">
        <v>812</v>
      </c>
      <c r="C41" s="2" t="s">
        <v>813</v>
      </c>
      <c r="D41" s="2" t="s">
        <v>575</v>
      </c>
      <c r="E41" s="2" t="s">
        <v>814</v>
      </c>
      <c r="I41" s="2" t="s">
        <v>636</v>
      </c>
      <c r="J41" s="2" t="s">
        <v>815</v>
      </c>
      <c r="K41" s="2" t="s">
        <v>638</v>
      </c>
      <c r="L41" s="2" t="s">
        <v>639</v>
      </c>
      <c r="M41" s="2" t="s">
        <v>548</v>
      </c>
    </row>
    <row r="42" spans="1:13" x14ac:dyDescent="0.2">
      <c r="A42" s="2" t="s">
        <v>816</v>
      </c>
      <c r="B42" s="2" t="s">
        <v>817</v>
      </c>
      <c r="C42" s="2" t="s">
        <v>818</v>
      </c>
      <c r="D42" s="2" t="s">
        <v>575</v>
      </c>
      <c r="E42" s="2" t="s">
        <v>819</v>
      </c>
      <c r="I42" s="2" t="s">
        <v>792</v>
      </c>
      <c r="J42" s="2" t="s">
        <v>820</v>
      </c>
      <c r="K42" s="2" t="s">
        <v>794</v>
      </c>
      <c r="L42" s="2" t="s">
        <v>795</v>
      </c>
      <c r="M42" s="2" t="s">
        <v>548</v>
      </c>
    </row>
    <row r="43" spans="1:13" x14ac:dyDescent="0.2">
      <c r="A43" s="2" t="s">
        <v>821</v>
      </c>
      <c r="B43" s="2" t="s">
        <v>822</v>
      </c>
      <c r="C43" s="2" t="s">
        <v>619</v>
      </c>
      <c r="D43" s="2" t="s">
        <v>575</v>
      </c>
      <c r="E43" s="2" t="s">
        <v>823</v>
      </c>
      <c r="I43" s="2" t="s">
        <v>645</v>
      </c>
      <c r="J43" s="2" t="s">
        <v>824</v>
      </c>
      <c r="K43" s="2" t="s">
        <v>647</v>
      </c>
      <c r="L43" s="2" t="s">
        <v>648</v>
      </c>
      <c r="M43" s="2" t="s">
        <v>548</v>
      </c>
    </row>
    <row r="44" spans="1:13" x14ac:dyDescent="0.2">
      <c r="A44" s="2" t="s">
        <v>825</v>
      </c>
      <c r="B44" s="2" t="s">
        <v>826</v>
      </c>
      <c r="C44" s="2" t="s">
        <v>827</v>
      </c>
      <c r="D44" s="2" t="s">
        <v>575</v>
      </c>
      <c r="E44" s="2" t="s">
        <v>828</v>
      </c>
      <c r="I44" s="2" t="s">
        <v>811</v>
      </c>
      <c r="J44" s="2" t="s">
        <v>829</v>
      </c>
      <c r="K44" s="2" t="s">
        <v>813</v>
      </c>
      <c r="L44" s="2" t="s">
        <v>575</v>
      </c>
      <c r="M44" s="2" t="s">
        <v>548</v>
      </c>
    </row>
    <row r="45" spans="1:13" x14ac:dyDescent="0.2">
      <c r="A45" s="2" t="s">
        <v>830</v>
      </c>
      <c r="B45" s="2" t="s">
        <v>831</v>
      </c>
      <c r="C45" s="2" t="s">
        <v>666</v>
      </c>
      <c r="D45" s="2" t="s">
        <v>667</v>
      </c>
      <c r="E45" s="2" t="s">
        <v>832</v>
      </c>
      <c r="I45" s="2" t="s">
        <v>816</v>
      </c>
      <c r="J45" s="2" t="s">
        <v>833</v>
      </c>
      <c r="K45" s="2" t="s">
        <v>818</v>
      </c>
      <c r="L45" s="2" t="s">
        <v>575</v>
      </c>
      <c r="M45" s="2" t="s">
        <v>548</v>
      </c>
    </row>
    <row r="46" spans="1:13" x14ac:dyDescent="0.2">
      <c r="A46" s="2" t="s">
        <v>834</v>
      </c>
      <c r="B46" s="2" t="s">
        <v>835</v>
      </c>
      <c r="C46" s="2" t="s">
        <v>836</v>
      </c>
      <c r="D46" s="2" t="s">
        <v>575</v>
      </c>
      <c r="E46" s="2" t="s">
        <v>837</v>
      </c>
      <c r="I46" s="2" t="s">
        <v>838</v>
      </c>
      <c r="J46" s="2" t="s">
        <v>839</v>
      </c>
      <c r="K46" s="2" t="s">
        <v>840</v>
      </c>
      <c r="L46" s="2" t="s">
        <v>575</v>
      </c>
      <c r="M46" s="2" t="s">
        <v>548</v>
      </c>
    </row>
    <row r="47" spans="1:13" x14ac:dyDescent="0.2">
      <c r="A47" s="2" t="s">
        <v>841</v>
      </c>
      <c r="B47" s="2" t="s">
        <v>842</v>
      </c>
      <c r="C47" s="2" t="s">
        <v>575</v>
      </c>
      <c r="D47" s="2" t="s">
        <v>575</v>
      </c>
      <c r="E47" s="2" t="s">
        <v>843</v>
      </c>
      <c r="I47" s="2" t="s">
        <v>727</v>
      </c>
      <c r="J47" s="2" t="s">
        <v>844</v>
      </c>
      <c r="K47" s="2" t="s">
        <v>729</v>
      </c>
      <c r="L47" s="2" t="s">
        <v>730</v>
      </c>
      <c r="M47" s="2" t="s">
        <v>548</v>
      </c>
    </row>
    <row r="48" spans="1:13" x14ac:dyDescent="0.2">
      <c r="A48" s="2" t="s">
        <v>845</v>
      </c>
      <c r="B48" s="2" t="s">
        <v>846</v>
      </c>
      <c r="C48" s="2" t="s">
        <v>847</v>
      </c>
      <c r="D48" s="2" t="s">
        <v>575</v>
      </c>
      <c r="E48" s="2" t="s">
        <v>848</v>
      </c>
      <c r="I48" s="2" t="s">
        <v>849</v>
      </c>
      <c r="J48" s="2" t="s">
        <v>850</v>
      </c>
      <c r="K48" s="2" t="s">
        <v>851</v>
      </c>
      <c r="L48" s="2" t="s">
        <v>852</v>
      </c>
      <c r="M48" s="2" t="s">
        <v>548</v>
      </c>
    </row>
    <row r="49" spans="1:13" x14ac:dyDescent="0.2">
      <c r="A49" s="2" t="s">
        <v>853</v>
      </c>
      <c r="B49" s="2" t="s">
        <v>854</v>
      </c>
      <c r="C49" s="2" t="s">
        <v>662</v>
      </c>
      <c r="D49" s="2" t="s">
        <v>855</v>
      </c>
      <c r="E49" s="2" t="s">
        <v>856</v>
      </c>
      <c r="I49" s="2" t="s">
        <v>857</v>
      </c>
      <c r="J49" s="2" t="s">
        <v>858</v>
      </c>
      <c r="K49" s="2" t="s">
        <v>859</v>
      </c>
      <c r="L49" s="2" t="s">
        <v>860</v>
      </c>
      <c r="M49" s="2" t="s">
        <v>548</v>
      </c>
    </row>
    <row r="50" spans="1:13" x14ac:dyDescent="0.2">
      <c r="A50" s="2" t="s">
        <v>861</v>
      </c>
      <c r="B50" s="2" t="s">
        <v>862</v>
      </c>
      <c r="C50" s="2" t="s">
        <v>863</v>
      </c>
      <c r="D50" s="2" t="s">
        <v>575</v>
      </c>
      <c r="E50" s="2" t="s">
        <v>864</v>
      </c>
      <c r="I50" s="2" t="s">
        <v>865</v>
      </c>
      <c r="J50" s="2" t="s">
        <v>866</v>
      </c>
      <c r="K50" s="2" t="s">
        <v>867</v>
      </c>
      <c r="L50" s="2" t="s">
        <v>575</v>
      </c>
      <c r="M50" s="2" t="s">
        <v>548</v>
      </c>
    </row>
    <row r="51" spans="1:13" x14ac:dyDescent="0.2">
      <c r="A51" s="2" t="s">
        <v>868</v>
      </c>
      <c r="B51" s="2" t="s">
        <v>456</v>
      </c>
      <c r="C51" s="2" t="s">
        <v>869</v>
      </c>
      <c r="D51" s="2" t="s">
        <v>870</v>
      </c>
      <c r="E51" s="2" t="s">
        <v>27</v>
      </c>
      <c r="I51" s="2" t="s">
        <v>558</v>
      </c>
      <c r="J51" s="2" t="s">
        <v>871</v>
      </c>
      <c r="K51" s="2" t="s">
        <v>560</v>
      </c>
      <c r="L51" s="2" t="s">
        <v>561</v>
      </c>
      <c r="M51" s="2" t="s">
        <v>548</v>
      </c>
    </row>
    <row r="52" spans="1:13" x14ac:dyDescent="0.2">
      <c r="A52" s="2" t="s">
        <v>849</v>
      </c>
      <c r="B52" s="2" t="s">
        <v>872</v>
      </c>
      <c r="C52" s="2" t="s">
        <v>851</v>
      </c>
      <c r="D52" s="2" t="s">
        <v>852</v>
      </c>
      <c r="E52" s="2" t="s">
        <v>873</v>
      </c>
      <c r="I52" s="2" t="s">
        <v>874</v>
      </c>
      <c r="J52" s="2" t="s">
        <v>875</v>
      </c>
      <c r="K52" s="2" t="s">
        <v>876</v>
      </c>
      <c r="L52" s="2" t="s">
        <v>575</v>
      </c>
      <c r="M52" s="2" t="s">
        <v>548</v>
      </c>
    </row>
    <row r="53" spans="1:13" x14ac:dyDescent="0.2">
      <c r="A53" s="2" t="s">
        <v>877</v>
      </c>
      <c r="B53" s="2" t="s">
        <v>878</v>
      </c>
      <c r="C53" s="2" t="s">
        <v>738</v>
      </c>
      <c r="D53" s="2" t="s">
        <v>739</v>
      </c>
      <c r="E53" s="2" t="s">
        <v>879</v>
      </c>
      <c r="I53" s="2" t="s">
        <v>880</v>
      </c>
      <c r="J53" s="2" t="s">
        <v>881</v>
      </c>
      <c r="K53" s="2" t="s">
        <v>882</v>
      </c>
      <c r="L53" s="2" t="s">
        <v>883</v>
      </c>
      <c r="M53" s="2" t="s">
        <v>548</v>
      </c>
    </row>
    <row r="54" spans="1:13" x14ac:dyDescent="0.2">
      <c r="A54" s="2" t="s">
        <v>884</v>
      </c>
      <c r="B54" s="2" t="s">
        <v>885</v>
      </c>
      <c r="C54" s="2" t="s">
        <v>886</v>
      </c>
      <c r="D54" s="2" t="s">
        <v>887</v>
      </c>
      <c r="E54" s="2" t="s">
        <v>885</v>
      </c>
      <c r="I54" s="2" t="s">
        <v>888</v>
      </c>
      <c r="J54" s="2" t="s">
        <v>889</v>
      </c>
      <c r="K54" s="2" t="s">
        <v>743</v>
      </c>
      <c r="L54" s="2" t="s">
        <v>575</v>
      </c>
      <c r="M54" s="2" t="s">
        <v>548</v>
      </c>
    </row>
    <row r="55" spans="1:13" x14ac:dyDescent="0.2">
      <c r="A55" s="2" t="s">
        <v>691</v>
      </c>
      <c r="B55" s="2" t="s">
        <v>890</v>
      </c>
      <c r="C55" s="2" t="s">
        <v>693</v>
      </c>
      <c r="D55" s="2" t="s">
        <v>575</v>
      </c>
      <c r="E55" s="2" t="s">
        <v>891</v>
      </c>
      <c r="I55" s="2" t="s">
        <v>845</v>
      </c>
      <c r="J55" s="2" t="s">
        <v>892</v>
      </c>
      <c r="K55" s="2" t="s">
        <v>847</v>
      </c>
      <c r="L55" s="2" t="s">
        <v>575</v>
      </c>
      <c r="M55" s="2" t="s">
        <v>548</v>
      </c>
    </row>
    <row r="56" spans="1:13" x14ac:dyDescent="0.2">
      <c r="A56" s="2" t="s">
        <v>893</v>
      </c>
      <c r="B56" s="2" t="s">
        <v>894</v>
      </c>
      <c r="C56" s="2" t="s">
        <v>895</v>
      </c>
      <c r="D56" s="2" t="s">
        <v>896</v>
      </c>
      <c r="E56" s="2" t="s">
        <v>897</v>
      </c>
      <c r="I56" s="2" t="s">
        <v>898</v>
      </c>
      <c r="J56" s="2" t="s">
        <v>899</v>
      </c>
      <c r="K56" s="2" t="s">
        <v>574</v>
      </c>
      <c r="L56" s="2" t="s">
        <v>575</v>
      </c>
      <c r="M56" s="2" t="s">
        <v>548</v>
      </c>
    </row>
    <row r="57" spans="1:13" x14ac:dyDescent="0.2">
      <c r="A57" s="2" t="s">
        <v>710</v>
      </c>
      <c r="B57" s="2" t="s">
        <v>900</v>
      </c>
      <c r="C57" s="2" t="s">
        <v>712</v>
      </c>
      <c r="D57" s="2" t="s">
        <v>575</v>
      </c>
      <c r="E57" s="2" t="s">
        <v>901</v>
      </c>
      <c r="I57" s="2" t="s">
        <v>721</v>
      </c>
      <c r="J57" s="2" t="s">
        <v>902</v>
      </c>
      <c r="K57" s="2" t="s">
        <v>723</v>
      </c>
      <c r="L57" s="2" t="s">
        <v>724</v>
      </c>
      <c r="M57" s="2" t="s">
        <v>548</v>
      </c>
    </row>
    <row r="58" spans="1:13" x14ac:dyDescent="0.2">
      <c r="A58" s="2" t="s">
        <v>838</v>
      </c>
      <c r="B58" s="2" t="s">
        <v>903</v>
      </c>
      <c r="C58" s="2" t="s">
        <v>840</v>
      </c>
      <c r="D58" s="2" t="s">
        <v>575</v>
      </c>
      <c r="E58" s="2" t="s">
        <v>17</v>
      </c>
      <c r="I58" s="2" t="s">
        <v>868</v>
      </c>
      <c r="J58" s="2" t="s">
        <v>904</v>
      </c>
      <c r="K58" s="2" t="s">
        <v>869</v>
      </c>
      <c r="L58" s="2" t="s">
        <v>870</v>
      </c>
      <c r="M58" s="2" t="s">
        <v>548</v>
      </c>
    </row>
    <row r="59" spans="1:13" x14ac:dyDescent="0.2">
      <c r="A59" s="2" t="s">
        <v>880</v>
      </c>
      <c r="B59" s="2" t="s">
        <v>905</v>
      </c>
      <c r="C59" s="2" t="s">
        <v>882</v>
      </c>
      <c r="D59" s="2" t="s">
        <v>883</v>
      </c>
      <c r="E59" s="2" t="s">
        <v>906</v>
      </c>
      <c r="I59" s="2" t="s">
        <v>907</v>
      </c>
      <c r="J59" s="2" t="s">
        <v>908</v>
      </c>
      <c r="K59" s="2" t="s">
        <v>909</v>
      </c>
      <c r="L59" s="2" t="s">
        <v>575</v>
      </c>
      <c r="M59" s="2" t="s">
        <v>548</v>
      </c>
    </row>
    <row r="60" spans="1:13" x14ac:dyDescent="0.2">
      <c r="A60" s="2" t="s">
        <v>633</v>
      </c>
      <c r="B60" s="2" t="s">
        <v>910</v>
      </c>
      <c r="C60" s="2" t="s">
        <v>635</v>
      </c>
      <c r="D60" s="2" t="s">
        <v>575</v>
      </c>
      <c r="E60" s="2" t="s">
        <v>911</v>
      </c>
      <c r="I60" s="2" t="s">
        <v>758</v>
      </c>
      <c r="J60" s="2" t="s">
        <v>912</v>
      </c>
      <c r="K60" s="2" t="s">
        <v>760</v>
      </c>
      <c r="L60" s="2" t="s">
        <v>761</v>
      </c>
      <c r="M60" s="2" t="s">
        <v>548</v>
      </c>
    </row>
    <row r="61" spans="1:13" x14ac:dyDescent="0.2">
      <c r="A61" s="2" t="s">
        <v>913</v>
      </c>
      <c r="B61" s="2" t="s">
        <v>914</v>
      </c>
      <c r="C61" s="2" t="s">
        <v>915</v>
      </c>
      <c r="D61" s="2" t="s">
        <v>575</v>
      </c>
      <c r="E61" s="2" t="s">
        <v>916</v>
      </c>
      <c r="I61" s="2" t="s">
        <v>736</v>
      </c>
      <c r="J61" s="2" t="s">
        <v>917</v>
      </c>
      <c r="K61" s="2" t="s">
        <v>738</v>
      </c>
      <c r="L61" s="2" t="s">
        <v>739</v>
      </c>
      <c r="M61" s="2" t="s">
        <v>548</v>
      </c>
    </row>
    <row r="62" spans="1:13" x14ac:dyDescent="0.2">
      <c r="A62" s="2" t="s">
        <v>918</v>
      </c>
      <c r="B62" s="2" t="s">
        <v>919</v>
      </c>
      <c r="C62" s="2" t="s">
        <v>920</v>
      </c>
      <c r="D62" s="2" t="s">
        <v>575</v>
      </c>
      <c r="E62" s="2" t="s">
        <v>921</v>
      </c>
      <c r="I62" s="2" t="s">
        <v>922</v>
      </c>
      <c r="J62" s="2" t="s">
        <v>923</v>
      </c>
      <c r="K62" s="2" t="s">
        <v>924</v>
      </c>
      <c r="L62" s="2" t="s">
        <v>925</v>
      </c>
      <c r="M62" s="2" t="s">
        <v>548</v>
      </c>
    </row>
    <row r="63" spans="1:13" x14ac:dyDescent="0.2">
      <c r="A63" s="2" t="s">
        <v>554</v>
      </c>
      <c r="B63" s="2" t="s">
        <v>926</v>
      </c>
      <c r="C63" s="2" t="s">
        <v>556</v>
      </c>
      <c r="D63" s="2" t="s">
        <v>557</v>
      </c>
      <c r="E63" s="2" t="s">
        <v>927</v>
      </c>
      <c r="I63" s="2" t="s">
        <v>928</v>
      </c>
      <c r="J63" s="2" t="s">
        <v>929</v>
      </c>
      <c r="K63" s="2" t="s">
        <v>930</v>
      </c>
      <c r="L63" s="2" t="s">
        <v>575</v>
      </c>
      <c r="M63" s="2" t="s">
        <v>548</v>
      </c>
    </row>
    <row r="64" spans="1:13" x14ac:dyDescent="0.2">
      <c r="A64" s="2" t="s">
        <v>931</v>
      </c>
      <c r="B64" s="2" t="s">
        <v>932</v>
      </c>
      <c r="C64" s="2" t="s">
        <v>749</v>
      </c>
      <c r="D64" s="2" t="s">
        <v>575</v>
      </c>
      <c r="E64" s="2" t="s">
        <v>933</v>
      </c>
      <c r="I64" s="2" t="s">
        <v>782</v>
      </c>
      <c r="J64" s="2" t="s">
        <v>934</v>
      </c>
      <c r="K64" s="2" t="s">
        <v>784</v>
      </c>
      <c r="L64" s="2" t="s">
        <v>575</v>
      </c>
      <c r="M64" s="2" t="s">
        <v>548</v>
      </c>
    </row>
    <row r="65" spans="1:13" x14ac:dyDescent="0.2">
      <c r="A65" s="2" t="s">
        <v>935</v>
      </c>
      <c r="B65" s="2" t="s">
        <v>936</v>
      </c>
      <c r="C65" s="2" t="s">
        <v>937</v>
      </c>
      <c r="D65" s="2" t="s">
        <v>575</v>
      </c>
      <c r="E65" s="2" t="s">
        <v>938</v>
      </c>
      <c r="I65" s="2" t="s">
        <v>939</v>
      </c>
      <c r="J65" s="2" t="s">
        <v>940</v>
      </c>
      <c r="K65" s="2" t="s">
        <v>941</v>
      </c>
      <c r="L65" s="2" t="s">
        <v>575</v>
      </c>
      <c r="M65" s="2" t="s">
        <v>548</v>
      </c>
    </row>
    <row r="66" spans="1:13" x14ac:dyDescent="0.2">
      <c r="A66" s="2" t="s">
        <v>942</v>
      </c>
      <c r="B66" s="2" t="s">
        <v>943</v>
      </c>
      <c r="C66" s="2" t="s">
        <v>944</v>
      </c>
      <c r="D66" s="2" t="s">
        <v>575</v>
      </c>
      <c r="E66" s="2" t="s">
        <v>945</v>
      </c>
      <c r="I66" s="2" t="s">
        <v>805</v>
      </c>
      <c r="J66" s="2" t="s">
        <v>946</v>
      </c>
      <c r="K66" s="2" t="s">
        <v>807</v>
      </c>
      <c r="L66" s="2" t="s">
        <v>575</v>
      </c>
      <c r="M66" s="2" t="s">
        <v>548</v>
      </c>
    </row>
    <row r="67" spans="1:13" x14ac:dyDescent="0.2">
      <c r="A67" s="2" t="s">
        <v>797</v>
      </c>
      <c r="B67" s="2" t="s">
        <v>947</v>
      </c>
      <c r="C67" s="2" t="s">
        <v>799</v>
      </c>
      <c r="D67" s="2" t="s">
        <v>575</v>
      </c>
      <c r="E67" s="2" t="s">
        <v>684</v>
      </c>
      <c r="I67" s="2" t="s">
        <v>935</v>
      </c>
      <c r="J67" s="2" t="s">
        <v>948</v>
      </c>
      <c r="K67" s="2" t="s">
        <v>937</v>
      </c>
      <c r="L67" s="2" t="s">
        <v>575</v>
      </c>
      <c r="M67" s="2" t="s">
        <v>548</v>
      </c>
    </row>
    <row r="68" spans="1:13" x14ac:dyDescent="0.2">
      <c r="A68" s="2" t="s">
        <v>949</v>
      </c>
      <c r="B68" s="2" t="s">
        <v>950</v>
      </c>
      <c r="C68" s="2" t="s">
        <v>827</v>
      </c>
      <c r="D68" s="2" t="s">
        <v>575</v>
      </c>
      <c r="E68" s="2" t="s">
        <v>951</v>
      </c>
      <c r="I68" s="2" t="s">
        <v>942</v>
      </c>
      <c r="J68" s="2" t="s">
        <v>952</v>
      </c>
      <c r="K68" s="2" t="s">
        <v>944</v>
      </c>
      <c r="L68" s="2" t="s">
        <v>575</v>
      </c>
      <c r="M68" s="2" t="s">
        <v>548</v>
      </c>
    </row>
    <row r="69" spans="1:13" x14ac:dyDescent="0.2">
      <c r="A69" s="2" t="s">
        <v>718</v>
      </c>
      <c r="B69" s="2" t="s">
        <v>953</v>
      </c>
      <c r="C69" s="2" t="s">
        <v>720</v>
      </c>
      <c r="D69" s="2" t="s">
        <v>575</v>
      </c>
      <c r="E69" s="2" t="s">
        <v>954</v>
      </c>
      <c r="I69" s="2" t="s">
        <v>955</v>
      </c>
      <c r="J69" s="2" t="s">
        <v>956</v>
      </c>
      <c r="K69" s="2" t="s">
        <v>957</v>
      </c>
      <c r="L69" s="2" t="s">
        <v>958</v>
      </c>
      <c r="M69" s="2" t="s">
        <v>548</v>
      </c>
    </row>
    <row r="70" spans="1:13" x14ac:dyDescent="0.2">
      <c r="A70" s="2" t="s">
        <v>959</v>
      </c>
      <c r="B70" s="2" t="s">
        <v>960</v>
      </c>
      <c r="C70" s="2" t="s">
        <v>961</v>
      </c>
      <c r="D70" s="2" t="s">
        <v>575</v>
      </c>
      <c r="E70" s="2" t="s">
        <v>962</v>
      </c>
      <c r="I70" s="2" t="s">
        <v>963</v>
      </c>
      <c r="J70" s="2" t="s">
        <v>964</v>
      </c>
      <c r="K70" s="2" t="s">
        <v>965</v>
      </c>
      <c r="L70" s="2" t="s">
        <v>575</v>
      </c>
      <c r="M70" s="2" t="s">
        <v>548</v>
      </c>
    </row>
    <row r="71" spans="1:13" x14ac:dyDescent="0.2">
      <c r="A71" s="2" t="s">
        <v>966</v>
      </c>
      <c r="B71" s="2" t="s">
        <v>967</v>
      </c>
      <c r="C71" s="2" t="s">
        <v>643</v>
      </c>
      <c r="D71" s="2" t="s">
        <v>644</v>
      </c>
      <c r="E71" s="2" t="s">
        <v>968</v>
      </c>
      <c r="I71" s="2" t="s">
        <v>830</v>
      </c>
      <c r="J71" s="2" t="s">
        <v>969</v>
      </c>
      <c r="K71" s="2" t="s">
        <v>666</v>
      </c>
      <c r="L71" s="2" t="s">
        <v>667</v>
      </c>
      <c r="M71" s="2" t="s">
        <v>548</v>
      </c>
    </row>
    <row r="72" spans="1:13" x14ac:dyDescent="0.2">
      <c r="A72" s="2" t="s">
        <v>970</v>
      </c>
      <c r="B72" s="2" t="s">
        <v>971</v>
      </c>
      <c r="C72" s="2" t="s">
        <v>972</v>
      </c>
      <c r="D72" s="2" t="s">
        <v>575</v>
      </c>
      <c r="E72" s="2" t="s">
        <v>973</v>
      </c>
      <c r="I72" s="2" t="s">
        <v>974</v>
      </c>
      <c r="J72" s="2" t="s">
        <v>975</v>
      </c>
      <c r="K72" s="2" t="s">
        <v>689</v>
      </c>
      <c r="L72" s="2" t="s">
        <v>575</v>
      </c>
      <c r="M72" s="2" t="s">
        <v>548</v>
      </c>
    </row>
    <row r="73" spans="1:13" x14ac:dyDescent="0.2">
      <c r="A73" s="2" t="s">
        <v>865</v>
      </c>
      <c r="B73" s="2" t="s">
        <v>976</v>
      </c>
      <c r="C73" s="2" t="s">
        <v>867</v>
      </c>
      <c r="D73" s="2" t="s">
        <v>575</v>
      </c>
      <c r="E73" s="2" t="s">
        <v>977</v>
      </c>
      <c r="I73" s="2" t="s">
        <v>834</v>
      </c>
      <c r="J73" s="2" t="s">
        <v>978</v>
      </c>
      <c r="K73" s="2" t="s">
        <v>836</v>
      </c>
      <c r="L73" s="2" t="s">
        <v>575</v>
      </c>
      <c r="M73" s="2" t="s">
        <v>548</v>
      </c>
    </row>
    <row r="74" spans="1:13" x14ac:dyDescent="0.2">
      <c r="A74" s="2" t="s">
        <v>979</v>
      </c>
      <c r="B74" s="2" t="s">
        <v>980</v>
      </c>
      <c r="C74" s="2" t="s">
        <v>981</v>
      </c>
      <c r="D74" s="2" t="s">
        <v>575</v>
      </c>
      <c r="E74" s="2" t="s">
        <v>982</v>
      </c>
      <c r="I74" s="2" t="s">
        <v>841</v>
      </c>
      <c r="J74" s="2" t="s">
        <v>983</v>
      </c>
      <c r="K74" s="2" t="s">
        <v>575</v>
      </c>
      <c r="L74" s="2" t="s">
        <v>575</v>
      </c>
      <c r="M74" s="2" t="s">
        <v>548</v>
      </c>
    </row>
    <row r="75" spans="1:13" x14ac:dyDescent="0.2">
      <c r="A75" s="2" t="s">
        <v>984</v>
      </c>
      <c r="B75" s="2" t="s">
        <v>468</v>
      </c>
      <c r="C75" s="2" t="s">
        <v>985</v>
      </c>
      <c r="D75" s="2" t="s">
        <v>575</v>
      </c>
      <c r="E75" s="2" t="s">
        <v>45</v>
      </c>
      <c r="I75" s="2" t="s">
        <v>986</v>
      </c>
      <c r="J75" s="2" t="s">
        <v>987</v>
      </c>
      <c r="K75" s="2" t="s">
        <v>988</v>
      </c>
      <c r="L75" s="2" t="s">
        <v>575</v>
      </c>
      <c r="M75" s="2" t="s">
        <v>548</v>
      </c>
    </row>
    <row r="76" spans="1:13" x14ac:dyDescent="0.2">
      <c r="A76" s="2" t="s">
        <v>874</v>
      </c>
      <c r="B76" s="2" t="s">
        <v>989</v>
      </c>
      <c r="C76" s="2" t="s">
        <v>876</v>
      </c>
      <c r="D76" s="2" t="s">
        <v>575</v>
      </c>
      <c r="E76" s="2" t="s">
        <v>990</v>
      </c>
      <c r="I76" s="2" t="s">
        <v>991</v>
      </c>
      <c r="J76" s="2" t="s">
        <v>992</v>
      </c>
      <c r="K76" s="2" t="s">
        <v>836</v>
      </c>
      <c r="L76" s="2" t="s">
        <v>575</v>
      </c>
      <c r="M76" s="2" t="s">
        <v>548</v>
      </c>
    </row>
    <row r="77" spans="1:13" x14ac:dyDescent="0.2">
      <c r="A77" s="2" t="s">
        <v>669</v>
      </c>
      <c r="B77" s="2" t="s">
        <v>993</v>
      </c>
      <c r="C77" s="2" t="s">
        <v>662</v>
      </c>
      <c r="D77" s="2" t="s">
        <v>663</v>
      </c>
      <c r="E77" s="2" t="s">
        <v>746</v>
      </c>
      <c r="I77" s="2" t="s">
        <v>994</v>
      </c>
      <c r="J77" s="2" t="s">
        <v>995</v>
      </c>
      <c r="K77" s="2" t="s">
        <v>996</v>
      </c>
      <c r="L77" s="2" t="s">
        <v>575</v>
      </c>
      <c r="M77" s="2" t="s">
        <v>548</v>
      </c>
    </row>
    <row r="78" spans="1:13" x14ac:dyDescent="0.2">
      <c r="A78" s="2" t="s">
        <v>997</v>
      </c>
      <c r="B78" s="2" t="s">
        <v>998</v>
      </c>
      <c r="C78" s="2" t="s">
        <v>662</v>
      </c>
      <c r="D78" s="2" t="s">
        <v>663</v>
      </c>
      <c r="E78" s="2" t="s">
        <v>746</v>
      </c>
      <c r="I78" s="2" t="s">
        <v>999</v>
      </c>
      <c r="J78" s="2" t="s">
        <v>1000</v>
      </c>
      <c r="K78" s="2" t="s">
        <v>1001</v>
      </c>
      <c r="L78" s="2" t="s">
        <v>575</v>
      </c>
      <c r="M78" s="2" t="s">
        <v>548</v>
      </c>
    </row>
    <row r="79" spans="1:13" x14ac:dyDescent="0.2">
      <c r="A79" s="2" t="s">
        <v>1002</v>
      </c>
      <c r="B79" s="2" t="s">
        <v>1003</v>
      </c>
      <c r="C79" s="2" t="s">
        <v>1004</v>
      </c>
      <c r="D79" s="2" t="s">
        <v>575</v>
      </c>
      <c r="E79" s="2" t="s">
        <v>1005</v>
      </c>
      <c r="I79" s="2" t="s">
        <v>713</v>
      </c>
      <c r="J79" s="2" t="s">
        <v>1006</v>
      </c>
      <c r="K79" s="2" t="s">
        <v>715</v>
      </c>
      <c r="L79" s="2" t="s">
        <v>716</v>
      </c>
      <c r="M79" s="2" t="s">
        <v>548</v>
      </c>
    </row>
    <row r="80" spans="1:13" x14ac:dyDescent="0.2">
      <c r="A80" s="2" t="s">
        <v>1007</v>
      </c>
      <c r="B80" s="2" t="s">
        <v>1008</v>
      </c>
      <c r="C80" s="2" t="s">
        <v>1009</v>
      </c>
      <c r="D80" s="2" t="s">
        <v>575</v>
      </c>
      <c r="E80" s="2" t="s">
        <v>1010</v>
      </c>
      <c r="I80" s="2" t="s">
        <v>1011</v>
      </c>
      <c r="J80" s="2" t="s">
        <v>1012</v>
      </c>
      <c r="K80" s="2" t="s">
        <v>1013</v>
      </c>
      <c r="L80" s="2" t="s">
        <v>575</v>
      </c>
      <c r="M80" s="2" t="s">
        <v>548</v>
      </c>
    </row>
    <row r="81" spans="1:13" x14ac:dyDescent="0.2">
      <c r="A81" s="2" t="s">
        <v>741</v>
      </c>
      <c r="B81" s="2" t="s">
        <v>1014</v>
      </c>
      <c r="C81" s="2" t="s">
        <v>743</v>
      </c>
      <c r="D81" s="2" t="s">
        <v>575</v>
      </c>
      <c r="E81" s="2" t="s">
        <v>837</v>
      </c>
      <c r="I81" s="2" t="s">
        <v>1015</v>
      </c>
      <c r="J81" s="2" t="s">
        <v>1016</v>
      </c>
      <c r="K81" s="2" t="s">
        <v>1017</v>
      </c>
      <c r="L81" s="2" t="s">
        <v>575</v>
      </c>
      <c r="M81" s="2" t="s">
        <v>548</v>
      </c>
    </row>
    <row r="82" spans="1:13" x14ac:dyDescent="0.2">
      <c r="A82" s="2" t="s">
        <v>1018</v>
      </c>
      <c r="B82" s="2" t="s">
        <v>1019</v>
      </c>
      <c r="C82" s="2" t="s">
        <v>1020</v>
      </c>
      <c r="D82" s="2" t="s">
        <v>575</v>
      </c>
      <c r="E82" s="2" t="s">
        <v>1021</v>
      </c>
      <c r="I82" s="2" t="s">
        <v>1022</v>
      </c>
      <c r="J82" s="2" t="s">
        <v>1023</v>
      </c>
      <c r="K82" s="2" t="s">
        <v>738</v>
      </c>
      <c r="L82" s="2" t="s">
        <v>739</v>
      </c>
      <c r="M82" s="2" t="s">
        <v>548</v>
      </c>
    </row>
    <row r="83" spans="1:13" x14ac:dyDescent="0.2">
      <c r="A83" s="2" t="s">
        <v>1024</v>
      </c>
      <c r="B83" s="2" t="s">
        <v>1025</v>
      </c>
      <c r="C83" s="2" t="s">
        <v>1026</v>
      </c>
      <c r="D83" s="2" t="s">
        <v>575</v>
      </c>
      <c r="E83" s="2" t="s">
        <v>1027</v>
      </c>
      <c r="I83" s="2" t="s">
        <v>1028</v>
      </c>
      <c r="J83" s="2" t="s">
        <v>1029</v>
      </c>
      <c r="K83" s="2" t="s">
        <v>662</v>
      </c>
      <c r="L83" s="2" t="s">
        <v>663</v>
      </c>
      <c r="M83" s="2" t="s">
        <v>548</v>
      </c>
    </row>
    <row r="84" spans="1:13" x14ac:dyDescent="0.2">
      <c r="A84" s="2" t="s">
        <v>809</v>
      </c>
      <c r="B84" s="2" t="s">
        <v>1030</v>
      </c>
      <c r="C84" s="2" t="s">
        <v>675</v>
      </c>
      <c r="D84" s="2" t="s">
        <v>575</v>
      </c>
      <c r="E84" s="2" t="s">
        <v>1031</v>
      </c>
      <c r="I84" s="2" t="s">
        <v>1032</v>
      </c>
      <c r="J84" s="2" t="s">
        <v>1033</v>
      </c>
      <c r="K84" s="2" t="s">
        <v>895</v>
      </c>
      <c r="L84" s="2" t="s">
        <v>896</v>
      </c>
      <c r="M84" s="2" t="s">
        <v>548</v>
      </c>
    </row>
    <row r="85" spans="1:13" x14ac:dyDescent="0.2">
      <c r="A85" s="2" t="s">
        <v>1034</v>
      </c>
      <c r="B85" s="2" t="s">
        <v>1035</v>
      </c>
      <c r="C85" s="2" t="s">
        <v>1036</v>
      </c>
      <c r="D85" s="2" t="s">
        <v>575</v>
      </c>
      <c r="E85" s="2" t="s">
        <v>1037</v>
      </c>
      <c r="I85" s="2" t="s">
        <v>1038</v>
      </c>
      <c r="J85" s="2" t="s">
        <v>1039</v>
      </c>
      <c r="K85" s="2" t="s">
        <v>743</v>
      </c>
      <c r="L85" s="2" t="s">
        <v>575</v>
      </c>
      <c r="M85" s="2" t="s">
        <v>548</v>
      </c>
    </row>
    <row r="86" spans="1:13" x14ac:dyDescent="0.2">
      <c r="A86" s="2" t="s">
        <v>1040</v>
      </c>
      <c r="B86" s="2" t="s">
        <v>1041</v>
      </c>
      <c r="C86" s="2" t="s">
        <v>1042</v>
      </c>
      <c r="D86" s="2" t="s">
        <v>575</v>
      </c>
      <c r="E86" s="2" t="s">
        <v>1043</v>
      </c>
      <c r="I86" s="2" t="s">
        <v>1044</v>
      </c>
      <c r="J86" s="2" t="s">
        <v>1045</v>
      </c>
      <c r="K86" s="2" t="s">
        <v>1046</v>
      </c>
      <c r="L86" s="2" t="s">
        <v>575</v>
      </c>
      <c r="M86" s="2" t="s">
        <v>548</v>
      </c>
    </row>
    <row r="87" spans="1:13" x14ac:dyDescent="0.2">
      <c r="A87" s="2" t="s">
        <v>1047</v>
      </c>
      <c r="B87" s="2" t="s">
        <v>1048</v>
      </c>
      <c r="C87" s="2" t="s">
        <v>671</v>
      </c>
      <c r="D87" s="2" t="s">
        <v>672</v>
      </c>
      <c r="E87" s="2" t="s">
        <v>1049</v>
      </c>
      <c r="I87" s="2" t="s">
        <v>1050</v>
      </c>
      <c r="J87" s="2" t="s">
        <v>1051</v>
      </c>
      <c r="K87" s="2" t="s">
        <v>1052</v>
      </c>
      <c r="L87" s="2" t="s">
        <v>575</v>
      </c>
      <c r="M87" s="2" t="s">
        <v>548</v>
      </c>
    </row>
    <row r="88" spans="1:13" x14ac:dyDescent="0.2">
      <c r="A88" s="2" t="s">
        <v>1053</v>
      </c>
      <c r="B88" s="2" t="s">
        <v>1054</v>
      </c>
      <c r="C88" s="2" t="s">
        <v>757</v>
      </c>
      <c r="D88" s="2" t="s">
        <v>575</v>
      </c>
      <c r="E88" s="2" t="s">
        <v>933</v>
      </c>
      <c r="I88" s="2" t="s">
        <v>1055</v>
      </c>
      <c r="J88" s="2" t="s">
        <v>1056</v>
      </c>
      <c r="K88" s="2" t="s">
        <v>1057</v>
      </c>
      <c r="L88" s="2" t="s">
        <v>575</v>
      </c>
      <c r="M88" s="2" t="s">
        <v>548</v>
      </c>
    </row>
    <row r="89" spans="1:13" x14ac:dyDescent="0.2">
      <c r="A89" s="2" t="s">
        <v>1058</v>
      </c>
      <c r="B89" s="2" t="s">
        <v>1059</v>
      </c>
      <c r="C89" s="2" t="s">
        <v>944</v>
      </c>
      <c r="D89" s="2" t="s">
        <v>575</v>
      </c>
      <c r="E89" s="2" t="s">
        <v>1060</v>
      </c>
      <c r="I89" s="2" t="s">
        <v>1061</v>
      </c>
      <c r="J89" s="2" t="s">
        <v>1062</v>
      </c>
      <c r="K89" s="2" t="s">
        <v>1063</v>
      </c>
      <c r="L89" s="2" t="s">
        <v>575</v>
      </c>
      <c r="M89" s="2" t="s">
        <v>548</v>
      </c>
    </row>
    <row r="90" spans="1:13" x14ac:dyDescent="0.2">
      <c r="A90" s="2" t="s">
        <v>1064</v>
      </c>
      <c r="B90" s="2" t="s">
        <v>1065</v>
      </c>
      <c r="C90" s="2" t="s">
        <v>1066</v>
      </c>
      <c r="D90" s="2" t="s">
        <v>575</v>
      </c>
      <c r="E90" s="2" t="s">
        <v>1067</v>
      </c>
      <c r="I90" s="2" t="s">
        <v>1068</v>
      </c>
      <c r="J90" s="2" t="s">
        <v>1069</v>
      </c>
      <c r="K90" s="2" t="s">
        <v>1070</v>
      </c>
      <c r="L90" s="2" t="s">
        <v>575</v>
      </c>
      <c r="M90" s="2" t="s">
        <v>548</v>
      </c>
    </row>
    <row r="91" spans="1:13" x14ac:dyDescent="0.2">
      <c r="A91" s="2" t="s">
        <v>1071</v>
      </c>
      <c r="B91" s="2" t="s">
        <v>1072</v>
      </c>
      <c r="C91" s="2" t="s">
        <v>619</v>
      </c>
      <c r="D91" s="2" t="s">
        <v>575</v>
      </c>
      <c r="E91" s="2" t="s">
        <v>1073</v>
      </c>
      <c r="I91" s="2" t="s">
        <v>1074</v>
      </c>
      <c r="J91" s="2" t="s">
        <v>1075</v>
      </c>
      <c r="K91" s="2" t="s">
        <v>619</v>
      </c>
      <c r="L91" s="2" t="s">
        <v>575</v>
      </c>
      <c r="M91" s="2" t="s">
        <v>548</v>
      </c>
    </row>
    <row r="92" spans="1:13" x14ac:dyDescent="0.2">
      <c r="A92" s="2" t="s">
        <v>1076</v>
      </c>
      <c r="B92" s="2" t="s">
        <v>1077</v>
      </c>
      <c r="C92" s="2" t="s">
        <v>619</v>
      </c>
      <c r="D92" s="2" t="s">
        <v>575</v>
      </c>
      <c r="E92" s="2" t="s">
        <v>1078</v>
      </c>
      <c r="I92" s="2" t="s">
        <v>1079</v>
      </c>
      <c r="J92" s="2" t="s">
        <v>1080</v>
      </c>
      <c r="K92" s="2" t="s">
        <v>1081</v>
      </c>
      <c r="L92" s="2" t="s">
        <v>575</v>
      </c>
      <c r="M92" s="2" t="s">
        <v>548</v>
      </c>
    </row>
    <row r="93" spans="1:13" x14ac:dyDescent="0.2">
      <c r="A93" s="2" t="s">
        <v>1082</v>
      </c>
      <c r="B93" s="2" t="s">
        <v>1083</v>
      </c>
      <c r="C93" s="2" t="s">
        <v>556</v>
      </c>
      <c r="D93" s="2" t="s">
        <v>557</v>
      </c>
      <c r="E93" s="2" t="s">
        <v>927</v>
      </c>
      <c r="I93" s="2" t="s">
        <v>1084</v>
      </c>
      <c r="J93" s="2" t="s">
        <v>1085</v>
      </c>
      <c r="K93" s="2" t="s">
        <v>1066</v>
      </c>
      <c r="L93" s="2" t="s">
        <v>575</v>
      </c>
      <c r="M93" s="2" t="s">
        <v>548</v>
      </c>
    </row>
    <row r="94" spans="1:13" x14ac:dyDescent="0.2">
      <c r="A94" s="2" t="s">
        <v>1086</v>
      </c>
      <c r="B94" s="2" t="s">
        <v>1087</v>
      </c>
      <c r="C94" s="2" t="s">
        <v>1070</v>
      </c>
      <c r="D94" s="2" t="s">
        <v>575</v>
      </c>
      <c r="E94" s="2" t="s">
        <v>1088</v>
      </c>
      <c r="I94" s="2" t="s">
        <v>1089</v>
      </c>
      <c r="J94" s="2" t="s">
        <v>1090</v>
      </c>
      <c r="K94" s="2" t="s">
        <v>1091</v>
      </c>
      <c r="L94" s="2" t="s">
        <v>575</v>
      </c>
      <c r="M94" s="2" t="s">
        <v>548</v>
      </c>
    </row>
    <row r="95" spans="1:13" x14ac:dyDescent="0.2">
      <c r="A95" s="2" t="s">
        <v>1092</v>
      </c>
      <c r="B95" s="2" t="s">
        <v>1093</v>
      </c>
      <c r="C95" s="2" t="s">
        <v>575</v>
      </c>
      <c r="D95" s="2" t="s">
        <v>575</v>
      </c>
      <c r="E95" s="2" t="s">
        <v>1094</v>
      </c>
      <c r="I95" s="2" t="s">
        <v>1095</v>
      </c>
      <c r="J95" s="2" t="s">
        <v>1096</v>
      </c>
      <c r="K95" s="2" t="s">
        <v>827</v>
      </c>
      <c r="L95" s="2" t="s">
        <v>575</v>
      </c>
      <c r="M95" s="2" t="s">
        <v>548</v>
      </c>
    </row>
    <row r="96" spans="1:13" x14ac:dyDescent="0.2">
      <c r="A96" s="2" t="s">
        <v>999</v>
      </c>
      <c r="B96" s="2" t="s">
        <v>1097</v>
      </c>
      <c r="C96" s="2" t="s">
        <v>1001</v>
      </c>
      <c r="D96" s="2" t="s">
        <v>575</v>
      </c>
      <c r="E96" s="2" t="s">
        <v>1098</v>
      </c>
      <c r="I96" s="2" t="s">
        <v>1099</v>
      </c>
      <c r="J96" s="2" t="s">
        <v>1100</v>
      </c>
      <c r="K96" s="2" t="s">
        <v>666</v>
      </c>
      <c r="L96" s="2" t="s">
        <v>667</v>
      </c>
      <c r="M96" s="2" t="s">
        <v>548</v>
      </c>
    </row>
    <row r="97" spans="1:13" x14ac:dyDescent="0.2">
      <c r="A97" s="2" t="s">
        <v>857</v>
      </c>
      <c r="B97" s="2" t="s">
        <v>1101</v>
      </c>
      <c r="C97" s="2" t="s">
        <v>859</v>
      </c>
      <c r="D97" s="2" t="s">
        <v>860</v>
      </c>
      <c r="E97" s="2" t="s">
        <v>1102</v>
      </c>
      <c r="I97" s="2" t="s">
        <v>1103</v>
      </c>
      <c r="J97" s="2" t="s">
        <v>1104</v>
      </c>
      <c r="K97" s="2" t="s">
        <v>1105</v>
      </c>
      <c r="L97" s="2" t="s">
        <v>575</v>
      </c>
      <c r="M97" s="2" t="s">
        <v>548</v>
      </c>
    </row>
    <row r="98" spans="1:13" x14ac:dyDescent="0.2">
      <c r="A98" s="2" t="s">
        <v>1106</v>
      </c>
      <c r="B98" s="2" t="s">
        <v>1107</v>
      </c>
      <c r="C98" s="2" t="s">
        <v>863</v>
      </c>
      <c r="D98" s="2" t="s">
        <v>575</v>
      </c>
      <c r="E98" s="2" t="s">
        <v>1108</v>
      </c>
      <c r="I98" s="2" t="s">
        <v>1109</v>
      </c>
      <c r="J98" s="2" t="s">
        <v>1110</v>
      </c>
      <c r="K98" s="2" t="s">
        <v>1111</v>
      </c>
      <c r="L98" s="2" t="s">
        <v>1112</v>
      </c>
      <c r="M98" s="2" t="s">
        <v>548</v>
      </c>
    </row>
    <row r="99" spans="1:13" x14ac:dyDescent="0.2">
      <c r="A99" s="2" t="s">
        <v>898</v>
      </c>
      <c r="B99" s="2" t="s">
        <v>1113</v>
      </c>
      <c r="C99" s="2" t="s">
        <v>574</v>
      </c>
      <c r="D99" s="2" t="s">
        <v>575</v>
      </c>
      <c r="E99" s="2" t="s">
        <v>1114</v>
      </c>
      <c r="I99" s="2" t="s">
        <v>1115</v>
      </c>
      <c r="J99" s="2" t="s">
        <v>1116</v>
      </c>
      <c r="K99" s="2" t="s">
        <v>662</v>
      </c>
      <c r="L99" s="2" t="s">
        <v>663</v>
      </c>
      <c r="M99" s="2" t="s">
        <v>548</v>
      </c>
    </row>
    <row r="100" spans="1:13" x14ac:dyDescent="0.2">
      <c r="A100" s="2" t="s">
        <v>1117</v>
      </c>
      <c r="B100" s="2" t="s">
        <v>1118</v>
      </c>
      <c r="C100" s="2" t="s">
        <v>1119</v>
      </c>
      <c r="D100" s="2" t="s">
        <v>575</v>
      </c>
      <c r="E100" s="2" t="s">
        <v>1120</v>
      </c>
      <c r="I100" s="2" t="s">
        <v>1121</v>
      </c>
      <c r="J100" s="2" t="s">
        <v>1122</v>
      </c>
      <c r="K100" s="2" t="s">
        <v>1123</v>
      </c>
      <c r="L100" s="2" t="s">
        <v>575</v>
      </c>
      <c r="M100" s="2" t="s">
        <v>548</v>
      </c>
    </row>
    <row r="101" spans="1:13" x14ac:dyDescent="0.2">
      <c r="A101" s="2" t="s">
        <v>1124</v>
      </c>
      <c r="B101" s="2" t="s">
        <v>1125</v>
      </c>
      <c r="C101" s="2" t="s">
        <v>1126</v>
      </c>
      <c r="D101" s="2" t="s">
        <v>575</v>
      </c>
      <c r="E101" s="2" t="s">
        <v>1127</v>
      </c>
      <c r="I101" s="2" t="s">
        <v>1128</v>
      </c>
      <c r="J101" s="2" t="s">
        <v>1129</v>
      </c>
      <c r="K101" s="2" t="s">
        <v>1091</v>
      </c>
      <c r="L101" s="2" t="s">
        <v>575</v>
      </c>
      <c r="M101" s="2" t="s">
        <v>548</v>
      </c>
    </row>
    <row r="102" spans="1:13" x14ac:dyDescent="0.2">
      <c r="A102" s="2" t="s">
        <v>1130</v>
      </c>
      <c r="B102" s="2" t="s">
        <v>1131</v>
      </c>
      <c r="C102" s="2" t="s">
        <v>1132</v>
      </c>
      <c r="D102" s="2" t="s">
        <v>575</v>
      </c>
      <c r="E102" s="2" t="s">
        <v>583</v>
      </c>
      <c r="I102" s="2" t="s">
        <v>1133</v>
      </c>
      <c r="J102" s="2" t="s">
        <v>1134</v>
      </c>
      <c r="K102" s="2" t="s">
        <v>1135</v>
      </c>
      <c r="L102" s="2" t="s">
        <v>575</v>
      </c>
      <c r="M102" s="2" t="s">
        <v>548</v>
      </c>
    </row>
    <row r="103" spans="1:13" x14ac:dyDescent="0.2">
      <c r="A103" s="2" t="s">
        <v>1136</v>
      </c>
      <c r="B103" s="2" t="s">
        <v>1137</v>
      </c>
      <c r="C103" s="2" t="s">
        <v>1138</v>
      </c>
      <c r="D103" s="2" t="s">
        <v>575</v>
      </c>
      <c r="E103" s="2" t="s">
        <v>1139</v>
      </c>
      <c r="I103" s="2" t="s">
        <v>766</v>
      </c>
      <c r="J103" s="2" t="s">
        <v>1140</v>
      </c>
      <c r="K103" s="2" t="s">
        <v>768</v>
      </c>
      <c r="L103" s="2" t="s">
        <v>599</v>
      </c>
      <c r="M103" s="2" t="s">
        <v>548</v>
      </c>
    </row>
    <row r="104" spans="1:13" x14ac:dyDescent="0.2">
      <c r="A104" s="2" t="s">
        <v>1141</v>
      </c>
      <c r="B104" s="2" t="s">
        <v>1142</v>
      </c>
      <c r="C104" s="2" t="s">
        <v>909</v>
      </c>
      <c r="D104" s="2" t="s">
        <v>575</v>
      </c>
      <c r="E104" s="2" t="s">
        <v>1143</v>
      </c>
      <c r="I104" s="2" t="s">
        <v>1018</v>
      </c>
      <c r="J104" s="2" t="s">
        <v>1144</v>
      </c>
      <c r="K104" s="2" t="s">
        <v>1020</v>
      </c>
      <c r="L104" s="2" t="s">
        <v>575</v>
      </c>
      <c r="M104" s="2" t="s">
        <v>548</v>
      </c>
    </row>
    <row r="105" spans="1:13" x14ac:dyDescent="0.2">
      <c r="A105" s="2" t="s">
        <v>1145</v>
      </c>
      <c r="B105" s="2" t="s">
        <v>1146</v>
      </c>
      <c r="C105" s="2" t="s">
        <v>743</v>
      </c>
      <c r="D105" s="2" t="s">
        <v>575</v>
      </c>
      <c r="E105" s="2" t="s">
        <v>112</v>
      </c>
      <c r="I105" s="2" t="s">
        <v>1024</v>
      </c>
      <c r="J105" s="2" t="s">
        <v>1147</v>
      </c>
      <c r="K105" s="2" t="s">
        <v>1026</v>
      </c>
      <c r="L105" s="2" t="s">
        <v>575</v>
      </c>
      <c r="M105" s="2" t="s">
        <v>548</v>
      </c>
    </row>
    <row r="106" spans="1:13" x14ac:dyDescent="0.2">
      <c r="A106" s="2" t="s">
        <v>625</v>
      </c>
      <c r="B106" s="2" t="s">
        <v>1148</v>
      </c>
      <c r="C106" s="2" t="s">
        <v>627</v>
      </c>
      <c r="D106" s="2" t="s">
        <v>575</v>
      </c>
      <c r="E106" s="2" t="s">
        <v>94</v>
      </c>
      <c r="I106" s="2" t="s">
        <v>1149</v>
      </c>
      <c r="J106" s="2" t="s">
        <v>1150</v>
      </c>
      <c r="K106" s="2" t="s">
        <v>1151</v>
      </c>
      <c r="L106" s="2" t="s">
        <v>575</v>
      </c>
      <c r="M106" s="2" t="s">
        <v>548</v>
      </c>
    </row>
    <row r="107" spans="1:13" x14ac:dyDescent="0.2">
      <c r="A107" s="2" t="s">
        <v>1152</v>
      </c>
      <c r="B107" s="2" t="s">
        <v>1153</v>
      </c>
      <c r="C107" s="2" t="s">
        <v>1052</v>
      </c>
      <c r="D107" s="2" t="s">
        <v>575</v>
      </c>
      <c r="E107" s="2" t="s">
        <v>58</v>
      </c>
      <c r="I107" s="2" t="s">
        <v>1154</v>
      </c>
      <c r="J107" s="2" t="s">
        <v>1155</v>
      </c>
      <c r="K107" s="2" t="s">
        <v>671</v>
      </c>
      <c r="L107" s="2" t="s">
        <v>672</v>
      </c>
      <c r="M107" s="2" t="s">
        <v>548</v>
      </c>
    </row>
    <row r="108" spans="1:13" x14ac:dyDescent="0.2">
      <c r="A108" s="2" t="s">
        <v>1156</v>
      </c>
      <c r="B108" s="2" t="s">
        <v>1157</v>
      </c>
      <c r="C108" s="2" t="s">
        <v>1057</v>
      </c>
      <c r="D108" s="2" t="s">
        <v>575</v>
      </c>
      <c r="E108" s="2" t="s">
        <v>1158</v>
      </c>
      <c r="I108" s="2" t="s">
        <v>1159</v>
      </c>
      <c r="J108" s="2" t="s">
        <v>1160</v>
      </c>
      <c r="K108" s="2" t="s">
        <v>1161</v>
      </c>
      <c r="L108" s="2" t="s">
        <v>575</v>
      </c>
      <c r="M108" s="2" t="s">
        <v>548</v>
      </c>
    </row>
    <row r="109" spans="1:13" x14ac:dyDescent="0.2">
      <c r="A109" s="2" t="s">
        <v>1149</v>
      </c>
      <c r="B109" s="2" t="s">
        <v>1162</v>
      </c>
      <c r="C109" s="2" t="s">
        <v>1151</v>
      </c>
      <c r="D109" s="2" t="s">
        <v>575</v>
      </c>
      <c r="E109" s="2" t="s">
        <v>1163</v>
      </c>
      <c r="I109" s="2" t="s">
        <v>1164</v>
      </c>
      <c r="J109" s="2" t="s">
        <v>1165</v>
      </c>
      <c r="K109" s="2" t="s">
        <v>1166</v>
      </c>
      <c r="L109" s="2" t="s">
        <v>575</v>
      </c>
      <c r="M109" s="2" t="s">
        <v>548</v>
      </c>
    </row>
    <row r="110" spans="1:13" x14ac:dyDescent="0.2">
      <c r="A110" s="2" t="s">
        <v>939</v>
      </c>
      <c r="B110" s="2" t="s">
        <v>1167</v>
      </c>
      <c r="C110" s="2" t="s">
        <v>941</v>
      </c>
      <c r="D110" s="2" t="s">
        <v>575</v>
      </c>
      <c r="E110" s="2" t="s">
        <v>1168</v>
      </c>
      <c r="I110" s="2" t="s">
        <v>1169</v>
      </c>
      <c r="J110" s="2" t="s">
        <v>1170</v>
      </c>
      <c r="K110" s="2" t="s">
        <v>1171</v>
      </c>
      <c r="L110" s="2" t="s">
        <v>575</v>
      </c>
      <c r="M110" s="2" t="s">
        <v>548</v>
      </c>
    </row>
    <row r="111" spans="1:13" x14ac:dyDescent="0.2">
      <c r="A111" s="2" t="s">
        <v>584</v>
      </c>
      <c r="B111" s="2" t="s">
        <v>1172</v>
      </c>
      <c r="C111" s="2" t="s">
        <v>586</v>
      </c>
      <c r="D111" s="2" t="s">
        <v>575</v>
      </c>
      <c r="E111" s="2" t="s">
        <v>1173</v>
      </c>
      <c r="I111" s="2" t="s">
        <v>1174</v>
      </c>
      <c r="J111" s="2" t="s">
        <v>1175</v>
      </c>
      <c r="K111" s="2" t="s">
        <v>957</v>
      </c>
      <c r="L111" s="2" t="s">
        <v>575</v>
      </c>
      <c r="M111" s="2" t="s">
        <v>548</v>
      </c>
    </row>
    <row r="112" spans="1:13" x14ac:dyDescent="0.2">
      <c r="A112" s="2" t="s">
        <v>544</v>
      </c>
      <c r="B112" s="2" t="s">
        <v>1176</v>
      </c>
      <c r="C112" s="2" t="s">
        <v>546</v>
      </c>
      <c r="D112" s="2" t="s">
        <v>575</v>
      </c>
      <c r="E112" s="2" t="s">
        <v>962</v>
      </c>
      <c r="I112" s="2" t="s">
        <v>1177</v>
      </c>
      <c r="J112" s="2" t="s">
        <v>1178</v>
      </c>
      <c r="K112" s="2" t="s">
        <v>1179</v>
      </c>
      <c r="L112" s="2" t="s">
        <v>575</v>
      </c>
      <c r="M112" s="2" t="s">
        <v>548</v>
      </c>
    </row>
    <row r="113" spans="1:13" x14ac:dyDescent="0.2">
      <c r="A113" s="2" t="s">
        <v>1180</v>
      </c>
      <c r="B113" s="2" t="s">
        <v>1181</v>
      </c>
      <c r="C113" s="2" t="s">
        <v>1182</v>
      </c>
      <c r="D113" s="2" t="s">
        <v>575</v>
      </c>
      <c r="E113" s="2" t="s">
        <v>1183</v>
      </c>
      <c r="I113" s="2" t="s">
        <v>1184</v>
      </c>
      <c r="J113" s="2" t="s">
        <v>1185</v>
      </c>
      <c r="K113" s="2" t="s">
        <v>627</v>
      </c>
      <c r="L113" s="2" t="s">
        <v>575</v>
      </c>
      <c r="M113" s="2" t="s">
        <v>548</v>
      </c>
    </row>
    <row r="114" spans="1:13" x14ac:dyDescent="0.2">
      <c r="A114" s="2" t="s">
        <v>1186</v>
      </c>
      <c r="B114" s="2" t="s">
        <v>1187</v>
      </c>
      <c r="C114" s="2" t="s">
        <v>1188</v>
      </c>
      <c r="D114" s="2" t="s">
        <v>575</v>
      </c>
      <c r="E114" s="2" t="s">
        <v>1189</v>
      </c>
      <c r="I114" s="2" t="s">
        <v>1106</v>
      </c>
      <c r="J114" s="2" t="s">
        <v>1190</v>
      </c>
      <c r="K114" s="2" t="s">
        <v>863</v>
      </c>
      <c r="L114" s="2" t="s">
        <v>575</v>
      </c>
      <c r="M114" s="2" t="s">
        <v>548</v>
      </c>
    </row>
    <row r="115" spans="1:13" x14ac:dyDescent="0.2">
      <c r="A115" s="2" t="s">
        <v>955</v>
      </c>
      <c r="B115" s="2" t="s">
        <v>1191</v>
      </c>
      <c r="C115" s="2" t="s">
        <v>957</v>
      </c>
      <c r="D115" s="2" t="s">
        <v>958</v>
      </c>
      <c r="E115" s="2" t="s">
        <v>1192</v>
      </c>
      <c r="I115" s="2" t="s">
        <v>1193</v>
      </c>
      <c r="J115" s="2" t="s">
        <v>1194</v>
      </c>
      <c r="K115" s="2" t="s">
        <v>1195</v>
      </c>
      <c r="L115" s="2" t="s">
        <v>575</v>
      </c>
      <c r="M115" s="2" t="s">
        <v>548</v>
      </c>
    </row>
    <row r="116" spans="1:13" x14ac:dyDescent="0.2">
      <c r="A116" s="2" t="s">
        <v>963</v>
      </c>
      <c r="B116" s="2" t="s">
        <v>1196</v>
      </c>
      <c r="C116" s="2" t="s">
        <v>965</v>
      </c>
      <c r="D116" s="2" t="s">
        <v>575</v>
      </c>
      <c r="E116" s="2" t="s">
        <v>1197</v>
      </c>
      <c r="I116" s="2" t="s">
        <v>1124</v>
      </c>
      <c r="J116" s="2" t="s">
        <v>1198</v>
      </c>
      <c r="K116" s="2" t="s">
        <v>1126</v>
      </c>
      <c r="L116" s="2" t="s">
        <v>575</v>
      </c>
      <c r="M116" s="2" t="s">
        <v>548</v>
      </c>
    </row>
    <row r="117" spans="1:13" x14ac:dyDescent="0.2">
      <c r="A117" s="2" t="s">
        <v>1177</v>
      </c>
      <c r="B117" s="2" t="s">
        <v>1199</v>
      </c>
      <c r="C117" s="2" t="s">
        <v>1179</v>
      </c>
      <c r="D117" s="2" t="s">
        <v>575</v>
      </c>
      <c r="E117" s="2" t="s">
        <v>1200</v>
      </c>
      <c r="I117" s="2" t="s">
        <v>1002</v>
      </c>
      <c r="J117" s="2" t="s">
        <v>1201</v>
      </c>
      <c r="K117" s="2" t="s">
        <v>1004</v>
      </c>
      <c r="L117" s="2" t="s">
        <v>575</v>
      </c>
      <c r="M117" s="2" t="s">
        <v>548</v>
      </c>
    </row>
    <row r="118" spans="1:13" x14ac:dyDescent="0.2">
      <c r="A118" s="2" t="s">
        <v>1202</v>
      </c>
      <c r="B118" s="2" t="s">
        <v>1203</v>
      </c>
      <c r="C118" s="2" t="s">
        <v>689</v>
      </c>
      <c r="D118" s="2" t="s">
        <v>575</v>
      </c>
      <c r="E118" s="2" t="s">
        <v>1204</v>
      </c>
      <c r="I118" s="2" t="s">
        <v>1205</v>
      </c>
      <c r="J118" s="2" t="s">
        <v>1206</v>
      </c>
      <c r="K118" s="2" t="s">
        <v>1207</v>
      </c>
      <c r="L118" s="2" t="s">
        <v>575</v>
      </c>
      <c r="M118" s="2" t="s">
        <v>548</v>
      </c>
    </row>
    <row r="119" spans="1:13" x14ac:dyDescent="0.2">
      <c r="A119" s="2" t="s">
        <v>986</v>
      </c>
      <c r="B119" s="2" t="s">
        <v>1208</v>
      </c>
      <c r="C119" s="2" t="s">
        <v>988</v>
      </c>
      <c r="D119" s="2" t="s">
        <v>575</v>
      </c>
      <c r="E119" s="2" t="s">
        <v>1209</v>
      </c>
      <c r="I119" s="2" t="s">
        <v>1058</v>
      </c>
      <c r="J119" s="2" t="s">
        <v>1210</v>
      </c>
      <c r="K119" s="2" t="s">
        <v>944</v>
      </c>
      <c r="L119" s="2" t="s">
        <v>575</v>
      </c>
      <c r="M119" s="2" t="s">
        <v>548</v>
      </c>
    </row>
    <row r="120" spans="1:13" x14ac:dyDescent="0.2">
      <c r="A120" s="2" t="s">
        <v>572</v>
      </c>
      <c r="B120" s="2" t="s">
        <v>1211</v>
      </c>
      <c r="C120" s="2" t="s">
        <v>574</v>
      </c>
      <c r="D120" s="2" t="s">
        <v>575</v>
      </c>
      <c r="E120" s="2" t="s">
        <v>1212</v>
      </c>
      <c r="I120" s="2" t="s">
        <v>1064</v>
      </c>
      <c r="J120" s="2" t="s">
        <v>1213</v>
      </c>
      <c r="K120" s="2" t="s">
        <v>1066</v>
      </c>
      <c r="L120" s="2" t="s">
        <v>575</v>
      </c>
      <c r="M120" s="2" t="s">
        <v>548</v>
      </c>
    </row>
    <row r="121" spans="1:13" x14ac:dyDescent="0.2">
      <c r="A121" s="2" t="s">
        <v>1214</v>
      </c>
      <c r="B121" s="2" t="s">
        <v>1215</v>
      </c>
      <c r="C121" s="2" t="s">
        <v>707</v>
      </c>
      <c r="D121" s="2" t="s">
        <v>708</v>
      </c>
      <c r="E121" s="2" t="s">
        <v>1216</v>
      </c>
      <c r="I121" s="2" t="s">
        <v>1071</v>
      </c>
      <c r="J121" s="2" t="s">
        <v>1217</v>
      </c>
      <c r="K121" s="2" t="s">
        <v>619</v>
      </c>
      <c r="L121" s="2" t="s">
        <v>575</v>
      </c>
      <c r="M121" s="2" t="s">
        <v>548</v>
      </c>
    </row>
    <row r="122" spans="1:13" x14ac:dyDescent="0.2">
      <c r="A122" s="2" t="s">
        <v>1218</v>
      </c>
      <c r="B122" s="2" t="s">
        <v>1219</v>
      </c>
      <c r="C122" s="2" t="s">
        <v>1220</v>
      </c>
      <c r="D122" s="2" t="s">
        <v>1221</v>
      </c>
      <c r="E122" s="2" t="s">
        <v>1222</v>
      </c>
      <c r="I122" s="2" t="s">
        <v>605</v>
      </c>
      <c r="J122" s="2" t="s">
        <v>1223</v>
      </c>
      <c r="K122" s="2" t="s">
        <v>607</v>
      </c>
      <c r="L122" s="2" t="s">
        <v>599</v>
      </c>
      <c r="M122" s="2" t="s">
        <v>548</v>
      </c>
    </row>
    <row r="123" spans="1:13" x14ac:dyDescent="0.2">
      <c r="A123" s="2" t="s">
        <v>1193</v>
      </c>
      <c r="B123" s="2" t="s">
        <v>1224</v>
      </c>
      <c r="C123" s="2" t="s">
        <v>1195</v>
      </c>
      <c r="D123" s="2" t="s">
        <v>575</v>
      </c>
      <c r="E123" s="2" t="s">
        <v>1225</v>
      </c>
      <c r="I123" s="2" t="s">
        <v>596</v>
      </c>
      <c r="J123" s="2" t="s">
        <v>1226</v>
      </c>
      <c r="K123" s="2" t="s">
        <v>598</v>
      </c>
      <c r="L123" s="2" t="s">
        <v>599</v>
      </c>
      <c r="M123" s="2" t="s">
        <v>548</v>
      </c>
    </row>
    <row r="124" spans="1:13" x14ac:dyDescent="0.2">
      <c r="A124" s="2" t="s">
        <v>1015</v>
      </c>
      <c r="B124" s="2" t="s">
        <v>1227</v>
      </c>
      <c r="C124" s="2" t="s">
        <v>1017</v>
      </c>
      <c r="D124" s="2" t="s">
        <v>575</v>
      </c>
      <c r="E124" s="2" t="s">
        <v>1228</v>
      </c>
      <c r="I124" s="2" t="s">
        <v>587</v>
      </c>
      <c r="J124" s="2" t="s">
        <v>1229</v>
      </c>
      <c r="K124" s="2" t="s">
        <v>589</v>
      </c>
      <c r="L124" s="2" t="s">
        <v>590</v>
      </c>
      <c r="M124" s="2" t="s">
        <v>548</v>
      </c>
    </row>
    <row r="125" spans="1:13" x14ac:dyDescent="0.2">
      <c r="A125" s="2" t="s">
        <v>1230</v>
      </c>
      <c r="B125" s="2" t="s">
        <v>1231</v>
      </c>
      <c r="C125" s="2" t="s">
        <v>1232</v>
      </c>
      <c r="D125" s="2" t="s">
        <v>575</v>
      </c>
      <c r="E125" s="2" t="s">
        <v>746</v>
      </c>
      <c r="I125" s="2" t="s">
        <v>580</v>
      </c>
      <c r="J125" s="2" t="s">
        <v>1233</v>
      </c>
      <c r="K125" s="2" t="s">
        <v>582</v>
      </c>
      <c r="L125" s="2" t="s">
        <v>575</v>
      </c>
      <c r="M125" s="2" t="s">
        <v>548</v>
      </c>
    </row>
    <row r="126" spans="1:13" x14ac:dyDescent="0.2">
      <c r="A126" s="2" t="s">
        <v>1128</v>
      </c>
      <c r="B126" s="2" t="s">
        <v>737</v>
      </c>
      <c r="C126" s="2" t="s">
        <v>1091</v>
      </c>
      <c r="D126" s="2" t="s">
        <v>575</v>
      </c>
      <c r="E126" s="2" t="s">
        <v>740</v>
      </c>
      <c r="I126" s="2" t="s">
        <v>1152</v>
      </c>
      <c r="J126" s="2" t="s">
        <v>1234</v>
      </c>
      <c r="K126" s="2" t="s">
        <v>1052</v>
      </c>
      <c r="L126" s="2" t="s">
        <v>575</v>
      </c>
      <c r="M126" s="2" t="s">
        <v>548</v>
      </c>
    </row>
    <row r="127" spans="1:13" x14ac:dyDescent="0.2">
      <c r="A127" s="2" t="s">
        <v>697</v>
      </c>
      <c r="B127" s="2" t="s">
        <v>1235</v>
      </c>
      <c r="C127" s="2" t="s">
        <v>693</v>
      </c>
      <c r="D127" s="2" t="s">
        <v>575</v>
      </c>
      <c r="E127" s="2" t="s">
        <v>1235</v>
      </c>
      <c r="I127" s="2" t="s">
        <v>913</v>
      </c>
      <c r="J127" s="2" t="s">
        <v>1236</v>
      </c>
      <c r="K127" s="2" t="s">
        <v>915</v>
      </c>
      <c r="L127" s="2" t="s">
        <v>575</v>
      </c>
      <c r="M127" s="2" t="s">
        <v>548</v>
      </c>
    </row>
    <row r="128" spans="1:13" x14ac:dyDescent="0.2">
      <c r="A128" s="2" t="s">
        <v>1133</v>
      </c>
      <c r="B128" s="2" t="s">
        <v>1237</v>
      </c>
      <c r="C128" s="2" t="s">
        <v>1135</v>
      </c>
      <c r="D128" s="2" t="s">
        <v>575</v>
      </c>
      <c r="E128" s="2" t="s">
        <v>1238</v>
      </c>
      <c r="I128" s="2" t="s">
        <v>1239</v>
      </c>
      <c r="J128" s="2" t="s">
        <v>1240</v>
      </c>
      <c r="K128" s="2" t="s">
        <v>1241</v>
      </c>
      <c r="L128" s="2" t="s">
        <v>575</v>
      </c>
      <c r="M128" s="2" t="s">
        <v>548</v>
      </c>
    </row>
    <row r="129" spans="1:13" x14ac:dyDescent="0.2">
      <c r="A129" s="2" t="s">
        <v>888</v>
      </c>
      <c r="B129" s="2" t="s">
        <v>1242</v>
      </c>
      <c r="C129" s="2" t="s">
        <v>743</v>
      </c>
      <c r="D129" s="2" t="s">
        <v>575</v>
      </c>
      <c r="E129" s="2" t="s">
        <v>837</v>
      </c>
      <c r="I129" s="2" t="s">
        <v>1243</v>
      </c>
      <c r="J129" s="2" t="s">
        <v>1244</v>
      </c>
      <c r="K129" s="2" t="s">
        <v>1245</v>
      </c>
      <c r="L129" s="2" t="s">
        <v>1246</v>
      </c>
      <c r="M129" s="2" t="s">
        <v>548</v>
      </c>
    </row>
    <row r="130" spans="1:13" x14ac:dyDescent="0.2">
      <c r="A130" s="2" t="s">
        <v>1247</v>
      </c>
      <c r="B130" s="2" t="s">
        <v>1248</v>
      </c>
      <c r="C130" s="2" t="s">
        <v>1249</v>
      </c>
      <c r="D130" s="2" t="s">
        <v>575</v>
      </c>
      <c r="E130" s="2" t="s">
        <v>1021</v>
      </c>
      <c r="I130" s="2" t="s">
        <v>1250</v>
      </c>
      <c r="J130" s="2" t="s">
        <v>1251</v>
      </c>
      <c r="K130" s="2" t="s">
        <v>1252</v>
      </c>
      <c r="L130" s="2" t="s">
        <v>1253</v>
      </c>
      <c r="M130" s="2" t="s">
        <v>548</v>
      </c>
    </row>
    <row r="131" spans="1:13" x14ac:dyDescent="0.2">
      <c r="A131" s="2" t="s">
        <v>922</v>
      </c>
      <c r="B131" s="2" t="s">
        <v>1254</v>
      </c>
      <c r="C131" s="2" t="s">
        <v>924</v>
      </c>
      <c r="D131" s="2" t="s">
        <v>925</v>
      </c>
      <c r="E131" s="2" t="s">
        <v>1255</v>
      </c>
      <c r="I131" s="2" t="s">
        <v>1256</v>
      </c>
      <c r="J131" s="2" t="s">
        <v>1257</v>
      </c>
      <c r="K131" s="2" t="s">
        <v>1258</v>
      </c>
      <c r="L131" s="2" t="s">
        <v>575</v>
      </c>
      <c r="M131" s="2" t="s">
        <v>548</v>
      </c>
    </row>
    <row r="132" spans="1:13" x14ac:dyDescent="0.2">
      <c r="A132" s="2" t="s">
        <v>928</v>
      </c>
      <c r="B132" s="2" t="s">
        <v>1259</v>
      </c>
      <c r="C132" s="2" t="s">
        <v>930</v>
      </c>
      <c r="D132" s="2" t="s">
        <v>575</v>
      </c>
      <c r="E132" s="2" t="s">
        <v>1260</v>
      </c>
      <c r="I132" s="2" t="s">
        <v>1261</v>
      </c>
      <c r="J132" s="2" t="s">
        <v>1262</v>
      </c>
      <c r="K132" s="2" t="s">
        <v>886</v>
      </c>
      <c r="L132" s="2" t="s">
        <v>887</v>
      </c>
      <c r="M132" s="2" t="s">
        <v>548</v>
      </c>
    </row>
    <row r="133" spans="1:13" x14ac:dyDescent="0.2">
      <c r="A133" s="2" t="s">
        <v>1205</v>
      </c>
      <c r="B133" s="2" t="s">
        <v>1263</v>
      </c>
      <c r="C133" s="2" t="s">
        <v>1207</v>
      </c>
      <c r="D133" s="2" t="s">
        <v>575</v>
      </c>
      <c r="E133" s="2" t="s">
        <v>1264</v>
      </c>
      <c r="I133" s="2" t="s">
        <v>1265</v>
      </c>
      <c r="J133" s="2" t="s">
        <v>1266</v>
      </c>
      <c r="K133" s="2" t="s">
        <v>1267</v>
      </c>
      <c r="L133" s="2" t="s">
        <v>575</v>
      </c>
      <c r="M133" s="2" t="s">
        <v>548</v>
      </c>
    </row>
    <row r="134" spans="1:13" x14ac:dyDescent="0.2">
      <c r="A134" s="2" t="s">
        <v>1239</v>
      </c>
      <c r="B134" s="2" t="s">
        <v>1268</v>
      </c>
      <c r="C134" s="2" t="s">
        <v>1241</v>
      </c>
      <c r="D134" s="2" t="s">
        <v>575</v>
      </c>
      <c r="E134" s="2" t="s">
        <v>1269</v>
      </c>
      <c r="I134" s="2" t="s">
        <v>1270</v>
      </c>
      <c r="J134" s="2" t="s">
        <v>1271</v>
      </c>
      <c r="K134" s="2" t="s">
        <v>1272</v>
      </c>
      <c r="L134" s="2" t="s">
        <v>575</v>
      </c>
      <c r="M134" s="2" t="s">
        <v>548</v>
      </c>
    </row>
    <row r="135" spans="1:13" x14ac:dyDescent="0.2">
      <c r="A135" s="2" t="s">
        <v>1273</v>
      </c>
      <c r="B135" s="2" t="s">
        <v>1274</v>
      </c>
      <c r="C135" s="2" t="s">
        <v>1275</v>
      </c>
      <c r="D135" s="2" t="s">
        <v>575</v>
      </c>
      <c r="E135" s="2" t="s">
        <v>1276</v>
      </c>
      <c r="I135" s="2" t="s">
        <v>1277</v>
      </c>
      <c r="J135" s="2" t="s">
        <v>1278</v>
      </c>
      <c r="K135" s="2" t="s">
        <v>712</v>
      </c>
      <c r="L135" s="2" t="s">
        <v>575</v>
      </c>
      <c r="M135" s="2" t="s">
        <v>548</v>
      </c>
    </row>
    <row r="136" spans="1:13" x14ac:dyDescent="0.2">
      <c r="A136" s="2" t="s">
        <v>1279</v>
      </c>
      <c r="B136" s="2" t="s">
        <v>1280</v>
      </c>
      <c r="C136" s="2" t="s">
        <v>1161</v>
      </c>
      <c r="D136" s="2" t="s">
        <v>575</v>
      </c>
      <c r="E136" s="2" t="s">
        <v>933</v>
      </c>
      <c r="I136" s="2" t="s">
        <v>1156</v>
      </c>
      <c r="J136" s="2" t="s">
        <v>1281</v>
      </c>
      <c r="K136" s="2" t="s">
        <v>1057</v>
      </c>
      <c r="L136" s="2" t="s">
        <v>575</v>
      </c>
      <c r="M136" s="2" t="s">
        <v>548</v>
      </c>
    </row>
    <row r="137" spans="1:13" x14ac:dyDescent="0.2">
      <c r="A137" s="2" t="s">
        <v>1164</v>
      </c>
      <c r="B137" s="2" t="s">
        <v>1282</v>
      </c>
      <c r="C137" s="2" t="s">
        <v>1166</v>
      </c>
      <c r="D137" s="2" t="s">
        <v>575</v>
      </c>
      <c r="E137" s="2" t="s">
        <v>1183</v>
      </c>
      <c r="I137" s="2" t="s">
        <v>1283</v>
      </c>
      <c r="J137" s="2" t="s">
        <v>1284</v>
      </c>
      <c r="K137" s="2" t="s">
        <v>619</v>
      </c>
      <c r="L137" s="2" t="s">
        <v>575</v>
      </c>
      <c r="M137" s="2" t="s">
        <v>548</v>
      </c>
    </row>
    <row r="138" spans="1:13" x14ac:dyDescent="0.2">
      <c r="A138" s="2" t="s">
        <v>1169</v>
      </c>
      <c r="B138" s="2" t="s">
        <v>1285</v>
      </c>
      <c r="C138" s="2" t="s">
        <v>1171</v>
      </c>
      <c r="D138" s="2" t="s">
        <v>575</v>
      </c>
      <c r="E138" s="2" t="s">
        <v>1286</v>
      </c>
      <c r="I138" s="2" t="s">
        <v>1076</v>
      </c>
      <c r="J138" s="2" t="s">
        <v>1287</v>
      </c>
      <c r="K138" s="2" t="s">
        <v>619</v>
      </c>
      <c r="L138" s="2" t="s">
        <v>575</v>
      </c>
      <c r="M138" s="2" t="s">
        <v>548</v>
      </c>
    </row>
    <row r="139" spans="1:13" x14ac:dyDescent="0.2">
      <c r="A139" s="2" t="s">
        <v>1288</v>
      </c>
      <c r="B139" s="2" t="s">
        <v>1289</v>
      </c>
      <c r="C139" s="2" t="s">
        <v>1091</v>
      </c>
      <c r="D139" s="2" t="s">
        <v>575</v>
      </c>
      <c r="E139" s="2" t="s">
        <v>1290</v>
      </c>
      <c r="I139" s="2" t="s">
        <v>1291</v>
      </c>
      <c r="J139" s="2" t="s">
        <v>1292</v>
      </c>
      <c r="K139" s="2" t="s">
        <v>556</v>
      </c>
      <c r="L139" s="2" t="s">
        <v>575</v>
      </c>
      <c r="M139" s="2" t="s">
        <v>548</v>
      </c>
    </row>
    <row r="140" spans="1:13" x14ac:dyDescent="0.2">
      <c r="A140" s="2" t="s">
        <v>1174</v>
      </c>
      <c r="B140" s="2" t="s">
        <v>1293</v>
      </c>
      <c r="C140" s="2" t="s">
        <v>957</v>
      </c>
      <c r="D140" s="2" t="s">
        <v>575</v>
      </c>
      <c r="E140" s="2" t="s">
        <v>1294</v>
      </c>
      <c r="I140" s="2" t="s">
        <v>1295</v>
      </c>
      <c r="J140" s="2" t="s">
        <v>1296</v>
      </c>
      <c r="K140" s="2" t="s">
        <v>1297</v>
      </c>
      <c r="L140" s="2" t="s">
        <v>575</v>
      </c>
      <c r="M140" s="2" t="s">
        <v>548</v>
      </c>
    </row>
    <row r="141" spans="1:13" x14ac:dyDescent="0.2">
      <c r="A141" s="2" t="s">
        <v>1291</v>
      </c>
      <c r="B141" s="2" t="s">
        <v>1298</v>
      </c>
      <c r="C141" s="2" t="s">
        <v>556</v>
      </c>
      <c r="D141" s="2" t="s">
        <v>575</v>
      </c>
      <c r="E141" s="2" t="s">
        <v>1299</v>
      </c>
      <c r="I141" s="2" t="s">
        <v>539</v>
      </c>
      <c r="J141" s="2" t="s">
        <v>1300</v>
      </c>
      <c r="K141" s="2" t="s">
        <v>1301</v>
      </c>
      <c r="L141" s="2" t="s">
        <v>542</v>
      </c>
      <c r="M141" s="2" t="s">
        <v>548</v>
      </c>
    </row>
    <row r="142" spans="1:13" x14ac:dyDescent="0.2">
      <c r="A142" s="2" t="s">
        <v>1302</v>
      </c>
      <c r="B142" s="2" t="s">
        <v>1303</v>
      </c>
      <c r="C142" s="2" t="s">
        <v>689</v>
      </c>
      <c r="D142" s="2" t="s">
        <v>575</v>
      </c>
      <c r="E142" s="2" t="s">
        <v>837</v>
      </c>
      <c r="I142" s="2" t="s">
        <v>549</v>
      </c>
      <c r="J142" s="2" t="s">
        <v>1304</v>
      </c>
      <c r="K142" s="2" t="s">
        <v>1305</v>
      </c>
      <c r="L142" s="2" t="s">
        <v>552</v>
      </c>
      <c r="M142" s="2" t="s">
        <v>548</v>
      </c>
    </row>
    <row r="143" spans="1:13" x14ac:dyDescent="0.2">
      <c r="A143" s="2" t="s">
        <v>991</v>
      </c>
      <c r="B143" s="2" t="s">
        <v>1306</v>
      </c>
      <c r="C143" s="2" t="s">
        <v>836</v>
      </c>
      <c r="D143" s="2" t="s">
        <v>575</v>
      </c>
      <c r="E143" s="2" t="s">
        <v>1307</v>
      </c>
      <c r="I143" s="2" t="s">
        <v>853</v>
      </c>
      <c r="J143" s="2" t="s">
        <v>1308</v>
      </c>
      <c r="K143" s="2" t="s">
        <v>662</v>
      </c>
      <c r="L143" s="2" t="s">
        <v>855</v>
      </c>
      <c r="M143" s="2" t="s">
        <v>548</v>
      </c>
    </row>
    <row r="144" spans="1:13" x14ac:dyDescent="0.2">
      <c r="I144" s="2" t="s">
        <v>979</v>
      </c>
      <c r="J144" s="2" t="s">
        <v>1309</v>
      </c>
      <c r="K144" s="2" t="s">
        <v>981</v>
      </c>
      <c r="L144" s="2" t="s">
        <v>575</v>
      </c>
      <c r="M144" s="2" t="s">
        <v>548</v>
      </c>
    </row>
    <row r="145" spans="9:13" x14ac:dyDescent="0.2">
      <c r="I145" s="2" t="s">
        <v>959</v>
      </c>
      <c r="J145" s="2" t="s">
        <v>1310</v>
      </c>
      <c r="K145" s="2" t="s">
        <v>961</v>
      </c>
      <c r="L145" s="2" t="s">
        <v>575</v>
      </c>
      <c r="M145" s="2" t="s">
        <v>548</v>
      </c>
    </row>
    <row r="146" spans="9:13" x14ac:dyDescent="0.2">
      <c r="I146" s="2" t="s">
        <v>1311</v>
      </c>
      <c r="J146" s="2" t="s">
        <v>1312</v>
      </c>
      <c r="K146" s="2" t="s">
        <v>1313</v>
      </c>
      <c r="L146" s="2" t="s">
        <v>575</v>
      </c>
      <c r="M146" s="2" t="s">
        <v>548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baseColWidth="10" defaultColWidth="12.5703125" defaultRowHeight="15.75" customHeight="1" x14ac:dyDescent="0.2"/>
  <sheetData>
    <row r="1" spans="1:1" x14ac:dyDescent="0.2">
      <c r="A1" s="11" t="s">
        <v>1314</v>
      </c>
    </row>
  </sheetData>
  <hyperlinks>
    <hyperlink ref="A1"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Chino</vt:lpstr>
      <vt:lpstr>Japonés</vt:lpstr>
      <vt:lpstr>Coreano</vt:lpstr>
      <vt:lpstr>Runas</vt:lpstr>
      <vt:lpstr>Copy of Runas</vt:lpstr>
      <vt:lpstr>&gt;prompts</vt:lpstr>
      <vt:lpstr>Ideas</vt:lpstr>
      <vt:lpstr>Egipcio</vt:lpstr>
      <vt:lpstr>&gt;etc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Martín Bailetti</cp:lastModifiedBy>
  <dcterms:modified xsi:type="dcterms:W3CDTF">2025-08-01T23:15:02Z</dcterms:modified>
</cp:coreProperties>
</file>