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1d6c14909dfaff/Documents/CEIOT/TTF/"/>
    </mc:Choice>
  </mc:AlternateContent>
  <xr:revisionPtr revIDLastSave="2" documentId="8_{B71E6A64-91E9-4406-965A-AACF80F6819C}" xr6:coauthVersionLast="47" xr6:coauthVersionMax="47" xr10:uidLastSave="{4993878E-4103-440C-A13D-7424D401C445}"/>
  <bookViews>
    <workbookView xWindow="29550" yWindow="-21000" windowWidth="20085" windowHeight="11370" firstSheet="1" activeTab="1" xr2:uid="{3CA09F7E-5538-4052-9A87-B27F91B9EC68}"/>
  </bookViews>
  <sheets>
    <sheet name="Prueba ESP8266 (2)" sheetId="3" r:id="rId1"/>
    <sheet name="Sheet3" sheetId="5" r:id="rId2"/>
    <sheet name="lo del tipo" sheetId="4" r:id="rId3"/>
    <sheet name="Prueba ESP8266" sheetId="2" r:id="rId4"/>
    <sheet name="Prueba ESP32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5" l="1"/>
  <c r="D22" i="5"/>
  <c r="C21" i="5"/>
  <c r="C20" i="5"/>
  <c r="D27" i="5"/>
  <c r="D26" i="5"/>
  <c r="D25" i="5"/>
  <c r="D24" i="5"/>
  <c r="D19" i="5"/>
  <c r="C27" i="5"/>
  <c r="C26" i="5"/>
  <c r="C25" i="5"/>
  <c r="C24" i="5"/>
  <c r="C23" i="5"/>
  <c r="C22" i="5"/>
  <c r="C19" i="5"/>
  <c r="U10" i="5" a="1"/>
  <c r="V10" i="5" s="1"/>
  <c r="K10" i="5"/>
  <c r="K9" i="5"/>
  <c r="K8" i="5"/>
  <c r="K7" i="5"/>
  <c r="K6" i="5"/>
  <c r="K18" i="3"/>
  <c r="H11" i="4"/>
  <c r="K11" i="4" s="1"/>
  <c r="H10" i="4"/>
  <c r="K10" i="4" s="1"/>
  <c r="H9" i="4"/>
  <c r="K9" i="4" s="1"/>
  <c r="H8" i="4"/>
  <c r="K8" i="4" s="1"/>
  <c r="H7" i="4"/>
  <c r="K7" i="4" s="1"/>
  <c r="H6" i="4"/>
  <c r="K6" i="4" s="1"/>
  <c r="H5" i="4"/>
  <c r="K5" i="4" s="1"/>
  <c r="H4" i="4"/>
  <c r="K4" i="4" s="1"/>
  <c r="H3" i="4"/>
  <c r="K3" i="4" s="1"/>
  <c r="J11" i="4"/>
  <c r="J10" i="4"/>
  <c r="J9" i="4"/>
  <c r="J8" i="4"/>
  <c r="J7" i="4"/>
  <c r="J6" i="4"/>
  <c r="J5" i="4"/>
  <c r="J4" i="4"/>
  <c r="J3" i="4"/>
  <c r="J15" i="4" s="1"/>
  <c r="O62" i="3"/>
  <c r="H14" i="3"/>
  <c r="J14" i="3" s="1"/>
  <c r="Q29" i="3"/>
  <c r="O29" i="3"/>
  <c r="F29" i="3"/>
  <c r="Q28" i="3"/>
  <c r="O28" i="3"/>
  <c r="F28" i="3"/>
  <c r="Q27" i="3"/>
  <c r="O27" i="3"/>
  <c r="F27" i="3"/>
  <c r="Q26" i="3"/>
  <c r="O26" i="3"/>
  <c r="F26" i="3"/>
  <c r="Q25" i="3"/>
  <c r="O25" i="3"/>
  <c r="F25" i="3"/>
  <c r="Q24" i="3"/>
  <c r="O24" i="3"/>
  <c r="F24" i="3"/>
  <c r="Q23" i="3"/>
  <c r="O23" i="3"/>
  <c r="F23" i="3"/>
  <c r="Q22" i="3"/>
  <c r="O22" i="3"/>
  <c r="F22" i="3"/>
  <c r="Q21" i="3"/>
  <c r="O21" i="3"/>
  <c r="F21" i="3"/>
  <c r="C17" i="3"/>
  <c r="C16" i="3"/>
  <c r="H13" i="3"/>
  <c r="J13" i="3" s="1"/>
  <c r="I6" i="3"/>
  <c r="H12" i="3"/>
  <c r="J12" i="3" s="1"/>
  <c r="H11" i="3"/>
  <c r="J11" i="3" s="1"/>
  <c r="H10" i="3"/>
  <c r="J10" i="3" s="1"/>
  <c r="H9" i="3"/>
  <c r="J9" i="3" s="1"/>
  <c r="H8" i="3"/>
  <c r="J8" i="3" s="1"/>
  <c r="H7" i="3"/>
  <c r="J7" i="3" s="1"/>
  <c r="H6" i="3"/>
  <c r="J6" i="3" s="1"/>
  <c r="H5" i="3"/>
  <c r="J5" i="3" s="1"/>
  <c r="C17" i="2"/>
  <c r="C16" i="2"/>
  <c r="J13" i="2"/>
  <c r="L13" i="2" s="1"/>
  <c r="J12" i="2"/>
  <c r="L12" i="2" s="1"/>
  <c r="J11" i="2"/>
  <c r="L11" i="2" s="1"/>
  <c r="J10" i="2"/>
  <c r="L10" i="2" s="1"/>
  <c r="J9" i="2"/>
  <c r="L9" i="2" s="1"/>
  <c r="J8" i="2"/>
  <c r="L8" i="2" s="1"/>
  <c r="J7" i="2"/>
  <c r="L7" i="2" s="1"/>
  <c r="J6" i="2"/>
  <c r="L6" i="2" s="1"/>
  <c r="J5" i="2"/>
  <c r="F5" i="2"/>
  <c r="S29" i="2"/>
  <c r="Q29" i="2"/>
  <c r="H29" i="2"/>
  <c r="S28" i="2"/>
  <c r="Q28" i="2"/>
  <c r="H28" i="2"/>
  <c r="S27" i="2"/>
  <c r="Q27" i="2"/>
  <c r="H27" i="2"/>
  <c r="S26" i="2"/>
  <c r="Q26" i="2"/>
  <c r="H26" i="2"/>
  <c r="S25" i="2"/>
  <c r="Q25" i="2"/>
  <c r="H25" i="2"/>
  <c r="S24" i="2"/>
  <c r="Q24" i="2"/>
  <c r="H24" i="2"/>
  <c r="S23" i="2"/>
  <c r="Q23" i="2"/>
  <c r="H23" i="2"/>
  <c r="S22" i="2"/>
  <c r="Q22" i="2"/>
  <c r="H22" i="2"/>
  <c r="S21" i="2"/>
  <c r="Q21" i="2"/>
  <c r="H21" i="2"/>
  <c r="C13" i="2"/>
  <c r="I13" i="1"/>
  <c r="I12" i="1"/>
  <c r="I11" i="1"/>
  <c r="I10" i="1"/>
  <c r="I9" i="1"/>
  <c r="I8" i="1"/>
  <c r="I7" i="1"/>
  <c r="I6" i="1"/>
  <c r="C13" i="1"/>
  <c r="N29" i="1"/>
  <c r="N28" i="1"/>
  <c r="N27" i="1"/>
  <c r="N26" i="1"/>
  <c r="N25" i="1"/>
  <c r="N24" i="1"/>
  <c r="N23" i="1"/>
  <c r="N22" i="1"/>
  <c r="N21" i="1"/>
  <c r="P29" i="1"/>
  <c r="P28" i="1"/>
  <c r="P27" i="1"/>
  <c r="P26" i="1"/>
  <c r="P25" i="1"/>
  <c r="P24" i="1"/>
  <c r="P23" i="1"/>
  <c r="P22" i="1"/>
  <c r="P21" i="1"/>
  <c r="F29" i="1"/>
  <c r="F28" i="1"/>
  <c r="F27" i="1"/>
  <c r="F26" i="1"/>
  <c r="F25" i="1"/>
  <c r="F24" i="1"/>
  <c r="F23" i="1"/>
  <c r="F22" i="1"/>
  <c r="F21" i="1"/>
  <c r="E8" i="1"/>
  <c r="J8" i="1" s="1"/>
  <c r="J13" i="1" l="1"/>
  <c r="J12" i="1"/>
  <c r="J11" i="1"/>
  <c r="J10" i="1"/>
  <c r="J9" i="1"/>
  <c r="J7" i="1"/>
  <c r="J6" i="1"/>
  <c r="K13" i="2"/>
  <c r="M13" i="2" s="1"/>
  <c r="K8" i="2"/>
  <c r="M8" i="2" s="1"/>
  <c r="D20" i="5"/>
  <c r="D21" i="5"/>
  <c r="U10" i="5"/>
  <c r="I8" i="3"/>
  <c r="K8" i="3" s="1"/>
  <c r="I13" i="3"/>
  <c r="K13" i="3" s="1"/>
  <c r="I14" i="3"/>
  <c r="I5" i="3"/>
  <c r="I7" i="3"/>
  <c r="K7" i="3" s="1"/>
  <c r="I11" i="3"/>
  <c r="K11" i="3" s="1"/>
  <c r="I9" i="3"/>
  <c r="K9" i="3" s="1"/>
  <c r="I10" i="3"/>
  <c r="K10" i="3" s="1"/>
  <c r="I12" i="3"/>
  <c r="K12" i="3" s="1"/>
  <c r="K6" i="3"/>
  <c r="K9" i="2"/>
  <c r="M9" i="2" s="1"/>
  <c r="K6" i="2"/>
  <c r="M6" i="2" s="1"/>
  <c r="K10" i="2"/>
  <c r="M10" i="2" s="1"/>
  <c r="K7" i="2"/>
  <c r="M7" i="2" s="1"/>
  <c r="K11" i="2"/>
  <c r="M11" i="2" s="1"/>
  <c r="K12" i="2"/>
  <c r="M12" i="2" s="1"/>
  <c r="K5" i="3" l="1"/>
  <c r="H17" i="3" a="1"/>
  <c r="H17" i="3" l="1"/>
  <c r="I17" i="3"/>
</calcChain>
</file>

<file path=xl/sharedStrings.xml><?xml version="1.0" encoding="utf-8"?>
<sst xmlns="http://schemas.openxmlformats.org/spreadsheetml/2006/main" count="136" uniqueCount="61">
  <si>
    <t>Masa del contenedor [g]</t>
  </si>
  <si>
    <t>Agua agregada [ml]</t>
  </si>
  <si>
    <t>Peso de la tierra + agua +contenedor [g]</t>
  </si>
  <si>
    <t>Lectura del sensor [V]</t>
  </si>
  <si>
    <t>Volumen de la tierra</t>
  </si>
  <si>
    <t>Inversa voltaje</t>
  </si>
  <si>
    <t>thetha</t>
  </si>
  <si>
    <t>inversa voltaje</t>
  </si>
  <si>
    <t>tetha v</t>
  </si>
  <si>
    <t>Peso de la tierra + contenedor [g]</t>
  </si>
  <si>
    <t>0 ml</t>
  </si>
  <si>
    <t>Lectura del sensor al aire [V]</t>
  </si>
  <si>
    <t>10 ml</t>
  </si>
  <si>
    <t>20 ml</t>
  </si>
  <si>
    <t>Densidad del agua [kg/m3]</t>
  </si>
  <si>
    <t>30 ml</t>
  </si>
  <si>
    <t>40 ml</t>
  </si>
  <si>
    <t>Masa de tierra seca [g]</t>
  </si>
  <si>
    <t>50 ml</t>
  </si>
  <si>
    <t>60 ml</t>
  </si>
  <si>
    <t>Densidad de la tierra [g/cm^3]</t>
  </si>
  <si>
    <t>70 ml</t>
  </si>
  <si>
    <t>80 ML</t>
  </si>
  <si>
    <t>slope</t>
  </si>
  <si>
    <t>intercept</t>
  </si>
  <si>
    <t>Funcion linear</t>
  </si>
  <si>
    <t>X</t>
  </si>
  <si>
    <t>Y</t>
  </si>
  <si>
    <t>cant agua</t>
  </si>
  <si>
    <t>vol</t>
  </si>
  <si>
    <t>agua</t>
  </si>
  <si>
    <t>calib</t>
  </si>
  <si>
    <t>sensor1</t>
  </si>
  <si>
    <t>sensor2</t>
  </si>
  <si>
    <t>1 sobre v</t>
  </si>
  <si>
    <t>Sensor calibrado</t>
  </si>
  <si>
    <t>sensor 1</t>
  </si>
  <si>
    <t>1er punto</t>
  </si>
  <si>
    <t>seco</t>
  </si>
  <si>
    <t>ultimo</t>
  </si>
  <si>
    <t>20ml</t>
  </si>
  <si>
    <t>30ml</t>
  </si>
  <si>
    <t>40ml</t>
  </si>
  <si>
    <t>aprox linear</t>
  </si>
  <si>
    <t>50ml</t>
  </si>
  <si>
    <t>60ml</t>
  </si>
  <si>
    <t>Agua</t>
  </si>
  <si>
    <t>medicion</t>
  </si>
  <si>
    <t>aproximacion</t>
  </si>
  <si>
    <t>solo 2 puntos</t>
  </si>
  <si>
    <t>x</t>
  </si>
  <si>
    <t>y</t>
  </si>
  <si>
    <t>peso tacho</t>
  </si>
  <si>
    <t>Peso con tacho</t>
  </si>
  <si>
    <t>peso sin tacho</t>
  </si>
  <si>
    <t>V</t>
  </si>
  <si>
    <t>1/v</t>
  </si>
  <si>
    <t>masa suelo seco</t>
  </si>
  <si>
    <t>densidad de suelo</t>
  </si>
  <si>
    <t>Peso de la tierra + 
contenedor [g] +
 sensor [g]</t>
  </si>
  <si>
    <t>peso con tierra agregada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</si>
</sst>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18" fontId="0" fillId="2" borderId="0" xfId="0" applyNumberFormat="1" applyFill="1"/>
    <xf numFmtId="20" fontId="0" fillId="2" borderId="0" xfId="0" applyNumberFormat="1" applyFill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/>
    <xf numFmtId="2" fontId="0" fillId="2" borderId="1" xfId="0" applyNumberFormat="1" applyFill="1" applyBorder="1"/>
    <xf numFmtId="164" fontId="0" fillId="2" borderId="2" xfId="0" applyNumberFormat="1" applyFill="1" applyBorder="1"/>
    <xf numFmtId="164" fontId="0" fillId="2" borderId="0" xfId="0" applyNumberFormat="1" applyFill="1"/>
    <xf numFmtId="166" fontId="0" fillId="2" borderId="0" xfId="0" applyNumberFormat="1" applyFill="1"/>
    <xf numFmtId="0" fontId="0" fillId="2" borderId="0" xfId="0" applyFill="1" applyAlignment="1">
      <alignment horizontal="right"/>
    </xf>
    <xf numFmtId="2" fontId="0" fillId="0" borderId="0" xfId="0" applyNumberFormat="1"/>
    <xf numFmtId="9" fontId="0" fillId="0" borderId="0" xfId="1" applyFont="1"/>
    <xf numFmtId="165" fontId="0" fillId="0" borderId="0" xfId="0" applyNumberFormat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714280580999632E-2"/>
          <c:y val="0.16865761154644199"/>
          <c:w val="0.8686430979561961"/>
          <c:h val="0.725853997375483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ESP8266 (2)'!$K$4</c:f>
              <c:strCache>
                <c:ptCount val="1"/>
                <c:pt idx="0">
                  <c:v>tetha 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'Prueba ESP8266 (2)'!$J$5:$J$114</c:f>
              <c:numCache>
                <c:formatCode>0.000</c:formatCode>
                <c:ptCount val="110"/>
                <c:pt idx="0">
                  <c:v>0.45454545454545453</c:v>
                </c:pt>
                <c:pt idx="1">
                  <c:v>0.47619047619047616</c:v>
                </c:pt>
                <c:pt idx="2">
                  <c:v>0.51282051282051289</c:v>
                </c:pt>
                <c:pt idx="3">
                  <c:v>0.5524861878453039</c:v>
                </c:pt>
                <c:pt idx="4">
                  <c:v>0.56818181818181823</c:v>
                </c:pt>
                <c:pt idx="5">
                  <c:v>0.58139534883720934</c:v>
                </c:pt>
                <c:pt idx="6">
                  <c:v>0.625</c:v>
                </c:pt>
                <c:pt idx="7">
                  <c:v>0.68965517241379315</c:v>
                </c:pt>
                <c:pt idx="8">
                  <c:v>0.76923076923076916</c:v>
                </c:pt>
                <c:pt idx="9" formatCode="General">
                  <c:v>0.77519379844961234</c:v>
                </c:pt>
              </c:numCache>
            </c:numRef>
          </c:xVal>
          <c:yVal>
            <c:numRef>
              <c:f>'Prueba ESP8266 (2)'!$K$5:$K$114</c:f>
              <c:numCache>
                <c:formatCode>0.000</c:formatCode>
                <c:ptCount val="110"/>
                <c:pt idx="0">
                  <c:v>0.18741039873547338</c:v>
                </c:pt>
                <c:pt idx="1">
                  <c:v>0.22528317938107512</c:v>
                </c:pt>
                <c:pt idx="2">
                  <c:v>0.24210852452645892</c:v>
                </c:pt>
                <c:pt idx="3">
                  <c:v>0.28098956555530463</c:v>
                </c:pt>
                <c:pt idx="4">
                  <c:v>0.28899263234730366</c:v>
                </c:pt>
                <c:pt idx="5">
                  <c:v>0.32421872948689001</c:v>
                </c:pt>
                <c:pt idx="6">
                  <c:v>0.35333224805305963</c:v>
                </c:pt>
                <c:pt idx="7">
                  <c:v>0.41760884748486293</c:v>
                </c:pt>
                <c:pt idx="8">
                  <c:v>0.44867587054356783</c:v>
                </c:pt>
                <c:pt idx="13" formatCode="General">
                  <c:v>0.21222222222222223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8C-4DCF-BE51-0C0171B2E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27103"/>
        <c:axId val="1368019423"/>
      </c:scatterChart>
      <c:valAx>
        <c:axId val="136802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19423"/>
        <c:crosses val="autoZero"/>
        <c:crossBetween val="midCat"/>
      </c:valAx>
      <c:valAx>
        <c:axId val="136801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2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Dispersión de mediciones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Sheet3!$L$4</c:f>
              <c:strCache>
                <c:ptCount val="1"/>
                <c:pt idx="0">
                  <c:v>calib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Sheet3!$K$5:$K$10</c:f>
              <c:numCache>
                <c:formatCode>0.00</c:formatCode>
                <c:ptCount val="6"/>
                <c:pt idx="0">
                  <c:v>0</c:v>
                </c:pt>
                <c:pt idx="1">
                  <c:v>4.7619047619047619</c:v>
                </c:pt>
                <c:pt idx="2">
                  <c:v>9.0909090909090917</c:v>
                </c:pt>
                <c:pt idx="3">
                  <c:v>13.043478260869565</c:v>
                </c:pt>
                <c:pt idx="4">
                  <c:v>16.666666666666664</c:v>
                </c:pt>
                <c:pt idx="5">
                  <c:v>20</c:v>
                </c:pt>
              </c:numCache>
            </c:numRef>
          </c:cat>
          <c:val>
            <c:numRef>
              <c:f>Sheet3!$L$5:$L$10</c:f>
              <c:numCache>
                <c:formatCode>General</c:formatCode>
                <c:ptCount val="6"/>
                <c:pt idx="0">
                  <c:v>30</c:v>
                </c:pt>
                <c:pt idx="1">
                  <c:v>43</c:v>
                </c:pt>
                <c:pt idx="2">
                  <c:v>60</c:v>
                </c:pt>
                <c:pt idx="3">
                  <c:v>64</c:v>
                </c:pt>
                <c:pt idx="4">
                  <c:v>75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10-4863-A8DA-215CAD62A161}"/>
            </c:ext>
          </c:extLst>
        </c:ser>
        <c:ser>
          <c:idx val="1"/>
          <c:order val="1"/>
          <c:tx>
            <c:strRef>
              <c:f>Sheet3!$M$4</c:f>
              <c:strCache>
                <c:ptCount val="1"/>
                <c:pt idx="0">
                  <c:v>sensor1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Sheet3!$K$5:$K$10</c:f>
              <c:numCache>
                <c:formatCode>0.00</c:formatCode>
                <c:ptCount val="6"/>
                <c:pt idx="0">
                  <c:v>0</c:v>
                </c:pt>
                <c:pt idx="1">
                  <c:v>4.7619047619047619</c:v>
                </c:pt>
                <c:pt idx="2">
                  <c:v>9.0909090909090917</c:v>
                </c:pt>
                <c:pt idx="3">
                  <c:v>13.043478260869565</c:v>
                </c:pt>
                <c:pt idx="4">
                  <c:v>16.666666666666664</c:v>
                </c:pt>
                <c:pt idx="5">
                  <c:v>20</c:v>
                </c:pt>
              </c:numCache>
            </c:numRef>
          </c:cat>
          <c:val>
            <c:numRef>
              <c:f>Sheet3!$M$5:$M$10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28</c:v>
                </c:pt>
                <c:pt idx="3">
                  <c:v>66</c:v>
                </c:pt>
                <c:pt idx="4">
                  <c:v>94</c:v>
                </c:pt>
                <c:pt idx="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10-4863-A8DA-215CAD62A161}"/>
            </c:ext>
          </c:extLst>
        </c:ser>
        <c:ser>
          <c:idx val="2"/>
          <c:order val="2"/>
          <c:tx>
            <c:strRef>
              <c:f>Sheet3!$N$4</c:f>
              <c:strCache>
                <c:ptCount val="1"/>
                <c:pt idx="0">
                  <c:v>sensor2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Sheet3!$K$5:$K$10</c:f>
              <c:numCache>
                <c:formatCode>0.00</c:formatCode>
                <c:ptCount val="6"/>
                <c:pt idx="0">
                  <c:v>0</c:v>
                </c:pt>
                <c:pt idx="1">
                  <c:v>4.7619047619047619</c:v>
                </c:pt>
                <c:pt idx="2">
                  <c:v>9.0909090909090917</c:v>
                </c:pt>
                <c:pt idx="3">
                  <c:v>13.043478260869565</c:v>
                </c:pt>
                <c:pt idx="4">
                  <c:v>16.666666666666664</c:v>
                </c:pt>
                <c:pt idx="5">
                  <c:v>20</c:v>
                </c:pt>
              </c:numCache>
            </c:numRef>
          </c:cat>
          <c:val>
            <c:numRef>
              <c:f>Sheet3!$N$5:$N$10</c:f>
              <c:numCache>
                <c:formatCode>General</c:formatCode>
                <c:ptCount val="6"/>
                <c:pt idx="0">
                  <c:v>27</c:v>
                </c:pt>
                <c:pt idx="1">
                  <c:v>26</c:v>
                </c:pt>
                <c:pt idx="2">
                  <c:v>27</c:v>
                </c:pt>
                <c:pt idx="3">
                  <c:v>42</c:v>
                </c:pt>
                <c:pt idx="4">
                  <c:v>81</c:v>
                </c:pt>
                <c:pt idx="5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10-4863-A8DA-215CAD62A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0900655"/>
        <c:axId val="1950901135"/>
      </c:lineChart>
      <c:catAx>
        <c:axId val="195090065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901135"/>
        <c:crosses val="autoZero"/>
        <c:auto val="1"/>
        <c:lblAlgn val="ctr"/>
        <c:lblOffset val="100"/>
        <c:noMultiLvlLbl val="0"/>
      </c:catAx>
      <c:valAx>
        <c:axId val="195090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90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Sheet3!$C$18</c:f>
              <c:strCache>
                <c:ptCount val="1"/>
                <c:pt idx="0">
                  <c:v>medicion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Sheet3!$B$19:$B$27</c:f>
              <c:numCache>
                <c:formatCode>0.00000</c:formatCode>
                <c:ptCount val="9"/>
                <c:pt idx="0">
                  <c:v>0.45454545454545453</c:v>
                </c:pt>
                <c:pt idx="1">
                  <c:v>0.47619047619047616</c:v>
                </c:pt>
                <c:pt idx="2">
                  <c:v>0.51282051282051289</c:v>
                </c:pt>
                <c:pt idx="3">
                  <c:v>0.5524861878453039</c:v>
                </c:pt>
                <c:pt idx="4">
                  <c:v>0.56818181818181823</c:v>
                </c:pt>
                <c:pt idx="5">
                  <c:v>0.58139534883720934</c:v>
                </c:pt>
                <c:pt idx="6">
                  <c:v>0.625</c:v>
                </c:pt>
                <c:pt idx="7">
                  <c:v>0.68965517241379315</c:v>
                </c:pt>
                <c:pt idx="8">
                  <c:v>0.76923076923076916</c:v>
                </c:pt>
              </c:numCache>
            </c:numRef>
          </c:xVal>
          <c:yVal>
            <c:numRef>
              <c:f>Sheet3!$C$19:$C$27</c:f>
              <c:numCache>
                <c:formatCode>0.00000</c:formatCode>
                <c:ptCount val="9"/>
                <c:pt idx="0">
                  <c:v>0.19703540567997702</c:v>
                </c:pt>
                <c:pt idx="1">
                  <c:v>0.21621554490456385</c:v>
                </c:pt>
                <c:pt idx="2">
                  <c:v>0.24867424205386468</c:v>
                </c:pt>
                <c:pt idx="3">
                  <c:v>0.28382288648073178</c:v>
                </c:pt>
                <c:pt idx="4">
                  <c:v>0.29773113660905787</c:v>
                </c:pt>
                <c:pt idx="5">
                  <c:v>0.30943994253104395</c:v>
                </c:pt>
                <c:pt idx="6">
                  <c:v>0.34807900207359826</c:v>
                </c:pt>
                <c:pt idx="7">
                  <c:v>0.40537140070566141</c:v>
                </c:pt>
                <c:pt idx="8">
                  <c:v>0.47588512209896988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56-4611-8C82-027123BBE196}"/>
            </c:ext>
          </c:extLst>
        </c:ser>
        <c:ser>
          <c:idx val="1"/>
          <c:order val="1"/>
          <c:tx>
            <c:strRef>
              <c:f>Sheet3!$D$18</c:f>
              <c:strCache>
                <c:ptCount val="1"/>
                <c:pt idx="0">
                  <c:v>aproximacion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Sheet3!$B$19:$B$27</c:f>
              <c:numCache>
                <c:formatCode>0.00000</c:formatCode>
                <c:ptCount val="9"/>
                <c:pt idx="0">
                  <c:v>0.45454545454545453</c:v>
                </c:pt>
                <c:pt idx="1">
                  <c:v>0.47619047619047616</c:v>
                </c:pt>
                <c:pt idx="2">
                  <c:v>0.51282051282051289</c:v>
                </c:pt>
                <c:pt idx="3">
                  <c:v>0.5524861878453039</c:v>
                </c:pt>
                <c:pt idx="4">
                  <c:v>0.56818181818181823</c:v>
                </c:pt>
                <c:pt idx="5">
                  <c:v>0.58139534883720934</c:v>
                </c:pt>
                <c:pt idx="6">
                  <c:v>0.625</c:v>
                </c:pt>
                <c:pt idx="7">
                  <c:v>0.68965517241379315</c:v>
                </c:pt>
                <c:pt idx="8">
                  <c:v>0.76923076923076916</c:v>
                </c:pt>
              </c:numCache>
            </c:numRef>
          </c:xVal>
          <c:yVal>
            <c:numRef>
              <c:f>Sheet3!$D$19:$D$27</c:f>
              <c:numCache>
                <c:formatCode>0.00000</c:formatCode>
                <c:ptCount val="9"/>
                <c:pt idx="0">
                  <c:v>0.18741039873547344</c:v>
                </c:pt>
                <c:pt idx="1">
                  <c:v>0.2081606585889817</c:v>
                </c:pt>
                <c:pt idx="2">
                  <c:v>0.24327648295645732</c:v>
                </c:pt>
                <c:pt idx="3">
                  <c:v>0.28130245851460756</c:v>
                </c:pt>
                <c:pt idx="4">
                  <c:v>0.29634926296639186</c:v>
                </c:pt>
                <c:pt idx="5">
                  <c:v>0.30901657276068473</c:v>
                </c:pt>
                <c:pt idx="6">
                  <c:v>0.35081869508185104</c:v>
                </c:pt>
                <c:pt idx="7">
                  <c:v>0.41280115231668402</c:v>
                </c:pt>
                <c:pt idx="8">
                  <c:v>0.4890872535287859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56-4611-8C82-027123BBE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292895"/>
        <c:axId val="1823293855"/>
      </c:scatterChart>
      <c:valAx>
        <c:axId val="182329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293855"/>
        <c:crosses val="autoZero"/>
        <c:crossBetween val="midCat"/>
      </c:valAx>
      <c:valAx>
        <c:axId val="182329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292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714280580999632E-2"/>
          <c:y val="0.16865761154644199"/>
          <c:w val="0.8686430979561961"/>
          <c:h val="0.725853997375483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ESP8266'!$M$5</c:f>
              <c:strCache>
                <c:ptCount val="1"/>
                <c:pt idx="0">
                  <c:v>tetha 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'Prueba ESP8266'!$L$6:$L$13</c:f>
              <c:numCache>
                <c:formatCode>0.000</c:formatCode>
                <c:ptCount val="8"/>
                <c:pt idx="0">
                  <c:v>0.45248868778280543</c:v>
                </c:pt>
                <c:pt idx="1">
                  <c:v>0.50505050505050508</c:v>
                </c:pt>
                <c:pt idx="2">
                  <c:v>0.96153846153846145</c:v>
                </c:pt>
                <c:pt idx="3">
                  <c:v>1.0416666666666667</c:v>
                </c:pt>
                <c:pt idx="4">
                  <c:v>1.0526315789473684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'Prueba ESP8266'!$M$6:$M$13</c:f>
              <c:numCache>
                <c:formatCode>0.000</c:formatCode>
                <c:ptCount val="8"/>
                <c:pt idx="0">
                  <c:v>5.0150451354062181E-2</c:v>
                </c:pt>
                <c:pt idx="1">
                  <c:v>0.11534603811434302</c:v>
                </c:pt>
                <c:pt idx="2">
                  <c:v>0.21564694082246738</c:v>
                </c:pt>
                <c:pt idx="3">
                  <c:v>0.26579739217652953</c:v>
                </c:pt>
                <c:pt idx="4">
                  <c:v>0.3309929789368104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41-4F4F-9DF8-1CD5C71CD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27103"/>
        <c:axId val="1368019423"/>
      </c:scatterChart>
      <c:valAx>
        <c:axId val="136802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19423"/>
        <c:crosses val="autoZero"/>
        <c:crossBetween val="midCat"/>
      </c:valAx>
      <c:valAx>
        <c:axId val="136801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2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714280580999632E-2"/>
          <c:y val="0.16865761154644199"/>
          <c:w val="0.8686430979561961"/>
          <c:h val="0.725853997375483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ESP32'!$J$5</c:f>
              <c:strCache>
                <c:ptCount val="1"/>
                <c:pt idx="0">
                  <c:v>tetha 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'Prueba ESP32'!$I$6:$I$13</c:f>
              <c:numCache>
                <c:formatCode>General</c:formatCode>
                <c:ptCount val="8"/>
                <c:pt idx="0">
                  <c:v>0.42194092827004215</c:v>
                </c:pt>
                <c:pt idx="1">
                  <c:v>0.50761421319796951</c:v>
                </c:pt>
                <c:pt idx="2">
                  <c:v>1.0869565217391304</c:v>
                </c:pt>
                <c:pt idx="3">
                  <c:v>1.1494252873563218</c:v>
                </c:pt>
                <c:pt idx="4">
                  <c:v>1.1627906976744187</c:v>
                </c:pt>
                <c:pt idx="5">
                  <c:v>1.1904761904761905</c:v>
                </c:pt>
                <c:pt idx="6">
                  <c:v>1.1764705882352942</c:v>
                </c:pt>
                <c:pt idx="7">
                  <c:v>1.2048192771084338</c:v>
                </c:pt>
              </c:numCache>
            </c:numRef>
          </c:xVal>
          <c:yVal>
            <c:numRef>
              <c:f>'Prueba ESP32'!$J$6:$J$13</c:f>
              <c:numCache>
                <c:formatCode>General</c:formatCode>
                <c:ptCount val="8"/>
                <c:pt idx="0">
                  <c:v>5.0150451354062188E-2</c:v>
                </c:pt>
                <c:pt idx="1">
                  <c:v>0.10030090270812438</c:v>
                </c:pt>
                <c:pt idx="2">
                  <c:v>0.13039117352056168</c:v>
                </c:pt>
                <c:pt idx="3">
                  <c:v>0.1905717151454363</c:v>
                </c:pt>
                <c:pt idx="4">
                  <c:v>0.25075225677031093</c:v>
                </c:pt>
                <c:pt idx="5">
                  <c:v>0.2958876629889669</c:v>
                </c:pt>
                <c:pt idx="6">
                  <c:v>0.34603811434302906</c:v>
                </c:pt>
                <c:pt idx="7">
                  <c:v>0.39618856569709127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49-48D0-AD2E-6F72D4DD9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27103"/>
        <c:axId val="1368019423"/>
      </c:scatterChart>
      <c:valAx>
        <c:axId val="136802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19423"/>
        <c:crosses val="autoZero"/>
        <c:crossBetween val="midCat"/>
      </c:valAx>
      <c:valAx>
        <c:axId val="136801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2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137783</xdr:rowOff>
    </xdr:from>
    <xdr:to>
      <xdr:col>9</xdr:col>
      <xdr:colOff>95492</xdr:colOff>
      <xdr:row>33</xdr:row>
      <xdr:rowOff>147722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387912-6614-41F6-A92C-863010058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0</xdr:colOff>
      <xdr:row>37</xdr:row>
      <xdr:rowOff>0</xdr:rowOff>
    </xdr:from>
    <xdr:to>
      <xdr:col>11</xdr:col>
      <xdr:colOff>62025</xdr:colOff>
      <xdr:row>75</xdr:row>
      <xdr:rowOff>179149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7B18D8-655A-06AF-46FC-F364315B4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3341" y="6974541"/>
          <a:ext cx="6830378" cy="69923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91440</xdr:colOff>
      <xdr:row>22</xdr:row>
      <xdr:rowOff>30480</xdr:rowOff>
    </xdr:from>
    <xdr:to>
      <xdr:col>23</xdr:col>
      <xdr:colOff>160020</xdr:colOff>
      <xdr:row>37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AAEAAD-381F-C338-D433-3650E5FBF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426720</xdr:colOff>
      <xdr:row>13</xdr:row>
      <xdr:rowOff>15240</xdr:rowOff>
    </xdr:from>
    <xdr:to>
      <xdr:col>13</xdr:col>
      <xdr:colOff>121920</xdr:colOff>
      <xdr:row>28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013601-4365-49D2-1F00-E25A61EE9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1452671</xdr:colOff>
      <xdr:row>18</xdr:row>
      <xdr:rowOff>137783</xdr:rowOff>
    </xdr:from>
    <xdr:to>
      <xdr:col>11</xdr:col>
      <xdr:colOff>95492</xdr:colOff>
      <xdr:row>33</xdr:row>
      <xdr:rowOff>147722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B1DFE4-DCE1-41C8-BCF3-0C7BA3CAD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430695</xdr:colOff>
      <xdr:row>18</xdr:row>
      <xdr:rowOff>3313</xdr:rowOff>
    </xdr:from>
    <xdr:to>
      <xdr:col>9</xdr:col>
      <xdr:colOff>1126434</xdr:colOff>
      <xdr:row>33</xdr:row>
      <xdr:rowOff>13252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0BDDAE-3C90-328E-D409-7940B6A7E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BB5F-48A7-4288-BFFE-BD9F6F38FF06}">
  <dimension ref="C3:S62"/>
  <sheetViews>
    <sheetView topLeftCell="C4" zoomScale="85" zoomScaleNormal="85" workbookViewId="0">
      <selection activeCell="H5" sqref="H5:H14"/>
    </sheetView>
  </sheetViews>
  <sheetFormatPr defaultColWidth="9" defaultRowHeight="14.45"/>
  <cols>
    <col min="1" max="2" width="9" style="1"/>
    <col min="3" max="3" width="27.28515625" style="1" bestFit="1" customWidth="1"/>
    <col min="4" max="4" width="12.85546875" style="1" customWidth="1"/>
    <col min="5" max="5" width="14.42578125" style="1" customWidth="1"/>
    <col min="6" max="6" width="12.42578125" style="1" customWidth="1"/>
    <col min="7" max="7" width="10.42578125" style="1" customWidth="1"/>
    <col min="8" max="11" width="18.85546875" style="1" customWidth="1"/>
    <col min="12" max="13" width="9" style="1"/>
    <col min="14" max="14" width="27.28515625" style="1" bestFit="1" customWidth="1"/>
    <col min="15" max="15" width="27.28515625" style="1" customWidth="1"/>
    <col min="16" max="16" width="30.140625" style="1" bestFit="1" customWidth="1"/>
    <col min="17" max="17" width="19.85546875" style="1" bestFit="1" customWidth="1"/>
    <col min="18" max="18" width="18.85546875" style="1" bestFit="1" customWidth="1"/>
    <col min="19" max="16384" width="9" style="1"/>
  </cols>
  <sheetData>
    <row r="3" spans="3:19" ht="7.9" customHeight="1"/>
    <row r="4" spans="3:19" ht="47.45" customHeight="1"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2" t="s">
        <v>6</v>
      </c>
      <c r="J4" s="1" t="s">
        <v>7</v>
      </c>
      <c r="K4" s="1" t="s">
        <v>8</v>
      </c>
      <c r="N4" s="2" t="s">
        <v>0</v>
      </c>
      <c r="O4" s="2" t="s">
        <v>1</v>
      </c>
      <c r="P4" s="2" t="s">
        <v>9</v>
      </c>
      <c r="Q4" s="2" t="s">
        <v>3</v>
      </c>
      <c r="R4" s="2" t="s">
        <v>4</v>
      </c>
    </row>
    <row r="5" spans="3:19">
      <c r="C5" s="2">
        <v>8.59</v>
      </c>
      <c r="D5" s="2" t="s">
        <v>10</v>
      </c>
      <c r="E5" s="2">
        <v>67.94</v>
      </c>
      <c r="F5" s="7">
        <v>2.2000000000000002</v>
      </c>
      <c r="G5" s="2">
        <v>200</v>
      </c>
      <c r="H5" s="6">
        <f>1/F5</f>
        <v>0.45454545454545453</v>
      </c>
      <c r="I5" s="6">
        <f>((E5-$C$11)/$C$11)*($C$13/($C$9/1000))</f>
        <v>0.18741039873547338</v>
      </c>
      <c r="J5" s="8">
        <f>H5</f>
        <v>0.45454545454545453</v>
      </c>
      <c r="K5" s="9">
        <f>I5</f>
        <v>0.18741039873547338</v>
      </c>
      <c r="N5" s="2">
        <v>8</v>
      </c>
      <c r="O5" s="2"/>
      <c r="P5" s="2">
        <v>58</v>
      </c>
      <c r="Q5" s="2">
        <v>2.4</v>
      </c>
      <c r="R5" s="2">
        <v>200</v>
      </c>
    </row>
    <row r="6" spans="3:19">
      <c r="C6" s="2" t="s">
        <v>11</v>
      </c>
      <c r="D6" s="2" t="s">
        <v>12</v>
      </c>
      <c r="E6" s="2">
        <v>73.95</v>
      </c>
      <c r="F6" s="7">
        <v>2.1</v>
      </c>
      <c r="G6" s="2"/>
      <c r="H6" s="6">
        <f t="shared" ref="H6:H8" si="0">1/F6</f>
        <v>0.47619047619047616</v>
      </c>
      <c r="I6" s="6">
        <f>((E6-$C$11)/$C$11)*($C$13/($C$9/1000))</f>
        <v>0.22528317938107512</v>
      </c>
      <c r="J6" s="8">
        <f>H6</f>
        <v>0.47619047619047616</v>
      </c>
      <c r="K6" s="9">
        <f>I6</f>
        <v>0.22528317938107512</v>
      </c>
      <c r="L6" s="3">
        <v>0.67222222222222217</v>
      </c>
      <c r="N6" s="2" t="s">
        <v>11</v>
      </c>
      <c r="O6" s="2">
        <v>20</v>
      </c>
      <c r="P6" s="2">
        <v>77</v>
      </c>
      <c r="Q6" s="2">
        <v>0.95</v>
      </c>
      <c r="R6" s="2"/>
      <c r="S6" s="4">
        <v>0.16666666666666666</v>
      </c>
    </row>
    <row r="7" spans="3:19">
      <c r="C7" s="2">
        <v>2.25</v>
      </c>
      <c r="D7" s="2" t="s">
        <v>13</v>
      </c>
      <c r="E7" s="2">
        <v>76.62</v>
      </c>
      <c r="F7" s="7">
        <v>1.95</v>
      </c>
      <c r="G7" s="2"/>
      <c r="H7" s="6">
        <f t="shared" si="0"/>
        <v>0.51282051282051289</v>
      </c>
      <c r="I7" s="6">
        <f t="shared" ref="I7:I14" si="1">((E7-$C$11)/$C$11)*($C$13/($C$9/1000))</f>
        <v>0.24210852452645892</v>
      </c>
      <c r="J7" s="8">
        <f t="shared" ref="J7:K14" si="2">H7</f>
        <v>0.51282051282051289</v>
      </c>
      <c r="K7" s="9">
        <f t="shared" si="2"/>
        <v>0.24210852452645892</v>
      </c>
      <c r="L7" s="4">
        <v>0.18680555555555556</v>
      </c>
      <c r="N7" s="2">
        <v>2.4300000000000002</v>
      </c>
      <c r="O7" s="2">
        <v>30</v>
      </c>
      <c r="P7" s="2">
        <v>87</v>
      </c>
      <c r="Q7" s="2"/>
      <c r="R7" s="2"/>
      <c r="S7" s="4">
        <v>0.18819444444444444</v>
      </c>
    </row>
    <row r="8" spans="3:19">
      <c r="C8" s="2" t="s">
        <v>14</v>
      </c>
      <c r="D8" s="2" t="s">
        <v>15</v>
      </c>
      <c r="E8" s="2">
        <v>82.79</v>
      </c>
      <c r="F8" s="7">
        <v>1.81</v>
      </c>
      <c r="G8" s="2"/>
      <c r="H8" s="6">
        <f t="shared" si="0"/>
        <v>0.5524861878453039</v>
      </c>
      <c r="I8" s="6">
        <f t="shared" si="1"/>
        <v>0.28098956555530463</v>
      </c>
      <c r="J8" s="8">
        <f t="shared" si="2"/>
        <v>0.5524861878453039</v>
      </c>
      <c r="K8" s="9">
        <f t="shared" si="2"/>
        <v>0.28098956555530463</v>
      </c>
      <c r="L8" s="4">
        <v>0.19999999999999998</v>
      </c>
      <c r="N8" s="2" t="s">
        <v>14</v>
      </c>
      <c r="O8" s="2"/>
      <c r="P8" s="2"/>
      <c r="Q8" s="2"/>
      <c r="R8" s="2"/>
    </row>
    <row r="9" spans="3:19">
      <c r="C9" s="2">
        <v>997</v>
      </c>
      <c r="D9" s="2" t="s">
        <v>16</v>
      </c>
      <c r="E9" s="2">
        <v>84.06</v>
      </c>
      <c r="F9" s="7">
        <v>1.76</v>
      </c>
      <c r="G9" s="2"/>
      <c r="H9" s="6">
        <f>IFERROR(1/F9,0)</f>
        <v>0.56818181818181823</v>
      </c>
      <c r="I9" s="6">
        <f t="shared" si="1"/>
        <v>0.28899263234730366</v>
      </c>
      <c r="J9" s="8">
        <f t="shared" si="2"/>
        <v>0.56818181818181823</v>
      </c>
      <c r="K9" s="9">
        <f t="shared" si="2"/>
        <v>0.28899263234730366</v>
      </c>
      <c r="L9" s="4">
        <v>0.20972222222222223</v>
      </c>
      <c r="N9" s="2">
        <v>997</v>
      </c>
      <c r="O9" s="2"/>
      <c r="P9" s="2"/>
      <c r="Q9" s="2"/>
      <c r="R9" s="2"/>
    </row>
    <row r="10" spans="3:19">
      <c r="C10" s="2" t="s">
        <v>17</v>
      </c>
      <c r="D10" s="2" t="s">
        <v>18</v>
      </c>
      <c r="E10" s="2">
        <v>89.65</v>
      </c>
      <c r="F10" s="7">
        <v>1.72</v>
      </c>
      <c r="G10" s="2"/>
      <c r="H10" s="6">
        <f t="shared" ref="H10:H14" si="3">IFERROR(1/F10,0)</f>
        <v>0.58139534883720934</v>
      </c>
      <c r="I10" s="6">
        <f t="shared" si="1"/>
        <v>0.32421872948689001</v>
      </c>
      <c r="J10" s="8">
        <f t="shared" si="2"/>
        <v>0.58139534883720934</v>
      </c>
      <c r="K10" s="9">
        <f t="shared" si="2"/>
        <v>0.32421872948689001</v>
      </c>
      <c r="L10" s="4">
        <v>0.22916666666666666</v>
      </c>
      <c r="N10" s="2" t="s">
        <v>17</v>
      </c>
      <c r="O10" s="2"/>
      <c r="P10" s="2"/>
      <c r="Q10" s="2"/>
      <c r="R10" s="2"/>
    </row>
    <row r="11" spans="3:19">
      <c r="C11" s="2">
        <v>38.200000000000003</v>
      </c>
      <c r="D11" s="2" t="s">
        <v>19</v>
      </c>
      <c r="E11" s="2">
        <v>94.27</v>
      </c>
      <c r="F11" s="7">
        <v>1.6</v>
      </c>
      <c r="G11" s="2"/>
      <c r="H11" s="6">
        <f t="shared" si="3"/>
        <v>0.625</v>
      </c>
      <c r="I11" s="6">
        <f t="shared" si="1"/>
        <v>0.35333224805305963</v>
      </c>
      <c r="J11" s="8">
        <f t="shared" si="2"/>
        <v>0.625</v>
      </c>
      <c r="K11" s="9">
        <f t="shared" si="2"/>
        <v>0.35333224805305963</v>
      </c>
      <c r="L11" s="4">
        <v>0.23611111111111113</v>
      </c>
      <c r="N11" s="2">
        <v>50</v>
      </c>
      <c r="O11" s="2"/>
      <c r="P11" s="2"/>
      <c r="Q11" s="2"/>
      <c r="R11" s="2"/>
    </row>
    <row r="12" spans="3:19">
      <c r="C12" s="2" t="s">
        <v>20</v>
      </c>
      <c r="D12" s="2" t="s">
        <v>21</v>
      </c>
      <c r="E12" s="2">
        <v>104.47</v>
      </c>
      <c r="F12" s="7">
        <v>1.45</v>
      </c>
      <c r="G12" s="2"/>
      <c r="H12" s="6">
        <f t="shared" si="3"/>
        <v>0.68965517241379315</v>
      </c>
      <c r="I12" s="6">
        <f t="shared" si="1"/>
        <v>0.41760884748486293</v>
      </c>
      <c r="J12" s="8">
        <f t="shared" si="2"/>
        <v>0.68965517241379315</v>
      </c>
      <c r="K12" s="9">
        <f t="shared" si="2"/>
        <v>0.41760884748486293</v>
      </c>
      <c r="L12" s="4">
        <v>0.24305555555555555</v>
      </c>
      <c r="N12" s="2" t="s">
        <v>20</v>
      </c>
      <c r="O12" s="2"/>
      <c r="P12" s="2"/>
      <c r="Q12" s="2"/>
      <c r="R12" s="2"/>
    </row>
    <row r="13" spans="3:19">
      <c r="C13" s="2">
        <v>0.24</v>
      </c>
      <c r="D13" s="2" t="s">
        <v>22</v>
      </c>
      <c r="E13" s="2">
        <v>109.4</v>
      </c>
      <c r="F13" s="7">
        <v>1.3</v>
      </c>
      <c r="G13" s="2"/>
      <c r="H13" s="6">
        <f t="shared" si="3"/>
        <v>0.76923076923076916</v>
      </c>
      <c r="I13" s="6">
        <f t="shared" si="1"/>
        <v>0.44867587054356783</v>
      </c>
      <c r="J13" s="8">
        <f t="shared" si="2"/>
        <v>0.76923076923076916</v>
      </c>
      <c r="K13" s="9">
        <f t="shared" si="2"/>
        <v>0.44867587054356783</v>
      </c>
      <c r="L13" s="4">
        <v>0.25</v>
      </c>
      <c r="N13" s="2"/>
      <c r="O13" s="2"/>
      <c r="P13" s="2"/>
      <c r="Q13" s="2"/>
      <c r="R13" s="2"/>
    </row>
    <row r="14" spans="3:19">
      <c r="E14" s="1">
        <v>116.72</v>
      </c>
      <c r="F14" s="1">
        <v>1.29</v>
      </c>
      <c r="H14" s="9">
        <f t="shared" si="3"/>
        <v>0.77519379844961234</v>
      </c>
      <c r="I14" s="6">
        <f t="shared" si="1"/>
        <v>0.49480378307697959</v>
      </c>
      <c r="J14" s="1">
        <f t="shared" si="2"/>
        <v>0.77519379844961234</v>
      </c>
    </row>
    <row r="16" spans="3:19">
      <c r="C16" s="1">
        <f>1/0.352263</f>
        <v>2.8387880645994614</v>
      </c>
      <c r="F16"/>
      <c r="G16"/>
      <c r="H16" t="s">
        <v>23</v>
      </c>
      <c r="I16" t="s">
        <v>24</v>
      </c>
    </row>
    <row r="17" spans="3:17">
      <c r="C17" s="1">
        <f>1/0.091</f>
        <v>10.989010989010989</v>
      </c>
      <c r="F17"/>
      <c r="G17" t="s">
        <v>25</v>
      </c>
      <c r="H17" s="1">
        <f t="array" ref="H17:I17">LINEST(I5:I14,H5:H14)</f>
        <v>0.88612243217591091</v>
      </c>
      <c r="I17" s="1">
        <v>-0.20574751803634611</v>
      </c>
    </row>
    <row r="18" spans="3:17">
      <c r="F18"/>
      <c r="G18"/>
      <c r="H18"/>
      <c r="I18"/>
      <c r="K18" s="1">
        <f>38.2/180</f>
        <v>0.21222222222222223</v>
      </c>
    </row>
    <row r="21" spans="3:17">
      <c r="E21" s="2">
        <v>2.4</v>
      </c>
      <c r="F21" s="1">
        <f>1/E21</f>
        <v>0.41666666666666669</v>
      </c>
      <c r="N21" s="1">
        <v>10</v>
      </c>
      <c r="O21" s="1">
        <f>N21/200</f>
        <v>0.05</v>
      </c>
      <c r="P21" s="1">
        <v>2.96</v>
      </c>
      <c r="Q21" s="1">
        <f>1/P21</f>
        <v>0.33783783783783783</v>
      </c>
    </row>
    <row r="22" spans="3:17">
      <c r="E22" s="2">
        <v>2.37</v>
      </c>
      <c r="F22" s="1">
        <f>1/E22</f>
        <v>0.42194092827004215</v>
      </c>
      <c r="N22" s="1">
        <v>20</v>
      </c>
      <c r="O22" s="1">
        <f t="shared" ref="O22:O29" si="4">N22/200</f>
        <v>0.1</v>
      </c>
      <c r="P22" s="1">
        <v>2.9</v>
      </c>
      <c r="Q22" s="1">
        <f t="shared" ref="Q22:Q29" si="5">1/P22</f>
        <v>0.34482758620689657</v>
      </c>
    </row>
    <row r="23" spans="3:17">
      <c r="E23" s="2">
        <v>1.97</v>
      </c>
      <c r="F23" s="1">
        <f>1/E23</f>
        <v>0.50761421319796951</v>
      </c>
      <c r="N23" s="1">
        <v>30</v>
      </c>
      <c r="O23" s="1">
        <f t="shared" si="4"/>
        <v>0.15</v>
      </c>
      <c r="P23" s="1">
        <v>2.94</v>
      </c>
      <c r="Q23" s="1">
        <f t="shared" si="5"/>
        <v>0.3401360544217687</v>
      </c>
    </row>
    <row r="24" spans="3:17">
      <c r="E24" s="2">
        <v>0.92</v>
      </c>
      <c r="F24" s="1">
        <f>1/E24</f>
        <v>1.0869565217391304</v>
      </c>
      <c r="N24" s="1">
        <v>40</v>
      </c>
      <c r="O24" s="1">
        <f t="shared" si="4"/>
        <v>0.2</v>
      </c>
      <c r="P24" s="1">
        <v>2.78</v>
      </c>
      <c r="Q24" s="1">
        <f t="shared" si="5"/>
        <v>0.35971223021582738</v>
      </c>
    </row>
    <row r="25" spans="3:17">
      <c r="E25" s="2">
        <v>0.87</v>
      </c>
      <c r="F25" s="1">
        <f>1/E25</f>
        <v>1.1494252873563218</v>
      </c>
      <c r="N25" s="1">
        <v>50</v>
      </c>
      <c r="O25" s="1">
        <f t="shared" si="4"/>
        <v>0.25</v>
      </c>
      <c r="P25" s="1">
        <v>2.4300000000000002</v>
      </c>
      <c r="Q25" s="1">
        <f t="shared" si="5"/>
        <v>0.41152263374485593</v>
      </c>
    </row>
    <row r="26" spans="3:17">
      <c r="E26" s="2">
        <v>0.86</v>
      </c>
      <c r="F26" s="1">
        <f>1/E26</f>
        <v>1.1627906976744187</v>
      </c>
      <c r="N26" s="1">
        <v>60</v>
      </c>
      <c r="O26" s="1">
        <f t="shared" si="4"/>
        <v>0.3</v>
      </c>
      <c r="P26" s="1">
        <v>2.08</v>
      </c>
      <c r="Q26" s="1">
        <f t="shared" si="5"/>
        <v>0.48076923076923073</v>
      </c>
    </row>
    <row r="27" spans="3:17">
      <c r="E27" s="2">
        <v>0.84</v>
      </c>
      <c r="F27" s="1">
        <f>1/E27</f>
        <v>1.1904761904761905</v>
      </c>
      <c r="N27" s="1">
        <v>70</v>
      </c>
      <c r="O27" s="1">
        <f t="shared" si="4"/>
        <v>0.35</v>
      </c>
      <c r="P27" s="1">
        <v>2.04</v>
      </c>
      <c r="Q27" s="1">
        <f t="shared" si="5"/>
        <v>0.49019607843137253</v>
      </c>
    </row>
    <row r="28" spans="3:17">
      <c r="E28" s="2">
        <v>0.85</v>
      </c>
      <c r="F28" s="1">
        <f>1/E28</f>
        <v>1.1764705882352942</v>
      </c>
      <c r="N28" s="1">
        <v>80</v>
      </c>
      <c r="O28" s="1">
        <f t="shared" si="4"/>
        <v>0.4</v>
      </c>
      <c r="P28" s="1">
        <v>2.0099999999999998</v>
      </c>
      <c r="Q28" s="1">
        <f t="shared" si="5"/>
        <v>0.49751243781094534</v>
      </c>
    </row>
    <row r="29" spans="3:17">
      <c r="E29" s="2">
        <v>0.83</v>
      </c>
      <c r="F29" s="1">
        <f>1/E29</f>
        <v>1.2048192771084338</v>
      </c>
      <c r="N29" s="1">
        <v>90</v>
      </c>
      <c r="O29" s="1">
        <f t="shared" si="4"/>
        <v>0.45</v>
      </c>
      <c r="P29" s="1">
        <v>1.81</v>
      </c>
      <c r="Q29" s="1">
        <f t="shared" si="5"/>
        <v>0.5524861878453039</v>
      </c>
    </row>
    <row r="48" spans="15:16">
      <c r="O48" s="11" t="s">
        <v>26</v>
      </c>
      <c r="P48" s="11" t="s">
        <v>27</v>
      </c>
    </row>
    <row r="49" spans="15:16">
      <c r="O49" s="10">
        <v>0.47619047619047616</v>
      </c>
      <c r="P49" s="10">
        <v>3.0140421263791399E-2</v>
      </c>
    </row>
    <row r="50" spans="15:16">
      <c r="O50" s="10">
        <v>0.51282051282051289</v>
      </c>
      <c r="P50" s="10">
        <v>4.3530591775326012E-2</v>
      </c>
    </row>
    <row r="51" spans="15:16">
      <c r="O51" s="10">
        <v>0.5524861878453039</v>
      </c>
      <c r="P51" s="10">
        <v>7.447342026078238E-2</v>
      </c>
    </row>
    <row r="52" spans="15:16">
      <c r="O52" s="10">
        <v>0.56818181818181823</v>
      </c>
      <c r="P52" s="10">
        <v>8.0842527582748264E-2</v>
      </c>
    </row>
    <row r="53" spans="15:16">
      <c r="O53" s="10">
        <v>0.58139534883720934</v>
      </c>
      <c r="P53" s="10">
        <v>0.10887662988966905</v>
      </c>
    </row>
    <row r="54" spans="15:16">
      <c r="O54" s="10">
        <v>0.625</v>
      </c>
      <c r="P54" s="10">
        <v>0.13204613841524573</v>
      </c>
    </row>
    <row r="55" spans="15:16">
      <c r="O55" s="10">
        <v>0.68965517241379315</v>
      </c>
      <c r="P55" s="10">
        <v>0.18319959879638917</v>
      </c>
    </row>
    <row r="56" spans="15:16">
      <c r="O56" s="10">
        <v>0.76923076923076916</v>
      </c>
      <c r="P56" s="10">
        <v>0.20792377131394185</v>
      </c>
    </row>
    <row r="57" spans="15:16">
      <c r="O57" s="10">
        <v>0.77519379844961234</v>
      </c>
      <c r="P57" s="10">
        <v>0.24463390170511534</v>
      </c>
    </row>
    <row r="62" spans="15:16">
      <c r="O62" s="1">
        <f>LINEST((P49:P57),O49:O57,TRUE)</f>
        <v>0.69171129574359136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A7D1-79BB-4E87-9FE6-F2A71E45A451}">
  <dimension ref="B4:V28"/>
  <sheetViews>
    <sheetView tabSelected="1" topLeftCell="A3" workbookViewId="0">
      <selection activeCell="F26" sqref="F26"/>
    </sheetView>
  </sheetViews>
  <sheetFormatPr defaultRowHeight="14.45"/>
  <cols>
    <col min="3" max="3" width="14.7109375" bestFit="1" customWidth="1"/>
    <col min="4" max="4" width="11.5703125" bestFit="1" customWidth="1"/>
    <col min="20" max="20" width="12.28515625" bestFit="1" customWidth="1"/>
  </cols>
  <sheetData>
    <row r="4" spans="2:22"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U4" t="s">
        <v>34</v>
      </c>
      <c r="V4" t="s">
        <v>6</v>
      </c>
    </row>
    <row r="5" spans="2:22">
      <c r="C5" t="s">
        <v>35</v>
      </c>
      <c r="D5" t="s">
        <v>36</v>
      </c>
      <c r="E5" t="s">
        <v>33</v>
      </c>
      <c r="I5">
        <v>0</v>
      </c>
      <c r="J5">
        <v>200</v>
      </c>
      <c r="K5" s="12">
        <v>0</v>
      </c>
      <c r="L5">
        <v>30</v>
      </c>
      <c r="M5">
        <v>9</v>
      </c>
      <c r="N5">
        <v>27</v>
      </c>
      <c r="T5" t="s">
        <v>37</v>
      </c>
      <c r="U5">
        <v>0.45454545454545453</v>
      </c>
      <c r="V5">
        <v>0.18741039873547338</v>
      </c>
    </row>
    <row r="6" spans="2:22">
      <c r="B6" t="s">
        <v>38</v>
      </c>
      <c r="C6" s="12">
        <v>0.3</v>
      </c>
      <c r="D6" s="13">
        <v>0.09</v>
      </c>
      <c r="E6" s="13">
        <v>0.27</v>
      </c>
      <c r="I6">
        <v>10</v>
      </c>
      <c r="J6">
        <v>210</v>
      </c>
      <c r="K6" s="12">
        <f>I6/J6*100</f>
        <v>4.7619047619047619</v>
      </c>
      <c r="L6">
        <v>43</v>
      </c>
      <c r="M6">
        <v>8</v>
      </c>
      <c r="N6">
        <v>26</v>
      </c>
      <c r="T6" t="s">
        <v>39</v>
      </c>
      <c r="U6">
        <v>0.77519379844961234</v>
      </c>
      <c r="V6">
        <v>0.49480378307697959</v>
      </c>
    </row>
    <row r="7" spans="2:22">
      <c r="B7" t="s">
        <v>12</v>
      </c>
      <c r="C7" s="12">
        <v>0.43</v>
      </c>
      <c r="D7" s="13">
        <v>0.08</v>
      </c>
      <c r="E7" s="13">
        <v>0.26</v>
      </c>
      <c r="I7">
        <v>20</v>
      </c>
      <c r="J7">
        <v>220</v>
      </c>
      <c r="K7" s="12">
        <f t="shared" ref="K7:K10" si="0">I7/J7*100</f>
        <v>9.0909090909090917</v>
      </c>
      <c r="L7">
        <v>60</v>
      </c>
      <c r="M7">
        <v>28</v>
      </c>
      <c r="N7">
        <v>27</v>
      </c>
    </row>
    <row r="8" spans="2:22">
      <c r="B8" t="s">
        <v>40</v>
      </c>
      <c r="C8" s="12">
        <v>0.6</v>
      </c>
      <c r="D8" s="13">
        <v>0.28000000000000003</v>
      </c>
      <c r="E8" s="13">
        <v>0.27</v>
      </c>
      <c r="I8">
        <v>30</v>
      </c>
      <c r="J8">
        <v>230</v>
      </c>
      <c r="K8" s="12">
        <f t="shared" si="0"/>
        <v>13.043478260869565</v>
      </c>
      <c r="L8">
        <v>64</v>
      </c>
      <c r="M8">
        <v>66</v>
      </c>
      <c r="N8">
        <v>42</v>
      </c>
    </row>
    <row r="9" spans="2:22">
      <c r="B9" t="s">
        <v>41</v>
      </c>
      <c r="C9" s="12">
        <v>0.64</v>
      </c>
      <c r="D9" s="13">
        <v>0.66</v>
      </c>
      <c r="E9" s="13">
        <v>0.42</v>
      </c>
      <c r="I9">
        <v>40</v>
      </c>
      <c r="J9">
        <v>240</v>
      </c>
      <c r="K9" s="12">
        <f t="shared" si="0"/>
        <v>16.666666666666664</v>
      </c>
      <c r="L9">
        <v>75</v>
      </c>
      <c r="M9">
        <v>94</v>
      </c>
      <c r="N9">
        <v>81</v>
      </c>
    </row>
    <row r="10" spans="2:22">
      <c r="B10" t="s">
        <v>42</v>
      </c>
      <c r="C10" s="12">
        <v>0.75</v>
      </c>
      <c r="D10" s="13">
        <v>0.94</v>
      </c>
      <c r="E10" s="13">
        <v>0.81</v>
      </c>
      <c r="I10">
        <v>50</v>
      </c>
      <c r="J10">
        <v>250</v>
      </c>
      <c r="K10" s="12">
        <f t="shared" si="0"/>
        <v>20</v>
      </c>
      <c r="L10">
        <v>80</v>
      </c>
      <c r="M10">
        <v>98</v>
      </c>
      <c r="N10">
        <v>86</v>
      </c>
      <c r="T10" t="s">
        <v>43</v>
      </c>
      <c r="U10">
        <f t="array" ref="U10:V10">LINEST(V5:V6,U5:U6,TRUE,TRUE)</f>
        <v>0.958662005232082</v>
      </c>
      <c r="V10">
        <v>-0.24834505818820019</v>
      </c>
    </row>
    <row r="11" spans="2:22">
      <c r="B11" t="s">
        <v>44</v>
      </c>
      <c r="C11" s="12">
        <v>0.8</v>
      </c>
      <c r="D11" s="13">
        <v>0.98</v>
      </c>
      <c r="E11" s="13">
        <v>0.86</v>
      </c>
    </row>
    <row r="12" spans="2:22">
      <c r="B12" t="s">
        <v>45</v>
      </c>
      <c r="C12" s="12"/>
      <c r="D12" s="13"/>
      <c r="E12" s="13"/>
    </row>
    <row r="15" spans="2:22">
      <c r="T15" s="15"/>
      <c r="U15" s="15" t="s">
        <v>23</v>
      </c>
      <c r="V15" s="15" t="s">
        <v>24</v>
      </c>
    </row>
    <row r="16" spans="2:22">
      <c r="T16" s="15" t="s">
        <v>25</v>
      </c>
      <c r="U16" s="15">
        <v>0.88612243217591091</v>
      </c>
      <c r="V16" s="15">
        <v>-0.20574751803634611</v>
      </c>
    </row>
    <row r="17" spans="2:22">
      <c r="T17" s="15"/>
      <c r="U17" s="15"/>
      <c r="V17" s="15"/>
    </row>
    <row r="18" spans="2:22">
      <c r="B18" t="s">
        <v>46</v>
      </c>
      <c r="C18" t="s">
        <v>47</v>
      </c>
      <c r="D18" t="s">
        <v>48</v>
      </c>
      <c r="T18" s="15" t="s">
        <v>49</v>
      </c>
      <c r="U18" s="15">
        <v>0.958662005232082</v>
      </c>
      <c r="V18" s="15">
        <v>-0.24834505818820019</v>
      </c>
    </row>
    <row r="19" spans="2:22">
      <c r="B19" s="14">
        <v>0.45454545454545453</v>
      </c>
      <c r="C19" s="14">
        <f>B19*$U$16+$V$16</f>
        <v>0.19703540567997702</v>
      </c>
      <c r="D19" s="14">
        <f>B19*$U$18+$V$18</f>
        <v>0.18741039873547344</v>
      </c>
    </row>
    <row r="20" spans="2:22">
      <c r="B20" s="14">
        <v>0.47619047619047616</v>
      </c>
      <c r="C20" s="14">
        <f t="shared" ref="C20:C28" si="1">B20*$U$16+$V$16</f>
        <v>0.21621554490456385</v>
      </c>
      <c r="D20" s="14">
        <f t="shared" ref="D20:D28" si="2">B20*$U$18+$V$18</f>
        <v>0.2081606585889817</v>
      </c>
    </row>
    <row r="21" spans="2:22">
      <c r="B21" s="14">
        <v>0.51282051282051289</v>
      </c>
      <c r="C21" s="14">
        <f t="shared" si="1"/>
        <v>0.24867424205386468</v>
      </c>
      <c r="D21" s="14">
        <f t="shared" si="2"/>
        <v>0.24327648295645732</v>
      </c>
    </row>
    <row r="22" spans="2:22">
      <c r="B22" s="14">
        <v>0.5524861878453039</v>
      </c>
      <c r="C22" s="14">
        <f t="shared" si="1"/>
        <v>0.28382288648073178</v>
      </c>
      <c r="D22" s="14">
        <f t="shared" si="2"/>
        <v>0.28130245851460756</v>
      </c>
    </row>
    <row r="23" spans="2:22">
      <c r="B23" s="14">
        <v>0.56818181818181823</v>
      </c>
      <c r="C23" s="14">
        <f t="shared" si="1"/>
        <v>0.29773113660905787</v>
      </c>
      <c r="D23" s="14">
        <f t="shared" si="2"/>
        <v>0.29634926296639186</v>
      </c>
    </row>
    <row r="24" spans="2:22">
      <c r="B24" s="14">
        <v>0.58139534883720934</v>
      </c>
      <c r="C24" s="14">
        <f t="shared" si="1"/>
        <v>0.30943994253104395</v>
      </c>
      <c r="D24" s="14">
        <f t="shared" si="2"/>
        <v>0.30901657276068473</v>
      </c>
    </row>
    <row r="25" spans="2:22">
      <c r="B25" s="14">
        <v>0.625</v>
      </c>
      <c r="C25" s="14">
        <f t="shared" si="1"/>
        <v>0.34807900207359826</v>
      </c>
      <c r="D25" s="14">
        <f t="shared" si="2"/>
        <v>0.35081869508185104</v>
      </c>
    </row>
    <row r="26" spans="2:22">
      <c r="B26" s="14">
        <v>0.68965517241379315</v>
      </c>
      <c r="C26" s="14">
        <f t="shared" si="1"/>
        <v>0.40537140070566141</v>
      </c>
      <c r="D26" s="14">
        <f t="shared" si="2"/>
        <v>0.41280115231668402</v>
      </c>
    </row>
    <row r="27" spans="2:22">
      <c r="B27" s="14">
        <v>0.76923076923076916</v>
      </c>
      <c r="C27" s="14">
        <f t="shared" si="1"/>
        <v>0.47588512209896988</v>
      </c>
      <c r="D27" s="14">
        <f t="shared" si="2"/>
        <v>0.4890872535287859</v>
      </c>
    </row>
    <row r="28" spans="2:22">
      <c r="B28" s="14">
        <v>0.77519379844961234</v>
      </c>
      <c r="C28" s="14"/>
      <c r="D28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A339-699A-4305-8A03-BAA6D95869F1}">
  <dimension ref="E1:K15"/>
  <sheetViews>
    <sheetView workbookViewId="0">
      <selection activeCell="C30" sqref="C30"/>
    </sheetView>
  </sheetViews>
  <sheetFormatPr defaultRowHeight="14.45"/>
  <cols>
    <col min="5" max="5" width="15.5703125" bestFit="1" customWidth="1"/>
  </cols>
  <sheetData>
    <row r="1" spans="5:11">
      <c r="J1" t="s">
        <v>50</v>
      </c>
      <c r="K1" t="s">
        <v>51</v>
      </c>
    </row>
    <row r="2" spans="5:11">
      <c r="E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6</v>
      </c>
    </row>
    <row r="3" spans="5:11">
      <c r="E3">
        <v>22.75</v>
      </c>
      <c r="G3">
        <v>62.78</v>
      </c>
      <c r="H3">
        <f>G3-$E$3</f>
        <v>40.03</v>
      </c>
      <c r="I3">
        <v>2.96</v>
      </c>
      <c r="J3">
        <f>1/I3</f>
        <v>0.33783783783783783</v>
      </c>
      <c r="K3">
        <f>(H3-$E$7)/$E$7 *($E$9/($E$5/1000))</f>
        <v>6.870611835506521E-2</v>
      </c>
    </row>
    <row r="4" spans="5:11">
      <c r="E4" t="s">
        <v>30</v>
      </c>
      <c r="G4">
        <v>71.510000000000005</v>
      </c>
      <c r="H4">
        <f t="shared" ref="H4:H11" si="0">G4-$E$3</f>
        <v>48.760000000000005</v>
      </c>
      <c r="I4">
        <v>2.9</v>
      </c>
      <c r="J4">
        <f t="shared" ref="J4:J11" si="1">1/I4</f>
        <v>0.34482758620689657</v>
      </c>
      <c r="K4">
        <f t="shared" ref="K4:K11" si="2">(H4-$E$7)/$E$7 *($E$9/($E$5/1000))</f>
        <v>0.11248746238716154</v>
      </c>
    </row>
    <row r="5" spans="5:11">
      <c r="E5">
        <v>997</v>
      </c>
      <c r="G5">
        <v>82.41</v>
      </c>
      <c r="H5">
        <f t="shared" si="0"/>
        <v>59.66</v>
      </c>
      <c r="I5">
        <v>2.94</v>
      </c>
      <c r="J5">
        <f t="shared" si="1"/>
        <v>0.3401360544217687</v>
      </c>
      <c r="K5">
        <f t="shared" si="2"/>
        <v>0.16715145436308926</v>
      </c>
    </row>
    <row r="6" spans="5:11">
      <c r="E6" t="s">
        <v>57</v>
      </c>
      <c r="G6">
        <v>96.94</v>
      </c>
      <c r="H6">
        <f t="shared" si="0"/>
        <v>74.19</v>
      </c>
      <c r="I6">
        <v>2.78</v>
      </c>
      <c r="J6">
        <f t="shared" si="1"/>
        <v>0.35971223021582738</v>
      </c>
      <c r="K6">
        <f t="shared" si="2"/>
        <v>0.24002006018054162</v>
      </c>
    </row>
    <row r="7" spans="5:11">
      <c r="E7">
        <v>26.33</v>
      </c>
      <c r="G7">
        <v>109.22</v>
      </c>
      <c r="H7">
        <f t="shared" si="0"/>
        <v>86.47</v>
      </c>
      <c r="I7">
        <v>2.4300000000000002</v>
      </c>
      <c r="J7">
        <f t="shared" si="1"/>
        <v>0.41152263374485593</v>
      </c>
      <c r="K7">
        <f t="shared" si="2"/>
        <v>0.30160481444332998</v>
      </c>
    </row>
    <row r="8" spans="5:11">
      <c r="E8" t="s">
        <v>58</v>
      </c>
      <c r="G8">
        <v>132.37</v>
      </c>
      <c r="H8">
        <f t="shared" si="0"/>
        <v>109.62</v>
      </c>
      <c r="I8">
        <v>2.08</v>
      </c>
      <c r="J8">
        <f t="shared" si="1"/>
        <v>0.48076923076923073</v>
      </c>
      <c r="K8">
        <f t="shared" si="2"/>
        <v>0.41770310932798399</v>
      </c>
    </row>
    <row r="9" spans="5:11">
      <c r="E9">
        <v>0.13164999999999999</v>
      </c>
      <c r="G9">
        <v>138.9</v>
      </c>
      <c r="H9">
        <f t="shared" si="0"/>
        <v>116.15</v>
      </c>
      <c r="I9">
        <v>2.04</v>
      </c>
      <c r="J9">
        <f t="shared" si="1"/>
        <v>0.49019607843137253</v>
      </c>
      <c r="K9">
        <f t="shared" si="2"/>
        <v>0.45045135406218662</v>
      </c>
    </row>
    <row r="10" spans="5:11">
      <c r="G10">
        <v>159.02000000000001</v>
      </c>
      <c r="H10">
        <f t="shared" si="0"/>
        <v>136.27000000000001</v>
      </c>
      <c r="I10">
        <v>2.0099999999999998</v>
      </c>
      <c r="J10">
        <f t="shared" si="1"/>
        <v>0.49751243781094534</v>
      </c>
      <c r="K10">
        <f t="shared" si="2"/>
        <v>0.5513540621865598</v>
      </c>
    </row>
    <row r="11" spans="5:11">
      <c r="G11">
        <v>186.75</v>
      </c>
      <c r="H11">
        <f t="shared" si="0"/>
        <v>164</v>
      </c>
      <c r="I11">
        <v>1.81</v>
      </c>
      <c r="J11">
        <f t="shared" si="1"/>
        <v>0.5524861878453039</v>
      </c>
      <c r="K11">
        <f t="shared" si="2"/>
        <v>0.69042126379137414</v>
      </c>
    </row>
    <row r="15" spans="5:11">
      <c r="J15">
        <f>LINEST(K3:K11,J3:J11,TRUE)</f>
        <v>2.4768838558099118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393D-B2A1-4BC4-9050-E58CC0A802EA}">
  <dimension ref="C3:U29"/>
  <sheetViews>
    <sheetView topLeftCell="C3" zoomScale="85" zoomScaleNormal="85" workbookViewId="0">
      <selection activeCell="D8" sqref="D8"/>
    </sheetView>
  </sheetViews>
  <sheetFormatPr defaultColWidth="9" defaultRowHeight="14.45"/>
  <cols>
    <col min="1" max="2" width="9" style="1"/>
    <col min="3" max="3" width="27.28515625" style="1" bestFit="1" customWidth="1"/>
    <col min="4" max="4" width="7.85546875" style="1" customWidth="1"/>
    <col min="5" max="5" width="7.28515625" style="1" customWidth="1"/>
    <col min="6" max="6" width="22.28515625" style="1" customWidth="1"/>
    <col min="7" max="7" width="14.140625" style="1" customWidth="1"/>
    <col min="8" max="8" width="12.42578125" style="1" customWidth="1"/>
    <col min="9" max="9" width="5.5703125" style="1" customWidth="1"/>
    <col min="10" max="13" width="18.85546875" style="1" customWidth="1"/>
    <col min="14" max="15" width="9" style="1"/>
    <col min="16" max="16" width="27.28515625" style="1" bestFit="1" customWidth="1"/>
    <col min="17" max="17" width="27.28515625" style="1" customWidth="1"/>
    <col min="18" max="18" width="30.140625" style="1" bestFit="1" customWidth="1"/>
    <col min="19" max="19" width="19.85546875" style="1" bestFit="1" customWidth="1"/>
    <col min="20" max="20" width="18.85546875" style="1" bestFit="1" customWidth="1"/>
    <col min="21" max="16384" width="9" style="1"/>
  </cols>
  <sheetData>
    <row r="3" spans="3:21" ht="7.9" customHeight="1"/>
    <row r="4" spans="3:21" ht="47.45" customHeight="1">
      <c r="C4" s="2" t="s">
        <v>0</v>
      </c>
      <c r="D4" s="2" t="s">
        <v>1</v>
      </c>
      <c r="E4" s="2" t="s">
        <v>9</v>
      </c>
      <c r="F4" s="5" t="s">
        <v>59</v>
      </c>
      <c r="G4" s="5" t="s">
        <v>60</v>
      </c>
      <c r="H4" s="2" t="s">
        <v>3</v>
      </c>
      <c r="I4" s="2" t="s">
        <v>4</v>
      </c>
      <c r="J4" s="2" t="s">
        <v>5</v>
      </c>
      <c r="K4" s="2" t="s">
        <v>6</v>
      </c>
      <c r="P4" s="2" t="s">
        <v>0</v>
      </c>
      <c r="Q4" s="2" t="s">
        <v>1</v>
      </c>
      <c r="R4" s="2" t="s">
        <v>9</v>
      </c>
      <c r="S4" s="2" t="s">
        <v>3</v>
      </c>
      <c r="T4" s="2" t="s">
        <v>4</v>
      </c>
    </row>
    <row r="5" spans="3:21">
      <c r="C5" s="2">
        <v>9</v>
      </c>
      <c r="D5" s="2" t="s">
        <v>10</v>
      </c>
      <c r="E5" s="2">
        <v>60</v>
      </c>
      <c r="F5" s="2">
        <f>E5+9</f>
        <v>69</v>
      </c>
      <c r="G5" s="2"/>
      <c r="H5" s="7">
        <v>2.4</v>
      </c>
      <c r="I5" s="2">
        <v>200</v>
      </c>
      <c r="J5" s="6">
        <f>1/H5</f>
        <v>0.41666666666666669</v>
      </c>
      <c r="K5" s="6"/>
      <c r="L5" s="1" t="s">
        <v>7</v>
      </c>
      <c r="M5" s="1" t="s">
        <v>8</v>
      </c>
      <c r="P5" s="2">
        <v>8</v>
      </c>
      <c r="Q5" s="2"/>
      <c r="R5" s="2">
        <v>58</v>
      </c>
      <c r="S5" s="2">
        <v>2.4</v>
      </c>
      <c r="T5" s="2">
        <v>200</v>
      </c>
    </row>
    <row r="6" spans="3:21">
      <c r="C6" s="2" t="s">
        <v>11</v>
      </c>
      <c r="D6" s="2" t="s">
        <v>12</v>
      </c>
      <c r="E6" s="2">
        <v>70</v>
      </c>
      <c r="F6" s="2">
        <v>79</v>
      </c>
      <c r="G6" s="2"/>
      <c r="H6" s="7">
        <v>2.21</v>
      </c>
      <c r="I6" s="2"/>
      <c r="J6" s="6">
        <f t="shared" ref="J6:J8" si="0">1/H6</f>
        <v>0.45248868778280543</v>
      </c>
      <c r="K6" s="6">
        <f>((E6-$E$5)/$C$11)*($C$13/($C$9/1000))</f>
        <v>5.0150451354062181E-2</v>
      </c>
      <c r="L6" s="8">
        <f>J6</f>
        <v>0.45248868778280543</v>
      </c>
      <c r="M6" s="9">
        <f>K6</f>
        <v>5.0150451354062181E-2</v>
      </c>
      <c r="N6" s="3">
        <v>0.67222222222222217</v>
      </c>
      <c r="P6" s="2" t="s">
        <v>11</v>
      </c>
      <c r="Q6" s="2">
        <v>20</v>
      </c>
      <c r="R6" s="2">
        <v>77</v>
      </c>
      <c r="S6" s="2">
        <v>0.95</v>
      </c>
      <c r="T6" s="2"/>
      <c r="U6" s="4">
        <v>0.16666666666666666</v>
      </c>
    </row>
    <row r="7" spans="3:21">
      <c r="C7" s="2">
        <v>2.1800000000000002</v>
      </c>
      <c r="D7" s="2" t="s">
        <v>13</v>
      </c>
      <c r="E7" s="2">
        <v>81</v>
      </c>
      <c r="F7" s="2">
        <v>90</v>
      </c>
      <c r="G7" s="2">
        <v>92</v>
      </c>
      <c r="H7" s="7">
        <v>1.98</v>
      </c>
      <c r="I7" s="2"/>
      <c r="J7" s="6">
        <f t="shared" si="0"/>
        <v>0.50505050505050508</v>
      </c>
      <c r="K7" s="6">
        <f>((G7-9-$E$5)/$C$11)*($C$13/($C$9/1000))</f>
        <v>0.11534603811434302</v>
      </c>
      <c r="L7" s="8">
        <f t="shared" ref="L7:L13" si="1">J7</f>
        <v>0.50505050505050508</v>
      </c>
      <c r="M7" s="9">
        <f t="shared" ref="M7:M13" si="2">K7</f>
        <v>0.11534603811434302</v>
      </c>
      <c r="N7" s="4">
        <v>0.18680555555555556</v>
      </c>
      <c r="P7" s="2">
        <v>2.4300000000000002</v>
      </c>
      <c r="Q7" s="2">
        <v>30</v>
      </c>
      <c r="R7" s="2">
        <v>87</v>
      </c>
      <c r="S7" s="2"/>
      <c r="T7" s="2"/>
      <c r="U7" s="4">
        <v>0.18819444444444444</v>
      </c>
    </row>
    <row r="8" spans="3:21">
      <c r="C8" s="2" t="s">
        <v>14</v>
      </c>
      <c r="D8" s="2" t="s">
        <v>15</v>
      </c>
      <c r="E8" s="2"/>
      <c r="F8" s="2">
        <v>103</v>
      </c>
      <c r="G8" s="2">
        <v>103</v>
      </c>
      <c r="H8" s="7">
        <v>1.04</v>
      </c>
      <c r="I8" s="2"/>
      <c r="J8" s="6">
        <f t="shared" si="0"/>
        <v>0.96153846153846145</v>
      </c>
      <c r="K8" s="6">
        <f>((G8-$E$5)/$C$11)*($C$13/($C$9/1000))</f>
        <v>0.21564694082246738</v>
      </c>
      <c r="L8" s="8">
        <f t="shared" si="1"/>
        <v>0.96153846153846145</v>
      </c>
      <c r="M8" s="9">
        <f t="shared" si="2"/>
        <v>0.21564694082246738</v>
      </c>
      <c r="N8" s="4">
        <v>0.19999999999999998</v>
      </c>
      <c r="P8" s="2" t="s">
        <v>14</v>
      </c>
      <c r="Q8" s="2"/>
      <c r="R8" s="2"/>
      <c r="S8" s="2"/>
      <c r="T8" s="2"/>
    </row>
    <row r="9" spans="3:21">
      <c r="C9" s="2">
        <v>997</v>
      </c>
      <c r="D9" s="2" t="s">
        <v>16</v>
      </c>
      <c r="E9" s="2"/>
      <c r="F9" s="2">
        <v>113</v>
      </c>
      <c r="G9" s="2">
        <v>113</v>
      </c>
      <c r="H9" s="7">
        <v>0.96</v>
      </c>
      <c r="I9" s="2"/>
      <c r="J9" s="6">
        <f>IFERROR(1/H9,0)</f>
        <v>1.0416666666666667</v>
      </c>
      <c r="K9" s="6">
        <f>((G9-$E$5)/$C$11)*($C$13/($C$9/1000))</f>
        <v>0.26579739217652953</v>
      </c>
      <c r="L9" s="8">
        <f t="shared" si="1"/>
        <v>1.0416666666666667</v>
      </c>
      <c r="M9" s="9">
        <f t="shared" si="2"/>
        <v>0.26579739217652953</v>
      </c>
      <c r="N9" s="4">
        <v>0.20972222222222223</v>
      </c>
      <c r="P9" s="2">
        <v>997</v>
      </c>
      <c r="Q9" s="2"/>
      <c r="R9" s="2"/>
      <c r="S9" s="2"/>
      <c r="T9" s="2"/>
    </row>
    <row r="10" spans="3:21">
      <c r="C10" s="2" t="s">
        <v>17</v>
      </c>
      <c r="D10" s="2" t="s">
        <v>18</v>
      </c>
      <c r="E10" s="2"/>
      <c r="F10" s="2">
        <v>126</v>
      </c>
      <c r="G10" s="2">
        <v>126</v>
      </c>
      <c r="H10" s="7">
        <v>0.95</v>
      </c>
      <c r="I10" s="2"/>
      <c r="J10" s="6">
        <f t="shared" ref="J10:J13" si="3">IFERROR(1/H10,0)</f>
        <v>1.0526315789473684</v>
      </c>
      <c r="K10" s="6">
        <f>((G10-$E$5)/$C$11)*($C$13/($C$9/1000))</f>
        <v>0.3309929789368104</v>
      </c>
      <c r="L10" s="8">
        <f t="shared" si="1"/>
        <v>1.0526315789473684</v>
      </c>
      <c r="M10" s="9">
        <f t="shared" si="2"/>
        <v>0.3309929789368104</v>
      </c>
      <c r="N10" s="4">
        <v>0.22916666666666666</v>
      </c>
      <c r="P10" s="2" t="s">
        <v>17</v>
      </c>
      <c r="Q10" s="2"/>
      <c r="R10" s="2"/>
      <c r="S10" s="2"/>
      <c r="T10" s="2"/>
    </row>
    <row r="11" spans="3:21">
      <c r="C11" s="2">
        <v>60</v>
      </c>
      <c r="D11" s="2" t="s">
        <v>19</v>
      </c>
      <c r="E11" s="2"/>
      <c r="F11" s="2"/>
      <c r="G11" s="2"/>
      <c r="H11" s="7"/>
      <c r="I11" s="2"/>
      <c r="J11" s="6">
        <f t="shared" si="3"/>
        <v>0</v>
      </c>
      <c r="K11" s="6">
        <f t="shared" ref="K11:K13" si="4">IF(((E11-$E$5)/$C$11)*($C$13/($C$9/1000)) &lt;0,0,((E11-$E$5)/$C$11)*($C$13/($C$9/1000)))</f>
        <v>0</v>
      </c>
      <c r="L11" s="8">
        <f t="shared" si="1"/>
        <v>0</v>
      </c>
      <c r="M11" s="9">
        <f t="shared" si="2"/>
        <v>0</v>
      </c>
      <c r="N11" s="4">
        <v>0.23611111111111113</v>
      </c>
      <c r="P11" s="2">
        <v>50</v>
      </c>
      <c r="Q11" s="2"/>
      <c r="R11" s="2"/>
      <c r="S11" s="2"/>
      <c r="T11" s="2"/>
    </row>
    <row r="12" spans="3:21">
      <c r="C12" s="2" t="s">
        <v>20</v>
      </c>
      <c r="D12" s="2" t="s">
        <v>21</v>
      </c>
      <c r="E12" s="2"/>
      <c r="F12" s="2"/>
      <c r="G12" s="2"/>
      <c r="H12" s="7"/>
      <c r="I12" s="2"/>
      <c r="J12" s="6">
        <f t="shared" si="3"/>
        <v>0</v>
      </c>
      <c r="K12" s="6">
        <f t="shared" si="4"/>
        <v>0</v>
      </c>
      <c r="L12" s="8">
        <f t="shared" si="1"/>
        <v>0</v>
      </c>
      <c r="M12" s="9">
        <f t="shared" si="2"/>
        <v>0</v>
      </c>
      <c r="N12" s="4">
        <v>0.24305555555555555</v>
      </c>
      <c r="P12" s="2" t="s">
        <v>20</v>
      </c>
      <c r="Q12" s="2"/>
      <c r="R12" s="2"/>
      <c r="S12" s="2"/>
      <c r="T12" s="2"/>
    </row>
    <row r="13" spans="3:21">
      <c r="C13" s="2">
        <f>C11/I5</f>
        <v>0.3</v>
      </c>
      <c r="D13" s="2" t="s">
        <v>22</v>
      </c>
      <c r="E13" s="2"/>
      <c r="F13" s="2"/>
      <c r="G13" s="2"/>
      <c r="H13" s="7"/>
      <c r="I13" s="2"/>
      <c r="J13" s="6">
        <f t="shared" si="3"/>
        <v>0</v>
      </c>
      <c r="K13" s="6">
        <f t="shared" si="4"/>
        <v>0</v>
      </c>
      <c r="L13" s="8">
        <f t="shared" si="1"/>
        <v>0</v>
      </c>
      <c r="M13" s="9">
        <f t="shared" si="2"/>
        <v>0</v>
      </c>
      <c r="N13" s="4">
        <v>0.25</v>
      </c>
      <c r="P13" s="2"/>
      <c r="Q13" s="2"/>
      <c r="R13" s="2"/>
      <c r="S13" s="2"/>
      <c r="T13" s="2"/>
    </row>
    <row r="16" spans="3:21">
      <c r="C16" s="1">
        <f>1/0.352263</f>
        <v>2.8387880645994614</v>
      </c>
    </row>
    <row r="17" spans="3:19">
      <c r="C17" s="1">
        <f>1/0.091</f>
        <v>10.989010989010989</v>
      </c>
    </row>
    <row r="21" spans="3:19">
      <c r="E21" s="2">
        <v>2.4</v>
      </c>
      <c r="H21" s="1">
        <f>1/E21</f>
        <v>0.41666666666666669</v>
      </c>
      <c r="P21" s="1">
        <v>10</v>
      </c>
      <c r="Q21" s="1">
        <f>P21/200</f>
        <v>0.05</v>
      </c>
      <c r="R21" s="1">
        <v>2.96</v>
      </c>
      <c r="S21" s="1">
        <f>1/R21</f>
        <v>0.33783783783783783</v>
      </c>
    </row>
    <row r="22" spans="3:19">
      <c r="E22" s="2">
        <v>2.37</v>
      </c>
      <c r="H22" s="1">
        <f t="shared" ref="H22:H29" si="5">1/E22</f>
        <v>0.42194092827004215</v>
      </c>
      <c r="P22" s="1">
        <v>20</v>
      </c>
      <c r="Q22" s="1">
        <f t="shared" ref="Q22:Q29" si="6">P22/200</f>
        <v>0.1</v>
      </c>
      <c r="R22" s="1">
        <v>2.9</v>
      </c>
      <c r="S22" s="1">
        <f t="shared" ref="S22:S29" si="7">1/R22</f>
        <v>0.34482758620689657</v>
      </c>
    </row>
    <row r="23" spans="3:19">
      <c r="E23" s="2">
        <v>1.97</v>
      </c>
      <c r="H23" s="1">
        <f t="shared" si="5"/>
        <v>0.50761421319796951</v>
      </c>
      <c r="P23" s="1">
        <v>30</v>
      </c>
      <c r="Q23" s="1">
        <f t="shared" si="6"/>
        <v>0.15</v>
      </c>
      <c r="R23" s="1">
        <v>2.94</v>
      </c>
      <c r="S23" s="1">
        <f t="shared" si="7"/>
        <v>0.3401360544217687</v>
      </c>
    </row>
    <row r="24" spans="3:19">
      <c r="E24" s="2">
        <v>0.92</v>
      </c>
      <c r="H24" s="1">
        <f t="shared" si="5"/>
        <v>1.0869565217391304</v>
      </c>
      <c r="P24" s="1">
        <v>40</v>
      </c>
      <c r="Q24" s="1">
        <f t="shared" si="6"/>
        <v>0.2</v>
      </c>
      <c r="R24" s="1">
        <v>2.78</v>
      </c>
      <c r="S24" s="1">
        <f t="shared" si="7"/>
        <v>0.35971223021582738</v>
      </c>
    </row>
    <row r="25" spans="3:19">
      <c r="E25" s="2">
        <v>0.87</v>
      </c>
      <c r="H25" s="1">
        <f t="shared" si="5"/>
        <v>1.1494252873563218</v>
      </c>
      <c r="P25" s="1">
        <v>50</v>
      </c>
      <c r="Q25" s="1">
        <f t="shared" si="6"/>
        <v>0.25</v>
      </c>
      <c r="R25" s="1">
        <v>2.4300000000000002</v>
      </c>
      <c r="S25" s="1">
        <f t="shared" si="7"/>
        <v>0.41152263374485593</v>
      </c>
    </row>
    <row r="26" spans="3:19">
      <c r="E26" s="2">
        <v>0.86</v>
      </c>
      <c r="H26" s="1">
        <f t="shared" si="5"/>
        <v>1.1627906976744187</v>
      </c>
      <c r="P26" s="1">
        <v>60</v>
      </c>
      <c r="Q26" s="1">
        <f t="shared" si="6"/>
        <v>0.3</v>
      </c>
      <c r="R26" s="1">
        <v>2.08</v>
      </c>
      <c r="S26" s="1">
        <f t="shared" si="7"/>
        <v>0.48076923076923073</v>
      </c>
    </row>
    <row r="27" spans="3:19">
      <c r="E27" s="2">
        <v>0.84</v>
      </c>
      <c r="H27" s="1">
        <f t="shared" si="5"/>
        <v>1.1904761904761905</v>
      </c>
      <c r="P27" s="1">
        <v>70</v>
      </c>
      <c r="Q27" s="1">
        <f t="shared" si="6"/>
        <v>0.35</v>
      </c>
      <c r="R27" s="1">
        <v>2.04</v>
      </c>
      <c r="S27" s="1">
        <f t="shared" si="7"/>
        <v>0.49019607843137253</v>
      </c>
    </row>
    <row r="28" spans="3:19">
      <c r="E28" s="2">
        <v>0.85</v>
      </c>
      <c r="H28" s="1">
        <f t="shared" si="5"/>
        <v>1.1764705882352942</v>
      </c>
      <c r="P28" s="1">
        <v>80</v>
      </c>
      <c r="Q28" s="1">
        <f t="shared" si="6"/>
        <v>0.4</v>
      </c>
      <c r="R28" s="1">
        <v>2.0099999999999998</v>
      </c>
      <c r="S28" s="1">
        <f t="shared" si="7"/>
        <v>0.49751243781094534</v>
      </c>
    </row>
    <row r="29" spans="3:19">
      <c r="E29" s="2">
        <v>0.83</v>
      </c>
      <c r="H29" s="1">
        <f t="shared" si="5"/>
        <v>1.2048192771084338</v>
      </c>
      <c r="P29" s="1">
        <v>90</v>
      </c>
      <c r="Q29" s="1">
        <f t="shared" si="6"/>
        <v>0.45</v>
      </c>
      <c r="R29" s="1">
        <v>1.81</v>
      </c>
      <c r="S29" s="1">
        <f t="shared" si="7"/>
        <v>0.5524861878453039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2CD0-6640-4562-BAC4-040ADCDF1AF7}">
  <dimension ref="C4:R29"/>
  <sheetViews>
    <sheetView topLeftCell="C5" zoomScaleNormal="100" workbookViewId="0">
      <selection activeCell="J17" sqref="J17"/>
    </sheetView>
  </sheetViews>
  <sheetFormatPr defaultColWidth="9" defaultRowHeight="14.45"/>
  <cols>
    <col min="1" max="2" width="9" style="1"/>
    <col min="3" max="3" width="27.28515625" style="1" bestFit="1" customWidth="1"/>
    <col min="4" max="4" width="27.28515625" style="1" customWidth="1"/>
    <col min="5" max="5" width="30.140625" style="1" bestFit="1" customWidth="1"/>
    <col min="6" max="6" width="19.85546875" style="1" bestFit="1" customWidth="1"/>
    <col min="7" max="7" width="18.85546875" style="1" bestFit="1" customWidth="1"/>
    <col min="8" max="10" width="18.85546875" style="1" customWidth="1"/>
    <col min="11" max="12" width="9" style="1"/>
    <col min="13" max="13" width="27.28515625" style="1" bestFit="1" customWidth="1"/>
    <col min="14" max="14" width="27.28515625" style="1" customWidth="1"/>
    <col min="15" max="15" width="30.140625" style="1" bestFit="1" customWidth="1"/>
    <col min="16" max="16" width="19.85546875" style="1" bestFit="1" customWidth="1"/>
    <col min="17" max="17" width="18.85546875" style="1" bestFit="1" customWidth="1"/>
    <col min="18" max="16384" width="9" style="1"/>
  </cols>
  <sheetData>
    <row r="4" spans="3:18">
      <c r="C4" s="2" t="s">
        <v>0</v>
      </c>
      <c r="D4" s="2" t="s">
        <v>1</v>
      </c>
      <c r="E4" s="2" t="s">
        <v>9</v>
      </c>
      <c r="F4" s="2" t="s">
        <v>3</v>
      </c>
      <c r="G4" s="2" t="s">
        <v>4</v>
      </c>
      <c r="M4" s="2" t="s">
        <v>0</v>
      </c>
      <c r="N4" s="2" t="s">
        <v>1</v>
      </c>
      <c r="O4" s="2" t="s">
        <v>9</v>
      </c>
      <c r="P4" s="2" t="s">
        <v>3</v>
      </c>
      <c r="Q4" s="2" t="s">
        <v>4</v>
      </c>
    </row>
    <row r="5" spans="3:18">
      <c r="C5" s="2">
        <v>8</v>
      </c>
      <c r="D5" s="2"/>
      <c r="E5" s="2">
        <v>58</v>
      </c>
      <c r="F5" s="2">
        <v>2.4</v>
      </c>
      <c r="G5" s="2">
        <v>200</v>
      </c>
      <c r="I5" s="1" t="s">
        <v>7</v>
      </c>
      <c r="J5" s="1" t="s">
        <v>8</v>
      </c>
      <c r="M5" s="2">
        <v>8</v>
      </c>
      <c r="N5" s="2"/>
      <c r="O5" s="2">
        <v>58</v>
      </c>
      <c r="P5" s="2">
        <v>2.4</v>
      </c>
      <c r="Q5" s="2">
        <v>200</v>
      </c>
    </row>
    <row r="6" spans="3:18">
      <c r="C6" s="2" t="s">
        <v>11</v>
      </c>
      <c r="D6" s="2" t="s">
        <v>12</v>
      </c>
      <c r="E6" s="2">
        <v>68</v>
      </c>
      <c r="F6" s="2">
        <v>2.37</v>
      </c>
      <c r="G6" s="2"/>
      <c r="I6" s="2">
        <f>1/F6</f>
        <v>0.42194092827004215</v>
      </c>
      <c r="J6" s="1">
        <f>((E6-$E$5)/$C$11)*($C$13/($C$9/1000))</f>
        <v>5.0150451354062188E-2</v>
      </c>
      <c r="K6" s="3">
        <v>0.67222222222222217</v>
      </c>
      <c r="M6" s="2" t="s">
        <v>11</v>
      </c>
      <c r="N6" s="2">
        <v>20</v>
      </c>
      <c r="O6" s="2">
        <v>77</v>
      </c>
      <c r="P6" s="2">
        <v>0.95</v>
      </c>
      <c r="Q6" s="2"/>
      <c r="R6" s="4">
        <v>0.16666666666666666</v>
      </c>
    </row>
    <row r="7" spans="3:18">
      <c r="C7" s="2">
        <v>2.4300000000000002</v>
      </c>
      <c r="D7" s="2" t="s">
        <v>13</v>
      </c>
      <c r="E7" s="2">
        <v>78</v>
      </c>
      <c r="F7" s="2">
        <v>1.97</v>
      </c>
      <c r="G7" s="2"/>
      <c r="I7" s="2">
        <f t="shared" ref="I7:I13" si="0">1/F7</f>
        <v>0.50761421319796951</v>
      </c>
      <c r="J7" s="1">
        <f t="shared" ref="J7:J13" si="1">((E7-$E$5)/$C$11)*($C$13/($C$9/1000))</f>
        <v>0.10030090270812438</v>
      </c>
      <c r="K7" s="4">
        <v>0.18680555555555556</v>
      </c>
      <c r="M7" s="2">
        <v>2.4300000000000002</v>
      </c>
      <c r="N7" s="2">
        <v>30</v>
      </c>
      <c r="O7" s="2">
        <v>87</v>
      </c>
      <c r="P7" s="2"/>
      <c r="Q7" s="2"/>
      <c r="R7" s="4">
        <v>0.18819444444444444</v>
      </c>
    </row>
    <row r="8" spans="3:18">
      <c r="C8" s="2" t="s">
        <v>14</v>
      </c>
      <c r="D8" s="2" t="s">
        <v>15</v>
      </c>
      <c r="E8" s="2">
        <f>96-12</f>
        <v>84</v>
      </c>
      <c r="F8" s="2">
        <v>0.92</v>
      </c>
      <c r="G8" s="2"/>
      <c r="I8" s="2">
        <f t="shared" si="0"/>
        <v>1.0869565217391304</v>
      </c>
      <c r="J8" s="1">
        <f t="shared" si="1"/>
        <v>0.13039117352056168</v>
      </c>
      <c r="K8" s="4">
        <v>0.19999999999999998</v>
      </c>
      <c r="M8" s="2" t="s">
        <v>14</v>
      </c>
      <c r="N8" s="2"/>
      <c r="O8" s="2"/>
      <c r="P8" s="2"/>
      <c r="Q8" s="2"/>
    </row>
    <row r="9" spans="3:18">
      <c r="C9" s="2">
        <v>997</v>
      </c>
      <c r="D9" s="2" t="s">
        <v>16</v>
      </c>
      <c r="E9" s="2">
        <v>96</v>
      </c>
      <c r="F9" s="2">
        <v>0.87</v>
      </c>
      <c r="G9" s="2"/>
      <c r="I9" s="2">
        <f t="shared" si="0"/>
        <v>1.1494252873563218</v>
      </c>
      <c r="J9" s="1">
        <f t="shared" si="1"/>
        <v>0.1905717151454363</v>
      </c>
      <c r="K9" s="4">
        <v>0.20972222222222223</v>
      </c>
      <c r="M9" s="2">
        <v>997</v>
      </c>
      <c r="N9" s="2"/>
      <c r="O9" s="2"/>
      <c r="P9" s="2"/>
      <c r="Q9" s="2"/>
    </row>
    <row r="10" spans="3:18">
      <c r="C10" s="2" t="s">
        <v>17</v>
      </c>
      <c r="D10" s="2" t="s">
        <v>18</v>
      </c>
      <c r="E10" s="2">
        <v>108</v>
      </c>
      <c r="F10" s="2">
        <v>0.86</v>
      </c>
      <c r="G10" s="2"/>
      <c r="I10" s="2">
        <f t="shared" si="0"/>
        <v>1.1627906976744187</v>
      </c>
      <c r="J10" s="1">
        <f t="shared" si="1"/>
        <v>0.25075225677031093</v>
      </c>
      <c r="K10" s="4">
        <v>0.22916666666666666</v>
      </c>
      <c r="M10" s="2" t="s">
        <v>17</v>
      </c>
      <c r="N10" s="2"/>
      <c r="O10" s="2"/>
      <c r="P10" s="2"/>
      <c r="Q10" s="2"/>
    </row>
    <row r="11" spans="3:18">
      <c r="C11" s="2">
        <v>50</v>
      </c>
      <c r="D11" s="2" t="s">
        <v>19</v>
      </c>
      <c r="E11" s="2">
        <v>117</v>
      </c>
      <c r="F11" s="2">
        <v>0.84</v>
      </c>
      <c r="G11" s="2"/>
      <c r="I11" s="2">
        <f t="shared" si="0"/>
        <v>1.1904761904761905</v>
      </c>
      <c r="J11" s="1">
        <f t="shared" si="1"/>
        <v>0.2958876629889669</v>
      </c>
      <c r="K11" s="4">
        <v>0.23611111111111113</v>
      </c>
      <c r="M11" s="2">
        <v>50</v>
      </c>
      <c r="N11" s="2"/>
      <c r="O11" s="2"/>
      <c r="P11" s="2"/>
      <c r="Q11" s="2"/>
    </row>
    <row r="12" spans="3:18">
      <c r="C12" s="2" t="s">
        <v>20</v>
      </c>
      <c r="D12" s="2" t="s">
        <v>21</v>
      </c>
      <c r="E12" s="2">
        <v>127</v>
      </c>
      <c r="F12" s="2">
        <v>0.85</v>
      </c>
      <c r="G12" s="2"/>
      <c r="I12" s="2">
        <f t="shared" si="0"/>
        <v>1.1764705882352942</v>
      </c>
      <c r="J12" s="1">
        <f t="shared" si="1"/>
        <v>0.34603811434302906</v>
      </c>
      <c r="K12" s="4">
        <v>0.24305555555555555</v>
      </c>
      <c r="M12" s="2" t="s">
        <v>20</v>
      </c>
      <c r="N12" s="2"/>
      <c r="O12" s="2"/>
      <c r="P12" s="2"/>
      <c r="Q12" s="2"/>
    </row>
    <row r="13" spans="3:18">
      <c r="C13" s="2">
        <f>C11/G5</f>
        <v>0.25</v>
      </c>
      <c r="D13" s="2" t="s">
        <v>22</v>
      </c>
      <c r="E13" s="2">
        <v>137</v>
      </c>
      <c r="F13" s="2">
        <v>0.83</v>
      </c>
      <c r="G13" s="2"/>
      <c r="I13" s="2">
        <f t="shared" si="0"/>
        <v>1.2048192771084338</v>
      </c>
      <c r="J13" s="1">
        <f t="shared" si="1"/>
        <v>0.39618856569709127</v>
      </c>
      <c r="K13" s="4">
        <v>0.25</v>
      </c>
      <c r="M13" s="2"/>
      <c r="N13" s="2"/>
      <c r="O13" s="2"/>
      <c r="P13" s="2"/>
      <c r="Q13" s="2"/>
    </row>
    <row r="21" spans="5:16">
      <c r="E21" s="2">
        <v>2.4</v>
      </c>
      <c r="F21" s="1">
        <f>1/E21</f>
        <v>0.41666666666666669</v>
      </c>
      <c r="M21" s="1">
        <v>10</v>
      </c>
      <c r="N21" s="1">
        <f>M21/200</f>
        <v>0.05</v>
      </c>
      <c r="O21" s="1">
        <v>2.96</v>
      </c>
      <c r="P21" s="1">
        <f>1/O21</f>
        <v>0.33783783783783783</v>
      </c>
    </row>
    <row r="22" spans="5:16">
      <c r="E22" s="2">
        <v>2.37</v>
      </c>
      <c r="F22" s="1">
        <f t="shared" ref="F22:F29" si="2">1/E22</f>
        <v>0.42194092827004215</v>
      </c>
      <c r="M22" s="1">
        <v>20</v>
      </c>
      <c r="N22" s="1">
        <f t="shared" ref="N22:N29" si="3">M22/200</f>
        <v>0.1</v>
      </c>
      <c r="O22" s="1">
        <v>2.9</v>
      </c>
      <c r="P22" s="1">
        <f t="shared" ref="P22:P29" si="4">1/O22</f>
        <v>0.34482758620689657</v>
      </c>
    </row>
    <row r="23" spans="5:16">
      <c r="E23" s="2">
        <v>1.97</v>
      </c>
      <c r="F23" s="1">
        <f t="shared" si="2"/>
        <v>0.50761421319796951</v>
      </c>
      <c r="M23" s="1">
        <v>30</v>
      </c>
      <c r="N23" s="1">
        <f t="shared" si="3"/>
        <v>0.15</v>
      </c>
      <c r="O23" s="1">
        <v>2.94</v>
      </c>
      <c r="P23" s="1">
        <f t="shared" si="4"/>
        <v>0.3401360544217687</v>
      </c>
    </row>
    <row r="24" spans="5:16">
      <c r="E24" s="2">
        <v>0.92</v>
      </c>
      <c r="F24" s="1">
        <f t="shared" si="2"/>
        <v>1.0869565217391304</v>
      </c>
      <c r="M24" s="1">
        <v>40</v>
      </c>
      <c r="N24" s="1">
        <f t="shared" si="3"/>
        <v>0.2</v>
      </c>
      <c r="O24" s="1">
        <v>2.78</v>
      </c>
      <c r="P24" s="1">
        <f t="shared" si="4"/>
        <v>0.35971223021582738</v>
      </c>
    </row>
    <row r="25" spans="5:16">
      <c r="E25" s="2">
        <v>0.87</v>
      </c>
      <c r="F25" s="1">
        <f t="shared" si="2"/>
        <v>1.1494252873563218</v>
      </c>
      <c r="M25" s="1">
        <v>50</v>
      </c>
      <c r="N25" s="1">
        <f t="shared" si="3"/>
        <v>0.25</v>
      </c>
      <c r="O25" s="1">
        <v>2.4300000000000002</v>
      </c>
      <c r="P25" s="1">
        <f t="shared" si="4"/>
        <v>0.41152263374485593</v>
      </c>
    </row>
    <row r="26" spans="5:16">
      <c r="E26" s="2">
        <v>0.86</v>
      </c>
      <c r="F26" s="1">
        <f t="shared" si="2"/>
        <v>1.1627906976744187</v>
      </c>
      <c r="M26" s="1">
        <v>60</v>
      </c>
      <c r="N26" s="1">
        <f t="shared" si="3"/>
        <v>0.3</v>
      </c>
      <c r="O26" s="1">
        <v>2.08</v>
      </c>
      <c r="P26" s="1">
        <f t="shared" si="4"/>
        <v>0.48076923076923073</v>
      </c>
    </row>
    <row r="27" spans="5:16">
      <c r="E27" s="2">
        <v>0.84</v>
      </c>
      <c r="F27" s="1">
        <f t="shared" si="2"/>
        <v>1.1904761904761905</v>
      </c>
      <c r="M27" s="1">
        <v>70</v>
      </c>
      <c r="N27" s="1">
        <f t="shared" si="3"/>
        <v>0.35</v>
      </c>
      <c r="O27" s="1">
        <v>2.04</v>
      </c>
      <c r="P27" s="1">
        <f t="shared" si="4"/>
        <v>0.49019607843137253</v>
      </c>
    </row>
    <row r="28" spans="5:16">
      <c r="E28" s="2">
        <v>0.85</v>
      </c>
      <c r="F28" s="1">
        <f t="shared" si="2"/>
        <v>1.1764705882352942</v>
      </c>
      <c r="M28" s="1">
        <v>80</v>
      </c>
      <c r="N28" s="1">
        <f t="shared" si="3"/>
        <v>0.4</v>
      </c>
      <c r="O28" s="1">
        <v>2.0099999999999998</v>
      </c>
      <c r="P28" s="1">
        <f t="shared" si="4"/>
        <v>0.49751243781094534</v>
      </c>
    </row>
    <row r="29" spans="5:16">
      <c r="E29" s="2">
        <v>0.83</v>
      </c>
      <c r="F29" s="1">
        <f t="shared" si="2"/>
        <v>1.2048192771084338</v>
      </c>
      <c r="M29" s="1">
        <v>90</v>
      </c>
      <c r="N29" s="1">
        <f t="shared" si="3"/>
        <v>0.45</v>
      </c>
      <c r="O29" s="1">
        <v>1.81</v>
      </c>
      <c r="P29" s="1">
        <f t="shared" si="4"/>
        <v>0.5524861878453039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Brocca</dc:creator>
  <cp:keywords/>
  <dc:description/>
  <cp:lastModifiedBy>Martin Brocca</cp:lastModifiedBy>
  <cp:revision/>
  <dcterms:created xsi:type="dcterms:W3CDTF">2023-04-10T20:43:08Z</dcterms:created>
  <dcterms:modified xsi:type="dcterms:W3CDTF">2023-05-07T14:18:59Z</dcterms:modified>
  <cp:category/>
  <cp:contentStatus/>
</cp:coreProperties>
</file>