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artin\Trabajo\UAB\intro-economia\documents\extraclass\"/>
    </mc:Choice>
  </mc:AlternateContent>
  <xr:revisionPtr revIDLastSave="0" documentId="13_ncr:1_{A1677EE9-5752-4938-9734-6386CBA74D9E}" xr6:coauthVersionLast="47" xr6:coauthVersionMax="47" xr10:uidLastSave="{00000000-0000-0000-0000-000000000000}"/>
  <bookViews>
    <workbookView xWindow="-108" yWindow="-108" windowWidth="23256" windowHeight="12456" xr2:uid="{F8B7885F-FCF6-4F5E-B5D5-14C6113FF465}"/>
  </bookViews>
  <sheets>
    <sheet name="gdp" sheetId="2" r:id="rId1"/>
    <sheet name="flujos" sheetId="1" r:id="rId2"/>
    <sheet name="multiplicador" sheetId="3" r:id="rId3"/>
    <sheet name="monetar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4" i="4" l="1"/>
  <c r="R27" i="4" s="1"/>
  <c r="R15" i="4"/>
  <c r="R18" i="4" s="1"/>
  <c r="R6" i="4"/>
  <c r="R9" i="4" s="1"/>
  <c r="N22" i="4"/>
  <c r="R22" i="4" s="1"/>
  <c r="N13" i="4"/>
  <c r="N4" i="4"/>
  <c r="R4" i="4"/>
  <c r="P22" i="4"/>
  <c r="P13" i="4"/>
  <c r="P4" i="4"/>
  <c r="O33" i="3"/>
  <c r="O24" i="3"/>
  <c r="O15" i="3"/>
  <c r="O4" i="3"/>
  <c r="B13" i="3"/>
  <c r="Q24" i="3" s="1"/>
  <c r="T19" i="2"/>
  <c r="R19" i="2"/>
  <c r="P20" i="2"/>
  <c r="P19" i="2"/>
  <c r="V16" i="2"/>
  <c r="V15" i="2"/>
  <c r="V11" i="2"/>
  <c r="V9" i="2"/>
  <c r="V8" i="2"/>
  <c r="V7" i="2"/>
  <c r="T16" i="2"/>
  <c r="R16" i="2"/>
  <c r="P16" i="2"/>
  <c r="N16" i="2"/>
  <c r="T15" i="2"/>
  <c r="R15" i="2"/>
  <c r="P15" i="2"/>
  <c r="N15" i="2"/>
  <c r="T14" i="2"/>
  <c r="R14" i="2"/>
  <c r="P14" i="2"/>
  <c r="N14" i="2"/>
  <c r="V14" i="2" s="1"/>
  <c r="T13" i="2"/>
  <c r="R13" i="2"/>
  <c r="P13" i="2"/>
  <c r="N13" i="2"/>
  <c r="V13" i="2" s="1"/>
  <c r="T12" i="2"/>
  <c r="R12" i="2"/>
  <c r="P12" i="2"/>
  <c r="N12" i="2"/>
  <c r="V12" i="2" s="1"/>
  <c r="T11" i="2"/>
  <c r="R11" i="2"/>
  <c r="P11" i="2"/>
  <c r="N11" i="2"/>
  <c r="T10" i="2"/>
  <c r="R10" i="2"/>
  <c r="P10" i="2"/>
  <c r="N10" i="2"/>
  <c r="V10" i="2" s="1"/>
  <c r="T9" i="2"/>
  <c r="R9" i="2"/>
  <c r="P9" i="2"/>
  <c r="N9" i="2"/>
  <c r="T8" i="2"/>
  <c r="R8" i="2"/>
  <c r="P8" i="2"/>
  <c r="N8" i="2"/>
  <c r="T7" i="2"/>
  <c r="R7" i="2"/>
  <c r="P7" i="2"/>
  <c r="N7" i="2"/>
  <c r="T6" i="2"/>
  <c r="R6" i="2"/>
  <c r="P6" i="2"/>
  <c r="N6" i="2"/>
  <c r="V6" i="2" s="1"/>
  <c r="M6" i="1"/>
  <c r="E7" i="1"/>
  <c r="K7" i="1" s="1"/>
  <c r="D7" i="1"/>
  <c r="D8" i="1" s="1"/>
  <c r="D9" i="1" s="1"/>
  <c r="D10" i="1" s="1"/>
  <c r="D11" i="1" s="1"/>
  <c r="D12" i="1" s="1"/>
  <c r="D13" i="1" s="1"/>
  <c r="D14" i="1" s="1"/>
  <c r="D15" i="1" s="1"/>
  <c r="J6" i="1"/>
  <c r="J7" i="1" s="1"/>
  <c r="J8" i="1" s="1"/>
  <c r="J9" i="1" s="1"/>
  <c r="J10" i="1" s="1"/>
  <c r="J11" i="1" s="1"/>
  <c r="J12" i="1" s="1"/>
  <c r="J13" i="1" s="1"/>
  <c r="J14" i="1" s="1"/>
  <c r="J15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C6" i="1"/>
  <c r="K6" i="1"/>
  <c r="H6" i="1"/>
  <c r="N6" i="1" s="1"/>
  <c r="K5" i="1"/>
  <c r="K17" i="1" s="1"/>
  <c r="H5" i="1"/>
  <c r="H17" i="1" s="1"/>
  <c r="R13" i="4" l="1"/>
  <c r="L6" i="1"/>
  <c r="M7" i="1"/>
  <c r="M8" i="1" s="1"/>
  <c r="M9" i="1" s="1"/>
  <c r="M10" i="1" s="1"/>
  <c r="M11" i="1" s="1"/>
  <c r="M12" i="1" s="1"/>
  <c r="M13" i="1" s="1"/>
  <c r="M14" i="1" s="1"/>
  <c r="M15" i="1" s="1"/>
  <c r="N5" i="1"/>
  <c r="N17" i="1" s="1"/>
  <c r="Q33" i="3"/>
  <c r="S33" i="3" s="1"/>
  <c r="S35" i="3" s="1"/>
  <c r="S38" i="3" s="1"/>
  <c r="S24" i="3"/>
  <c r="S26" i="3" s="1"/>
  <c r="S29" i="3" s="1"/>
  <c r="Q15" i="3"/>
  <c r="S15" i="3" s="1"/>
  <c r="S17" i="3" s="1"/>
  <c r="S20" i="3" s="1"/>
  <c r="Q4" i="3"/>
  <c r="S4" i="3" s="1"/>
  <c r="S8" i="3" s="1"/>
  <c r="E8" i="1"/>
  <c r="K8" i="1" s="1"/>
  <c r="H7" i="1"/>
  <c r="F6" i="1"/>
  <c r="I7" i="1"/>
  <c r="I6" i="1"/>
  <c r="C7" i="1"/>
  <c r="H8" i="1" l="1"/>
  <c r="F7" i="1"/>
  <c r="N7" i="1"/>
  <c r="L7" i="1"/>
  <c r="C8" i="1"/>
  <c r="E9" i="1"/>
  <c r="E10" i="1" s="1"/>
  <c r="K9" i="1"/>
  <c r="I8" i="1"/>
  <c r="F8" i="1" l="1"/>
  <c r="N8" i="1"/>
  <c r="L8" i="1"/>
  <c r="C9" i="1"/>
  <c r="H9" i="1"/>
  <c r="K10" i="1"/>
  <c r="E11" i="1"/>
  <c r="H10" i="1"/>
  <c r="I9" i="1"/>
  <c r="C10" i="1"/>
  <c r="F9" i="1" l="1"/>
  <c r="N9" i="1"/>
  <c r="F10" i="1"/>
  <c r="N10" i="1"/>
  <c r="L9" i="1"/>
  <c r="E12" i="1"/>
  <c r="H11" i="1"/>
  <c r="K11" i="1"/>
  <c r="C11" i="1"/>
  <c r="I10" i="1"/>
  <c r="F11" i="1" l="1"/>
  <c r="N11" i="1"/>
  <c r="L10" i="1"/>
  <c r="K12" i="1"/>
  <c r="H12" i="1"/>
  <c r="E13" i="1"/>
  <c r="I11" i="1"/>
  <c r="C12" i="1"/>
  <c r="F12" i="1" l="1"/>
  <c r="N12" i="1"/>
  <c r="L11" i="1"/>
  <c r="K13" i="1"/>
  <c r="E14" i="1"/>
  <c r="H13" i="1"/>
  <c r="C13" i="1"/>
  <c r="I12" i="1"/>
  <c r="F13" i="1" l="1"/>
  <c r="N13" i="1"/>
  <c r="L12" i="1"/>
  <c r="E15" i="1"/>
  <c r="C15" i="1" s="1"/>
  <c r="K14" i="1"/>
  <c r="H14" i="1"/>
  <c r="I13" i="1"/>
  <c r="C14" i="1"/>
  <c r="D17" i="1"/>
  <c r="F14" i="1" l="1"/>
  <c r="N14" i="1"/>
  <c r="L13" i="1"/>
  <c r="H15" i="1"/>
  <c r="K15" i="1"/>
  <c r="E17" i="1"/>
  <c r="C17" i="1"/>
  <c r="C19" i="1" s="1"/>
  <c r="G17" i="1"/>
  <c r="I14" i="1"/>
  <c r="F15" i="1" l="1"/>
  <c r="F17" i="1" s="1"/>
  <c r="F19" i="1" s="1"/>
  <c r="N15" i="1"/>
  <c r="L14" i="1"/>
  <c r="I15" i="1"/>
  <c r="I17" i="1" s="1"/>
  <c r="I19" i="1" s="1"/>
  <c r="J17" i="1"/>
  <c r="L15" i="1" l="1"/>
  <c r="L17" i="1" s="1"/>
  <c r="L19" i="1" s="1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Martín Brun</author>
  </authors>
  <commentList>
    <comment ref="D7" authorId="0" shapeId="0" xr:uid="{7295B0C3-A5B1-48F7-A472-4384C3D27E1F}">
      <text>
        <r>
          <rPr>
            <b/>
            <sz val="9"/>
            <color indexed="81"/>
            <rFont val="Tahoma"/>
            <family val="2"/>
          </rPr>
          <t>Martín Brun:</t>
        </r>
        <r>
          <rPr>
            <sz val="9"/>
            <color indexed="81"/>
            <rFont val="Tahoma"/>
            <family val="2"/>
          </rPr>
          <t xml:space="preserve">
Protocolo Basilea II</t>
        </r>
      </text>
    </comment>
    <comment ref="D8" authorId="0" shapeId="0" xr:uid="{6801E6CF-B529-436B-857D-137A0477125D}">
      <text>
        <r>
          <rPr>
            <b/>
            <sz val="9"/>
            <color indexed="81"/>
            <rFont val="Tahoma"/>
            <family val="2"/>
          </rPr>
          <t>Martín Brun:</t>
        </r>
        <r>
          <rPr>
            <sz val="9"/>
            <color indexed="81"/>
            <rFont val="Tahoma"/>
            <family val="2"/>
          </rPr>
          <t xml:space="preserve">
Estimación global</t>
        </r>
      </text>
    </comment>
  </commentList>
</comments>
</file>

<file path=xl/sharedStrings.xml><?xml version="1.0" encoding="utf-8"?>
<sst xmlns="http://schemas.openxmlformats.org/spreadsheetml/2006/main" count="237" uniqueCount="88">
  <si>
    <t>t</t>
  </si>
  <si>
    <t>año</t>
  </si>
  <si>
    <t>Previsión optimista</t>
  </si>
  <si>
    <t>Previsión conservadora</t>
  </si>
  <si>
    <t>Previsión pesimista</t>
  </si>
  <si>
    <t>Ingresos</t>
  </si>
  <si>
    <t>Costos</t>
  </si>
  <si>
    <t>Promedio anual</t>
  </si>
  <si>
    <t>Billones de Yenes</t>
  </si>
  <si>
    <t>Beneficios</t>
  </si>
  <si>
    <t>Crecimiento esperado</t>
  </si>
  <si>
    <t>Rendimiento anual</t>
  </si>
  <si>
    <t>casi 4 millones de Euros</t>
  </si>
  <si>
    <t>Tasa de financiación</t>
  </si>
  <si>
    <t>10Y Japón</t>
  </si>
  <si>
    <t>Previsión muy pesimista</t>
  </si>
  <si>
    <t>11 millones de Yenes</t>
  </si>
  <si>
    <t>85k de Euros</t>
  </si>
  <si>
    <t>Serie Nominal - Con ajuste estacional</t>
  </si>
  <si>
    <t>PIB</t>
  </si>
  <si>
    <t>C</t>
  </si>
  <si>
    <t>G</t>
  </si>
  <si>
    <t>I</t>
  </si>
  <si>
    <t>Consumo Hogares</t>
  </si>
  <si>
    <t>Inversión Hogares</t>
  </si>
  <si>
    <t>Inversión Empresas</t>
  </si>
  <si>
    <t>Cambios Inventorio (público)</t>
  </si>
  <si>
    <t>Cambios Inventorio (privado)</t>
  </si>
  <si>
    <t>Consumo Gobierno</t>
  </si>
  <si>
    <t>Inversión Gobierno</t>
  </si>
  <si>
    <t>Exportaciones</t>
  </si>
  <si>
    <t>Importaciones</t>
  </si>
  <si>
    <t>Saldo neto</t>
  </si>
  <si>
    <t>Balanza Comercial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</si>
  <si>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</si>
  <si>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</si>
  <si>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</si>
  <si>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</si>
  <si>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</si>
  <si>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</si>
  <si>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</si>
  <si>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</si>
  <si>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</si>
  <si>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</si>
  <si>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</si>
  <si>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(X-M)</t>
  </si>
  <si>
    <t>Y</t>
  </si>
  <si>
    <t>=</t>
  </si>
  <si>
    <t>+</t>
  </si>
  <si>
    <t>% Q</t>
  </si>
  <si>
    <t>% Q (real)</t>
  </si>
  <si>
    <t>0,5 billones de Yenes (500 millones)</t>
  </si>
  <si>
    <t>PMC</t>
  </si>
  <si>
    <t>Crecimiento por proyecto</t>
  </si>
  <si>
    <t>Crecimiento inicial</t>
  </si>
  <si>
    <t>x</t>
  </si>
  <si>
    <t>Multiplicador</t>
  </si>
  <si>
    <t xml:space="preserve">1,11 billones de Yenes </t>
  </si>
  <si>
    <t>860k de Euros</t>
  </si>
  <si>
    <t>Contribución al PIB</t>
  </si>
  <si>
    <t>Propuesta de incremento de Gasto del Estado</t>
  </si>
  <si>
    <t xml:space="preserve">600 billones de Yenes </t>
  </si>
  <si>
    <t>465 millones de Euros</t>
  </si>
  <si>
    <t>1 EUR = 128 JPY</t>
  </si>
  <si>
    <t xml:space="preserve">1.200 billones de Yenes </t>
  </si>
  <si>
    <t>930 millones de Euros</t>
  </si>
  <si>
    <t>PIB proyectado</t>
  </si>
  <si>
    <t>% suba</t>
  </si>
  <si>
    <t xml:space="preserve">6.000 billones de Yenes </t>
  </si>
  <si>
    <t>4.65 billones de Euros</t>
  </si>
  <si>
    <t>Base monetaria</t>
  </si>
  <si>
    <t>Billetes circulantes</t>
  </si>
  <si>
    <t>Monedas circulantes</t>
  </si>
  <si>
    <t>Balances bancarios</t>
  </si>
  <si>
    <t>En BC</t>
  </si>
  <si>
    <t>Coeficiente de retención</t>
  </si>
  <si>
    <t>Encaje mínimo obligatorio</t>
  </si>
  <si>
    <t>Propuesta de Política Monetaria</t>
  </si>
  <si>
    <t>Crecimiento total</t>
  </si>
  <si>
    <t>Contribución a BM</t>
  </si>
  <si>
    <t>BM proyectada</t>
  </si>
  <si>
    <t>BM</t>
  </si>
  <si>
    <t xml:space="preserve">150.000 billones de Yenes </t>
  </si>
  <si>
    <t xml:space="preserve">15.000 billones de Yenes </t>
  </si>
  <si>
    <t xml:space="preserve">75.000 billones de Yenes </t>
  </si>
  <si>
    <t>1,16 billones de Euros</t>
  </si>
  <si>
    <t>600 millones de Euros</t>
  </si>
  <si>
    <t>120 millones de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</si>
</sst>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74" formatCode="0.0%"/>
    <numFmt numFmtId="177" formatCode="0.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0" xfId="0" applyFill="1"/>
    <xf numFmtId="2" fontId="0" fillId="0" borderId="0" xfId="0" applyNumberFormat="1"/>
    <xf numFmtId="168" fontId="0" fillId="3" borderId="0" xfId="0" applyNumberFormat="1" applyFill="1" applyAlignment="1">
      <alignment horizontal="center"/>
    </xf>
    <xf numFmtId="168" fontId="3" fillId="3" borderId="0" xfId="0" applyNumberFormat="1" applyFont="1" applyFill="1" applyAlignment="1">
      <alignment horizontal="center"/>
    </xf>
    <xf numFmtId="168" fontId="3" fillId="4" borderId="0" xfId="0" applyNumberFormat="1" applyFont="1" applyFill="1" applyAlignment="1">
      <alignment horizontal="center"/>
    </xf>
    <xf numFmtId="168" fontId="3" fillId="5" borderId="0" xfId="0" applyNumberFormat="1" applyFont="1" applyFill="1" applyAlignment="1">
      <alignment horizontal="center"/>
    </xf>
    <xf numFmtId="168" fontId="0" fillId="4" borderId="0" xfId="0" applyNumberFormat="1" applyFill="1" applyAlignment="1">
      <alignment horizontal="center"/>
    </xf>
    <xf numFmtId="168" fontId="0" fillId="5" borderId="0" xfId="0" applyNumberFormat="1" applyFill="1" applyAlignment="1">
      <alignment horizontal="center"/>
    </xf>
    <xf numFmtId="0" fontId="3" fillId="0" borderId="0" xfId="0" applyFont="1" applyAlignment="1">
      <alignment horizontal="left"/>
    </xf>
    <xf numFmtId="9" fontId="0" fillId="0" borderId="0" xfId="1" applyFont="1" applyAlignment="1">
      <alignment horizontal="center"/>
    </xf>
    <xf numFmtId="17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8" fontId="0" fillId="9" borderId="0" xfId="0" applyNumberFormat="1" applyFill="1" applyAlignment="1">
      <alignment horizontal="center"/>
    </xf>
    <xf numFmtId="168" fontId="3" fillId="9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17" fontId="3" fillId="0" borderId="0" xfId="0" applyNumberFormat="1" applyFont="1"/>
    <xf numFmtId="3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7" fontId="3" fillId="4" borderId="0" xfId="0" applyNumberFormat="1" applyFont="1" applyFill="1"/>
    <xf numFmtId="17" fontId="3" fillId="10" borderId="0" xfId="0" applyNumberFormat="1" applyFont="1" applyFill="1"/>
    <xf numFmtId="3" fontId="0" fillId="10" borderId="0" xfId="0" applyNumberFormat="1" applyFill="1" applyAlignment="1">
      <alignment horizontal="center"/>
    </xf>
    <xf numFmtId="3" fontId="3" fillId="10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11" borderId="0" xfId="0" applyFill="1"/>
    <xf numFmtId="3" fontId="3" fillId="11" borderId="0" xfId="0" applyNumberFormat="1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center"/>
    </xf>
    <xf numFmtId="0" fontId="8" fillId="0" borderId="0" xfId="0" applyFont="1"/>
    <xf numFmtId="177" fontId="8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4" fillId="0" borderId="0" xfId="0" applyNumberFormat="1" applyFont="1"/>
    <xf numFmtId="1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9" fontId="8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7B7-8217-4A86-A72A-F1B8216918E5}">
  <dimension ref="A1:Y2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4" x14ac:dyDescent="0.3"/>
  <cols>
    <col min="6" max="6" width="17.33203125" customWidth="1"/>
    <col min="9" max="9" width="17.33203125" customWidth="1"/>
    <col min="11" max="11" width="13.88671875" customWidth="1"/>
    <col min="12" max="12" width="15.21875" customWidth="1"/>
    <col min="13" max="13" width="2.77734375" customWidth="1"/>
    <col min="15" max="15" width="2.77734375" customWidth="1"/>
    <col min="17" max="17" width="2.77734375" customWidth="1"/>
    <col min="19" max="19" width="2.77734375" customWidth="1"/>
    <col min="21" max="21" width="2.77734375" customWidth="1"/>
  </cols>
  <sheetData>
    <row r="1" spans="1:25" x14ac:dyDescent="0.3">
      <c r="A1" t="s">
        <v>8</v>
      </c>
      <c r="M1" s="53"/>
    </row>
    <row r="2" spans="1:25" x14ac:dyDescent="0.3">
      <c r="A2" t="s">
        <v>18</v>
      </c>
      <c r="M2" s="53"/>
    </row>
    <row r="3" spans="1:25" x14ac:dyDescent="0.3">
      <c r="M3" s="53"/>
    </row>
    <row r="4" spans="1:25" ht="33.6" customHeight="1" x14ac:dyDescent="0.3">
      <c r="B4" s="31" t="s">
        <v>19</v>
      </c>
      <c r="C4" s="31" t="s">
        <v>23</v>
      </c>
      <c r="D4" s="31" t="s">
        <v>24</v>
      </c>
      <c r="E4" s="31" t="s">
        <v>25</v>
      </c>
      <c r="F4" s="31" t="s">
        <v>27</v>
      </c>
      <c r="G4" s="31" t="s">
        <v>28</v>
      </c>
      <c r="H4" s="31" t="s">
        <v>29</v>
      </c>
      <c r="I4" s="31" t="s">
        <v>26</v>
      </c>
      <c r="J4" s="32" t="s">
        <v>33</v>
      </c>
      <c r="K4" s="32"/>
      <c r="L4" s="32"/>
      <c r="M4" s="53"/>
      <c r="N4" s="31" t="s">
        <v>20</v>
      </c>
      <c r="O4" s="31" t="s">
        <v>48</v>
      </c>
      <c r="P4" s="31" t="s">
        <v>22</v>
      </c>
      <c r="Q4" s="31" t="s">
        <v>48</v>
      </c>
      <c r="R4" s="31" t="s">
        <v>21</v>
      </c>
      <c r="S4" s="31" t="s">
        <v>48</v>
      </c>
      <c r="T4" s="31" t="s">
        <v>45</v>
      </c>
      <c r="U4" s="31" t="s">
        <v>47</v>
      </c>
      <c r="V4" s="31" t="s">
        <v>46</v>
      </c>
      <c r="X4" s="31"/>
      <c r="Y4" s="31"/>
    </row>
    <row r="5" spans="1:25" ht="28.8" x14ac:dyDescent="0.3">
      <c r="B5" s="30"/>
      <c r="C5" s="30"/>
      <c r="D5" s="30"/>
      <c r="E5" s="30"/>
      <c r="F5" s="30"/>
      <c r="G5" s="30"/>
      <c r="H5" s="30"/>
      <c r="I5" s="30"/>
      <c r="J5" s="33" t="s">
        <v>32</v>
      </c>
      <c r="K5" s="33" t="s">
        <v>30</v>
      </c>
      <c r="L5" s="33" t="s">
        <v>31</v>
      </c>
      <c r="M5" s="53"/>
    </row>
    <row r="6" spans="1:25" x14ac:dyDescent="0.3">
      <c r="A6" s="38" t="s">
        <v>34</v>
      </c>
      <c r="B6" s="39">
        <v>558465.1</v>
      </c>
      <c r="C6" s="37">
        <v>305161.3</v>
      </c>
      <c r="D6" s="37">
        <v>21148.799999999999</v>
      </c>
      <c r="E6" s="37">
        <v>92625.1</v>
      </c>
      <c r="F6" s="37">
        <v>1413.4</v>
      </c>
      <c r="G6" s="37">
        <v>109713.3</v>
      </c>
      <c r="H6" s="37">
        <v>28558.5</v>
      </c>
      <c r="I6" s="37">
        <v>-149</v>
      </c>
      <c r="J6" s="37">
        <v>-6.3</v>
      </c>
      <c r="K6" s="37">
        <v>98877.2</v>
      </c>
      <c r="L6" s="37">
        <v>98883.5</v>
      </c>
      <c r="M6" s="53"/>
      <c r="N6" s="37">
        <f>C6</f>
        <v>305161.3</v>
      </c>
      <c r="O6" s="37"/>
      <c r="P6" s="37">
        <f>D6+E6+F6+I6+H6</f>
        <v>143596.79999999999</v>
      </c>
      <c r="Q6" s="37"/>
      <c r="R6" s="37">
        <f>G6</f>
        <v>109713.3</v>
      </c>
      <c r="S6" s="37"/>
      <c r="T6" s="37">
        <f>J6</f>
        <v>-6.3</v>
      </c>
      <c r="U6" s="37"/>
      <c r="V6" s="39">
        <f>N6+P6+R6+T6</f>
        <v>558465.1</v>
      </c>
    </row>
    <row r="7" spans="1:25" x14ac:dyDescent="0.3">
      <c r="A7" s="38" t="s">
        <v>35</v>
      </c>
      <c r="B7" s="39">
        <v>562037.5</v>
      </c>
      <c r="C7" s="37">
        <v>306309.2</v>
      </c>
      <c r="D7" s="37">
        <v>21534.2</v>
      </c>
      <c r="E7" s="37">
        <v>92870.6</v>
      </c>
      <c r="F7" s="37">
        <v>3451.1</v>
      </c>
      <c r="G7" s="37">
        <v>111101.9</v>
      </c>
      <c r="H7" s="37">
        <v>28838.7</v>
      </c>
      <c r="I7" s="37">
        <v>-25.1</v>
      </c>
      <c r="J7" s="37">
        <v>-2043</v>
      </c>
      <c r="K7" s="37">
        <v>97950</v>
      </c>
      <c r="L7" s="37">
        <v>99993.1</v>
      </c>
      <c r="M7" s="53"/>
      <c r="N7" s="37">
        <f t="shared" ref="N7:N16" si="0">C7</f>
        <v>306309.2</v>
      </c>
      <c r="O7" s="37"/>
      <c r="P7" s="37">
        <f t="shared" ref="P7:P16" si="1">D7+E7+F7+I7+H7</f>
        <v>146669.5</v>
      </c>
      <c r="Q7" s="37"/>
      <c r="R7" s="37">
        <f t="shared" ref="R7:R16" si="2">G7</f>
        <v>111101.9</v>
      </c>
      <c r="S7" s="37"/>
      <c r="T7" s="37">
        <f t="shared" ref="T7:T16" si="3">J7</f>
        <v>-2043</v>
      </c>
      <c r="U7" s="37"/>
      <c r="V7" s="39">
        <f t="shared" ref="V7:V16" si="4">N7+P7+R7+T7</f>
        <v>562037.6</v>
      </c>
    </row>
    <row r="8" spans="1:25" x14ac:dyDescent="0.3">
      <c r="A8" s="38" t="s">
        <v>36</v>
      </c>
      <c r="B8" s="39">
        <v>561747</v>
      </c>
      <c r="C8" s="37">
        <v>307698.59999999998</v>
      </c>
      <c r="D8" s="37">
        <v>21696</v>
      </c>
      <c r="E8" s="37">
        <v>94875.6</v>
      </c>
      <c r="F8" s="37">
        <v>179.9</v>
      </c>
      <c r="G8" s="37">
        <v>111547.6</v>
      </c>
      <c r="H8" s="37">
        <v>29285.7</v>
      </c>
      <c r="I8" s="37">
        <v>-56</v>
      </c>
      <c r="J8" s="37">
        <v>-3480.5</v>
      </c>
      <c r="K8" s="37">
        <v>96753.4</v>
      </c>
      <c r="L8" s="37">
        <v>100233.9</v>
      </c>
      <c r="M8" s="53"/>
      <c r="N8" s="37">
        <f t="shared" si="0"/>
        <v>307698.59999999998</v>
      </c>
      <c r="O8" s="37"/>
      <c r="P8" s="37">
        <f t="shared" si="1"/>
        <v>145981.20000000001</v>
      </c>
      <c r="Q8" s="37"/>
      <c r="R8" s="37">
        <f t="shared" si="2"/>
        <v>111547.6</v>
      </c>
      <c r="S8" s="37"/>
      <c r="T8" s="37">
        <f t="shared" si="3"/>
        <v>-3480.5</v>
      </c>
      <c r="U8" s="37"/>
      <c r="V8" s="39">
        <f t="shared" si="4"/>
        <v>561746.9</v>
      </c>
    </row>
    <row r="9" spans="1:25" x14ac:dyDescent="0.3">
      <c r="A9" s="38" t="s">
        <v>37</v>
      </c>
      <c r="B9" s="39">
        <v>551255.30000000005</v>
      </c>
      <c r="C9" s="37">
        <v>299166.59999999998</v>
      </c>
      <c r="D9" s="37">
        <v>21661.4</v>
      </c>
      <c r="E9" s="37">
        <v>88600</v>
      </c>
      <c r="F9" s="37">
        <v>784.1</v>
      </c>
      <c r="G9" s="37">
        <v>112482.6</v>
      </c>
      <c r="H9" s="37">
        <v>29602.1</v>
      </c>
      <c r="I9" s="37">
        <v>36.5</v>
      </c>
      <c r="J9" s="37">
        <v>-1078.0999999999999</v>
      </c>
      <c r="K9" s="37">
        <v>96262.2</v>
      </c>
      <c r="L9" s="37">
        <v>97340.3</v>
      </c>
      <c r="M9" s="53"/>
      <c r="N9" s="37">
        <f t="shared" si="0"/>
        <v>299166.59999999998</v>
      </c>
      <c r="O9" s="37"/>
      <c r="P9" s="37">
        <f t="shared" si="1"/>
        <v>140684.1</v>
      </c>
      <c r="Q9" s="37"/>
      <c r="R9" s="37">
        <f t="shared" si="2"/>
        <v>112482.6</v>
      </c>
      <c r="S9" s="37"/>
      <c r="T9" s="37">
        <f t="shared" si="3"/>
        <v>-1078.0999999999999</v>
      </c>
      <c r="U9" s="37"/>
      <c r="V9" s="39">
        <f t="shared" si="4"/>
        <v>551255.19999999995</v>
      </c>
    </row>
    <row r="10" spans="1:25" x14ac:dyDescent="0.3">
      <c r="A10" s="38" t="s">
        <v>38</v>
      </c>
      <c r="B10" s="39">
        <v>553942.1</v>
      </c>
      <c r="C10" s="37">
        <v>301260.59999999998</v>
      </c>
      <c r="D10" s="37">
        <v>20687.400000000001</v>
      </c>
      <c r="E10" s="37">
        <v>91015.1</v>
      </c>
      <c r="F10" s="37">
        <v>670.8</v>
      </c>
      <c r="G10" s="37">
        <v>112220.3</v>
      </c>
      <c r="H10" s="37">
        <v>29344.400000000001</v>
      </c>
      <c r="I10" s="37">
        <v>28</v>
      </c>
      <c r="J10" s="37">
        <v>-1284.3</v>
      </c>
      <c r="K10" s="37">
        <v>92351.7</v>
      </c>
      <c r="L10" s="37">
        <v>93636</v>
      </c>
      <c r="M10" s="53"/>
      <c r="N10" s="37">
        <f t="shared" si="0"/>
        <v>301260.59999999998</v>
      </c>
      <c r="O10" s="37"/>
      <c r="P10" s="37">
        <f t="shared" si="1"/>
        <v>141745.70000000001</v>
      </c>
      <c r="Q10" s="37"/>
      <c r="R10" s="37">
        <f t="shared" si="2"/>
        <v>112220.3</v>
      </c>
      <c r="S10" s="37"/>
      <c r="T10" s="37">
        <f t="shared" si="3"/>
        <v>-1284.3</v>
      </c>
      <c r="U10" s="37"/>
      <c r="V10" s="39">
        <f t="shared" si="4"/>
        <v>553942.29999999993</v>
      </c>
    </row>
    <row r="11" spans="1:25" x14ac:dyDescent="0.3">
      <c r="A11" s="38" t="s">
        <v>39</v>
      </c>
      <c r="B11" s="39">
        <v>511942.7</v>
      </c>
      <c r="C11" s="37">
        <v>274775</v>
      </c>
      <c r="D11" s="37">
        <v>20473.5</v>
      </c>
      <c r="E11" s="37">
        <v>83956.7</v>
      </c>
      <c r="F11" s="37">
        <v>1499.4</v>
      </c>
      <c r="G11" s="37">
        <v>111604.9</v>
      </c>
      <c r="H11" s="37">
        <v>30374</v>
      </c>
      <c r="I11" s="37">
        <v>-38.4</v>
      </c>
      <c r="J11" s="37">
        <v>-10702.3</v>
      </c>
      <c r="K11" s="37">
        <v>72601.600000000006</v>
      </c>
      <c r="L11" s="37">
        <v>83303.899999999994</v>
      </c>
      <c r="M11" s="53"/>
      <c r="N11" s="37">
        <f t="shared" si="0"/>
        <v>274775</v>
      </c>
      <c r="O11" s="37"/>
      <c r="P11" s="37">
        <f t="shared" si="1"/>
        <v>136265.20000000001</v>
      </c>
      <c r="Q11" s="37"/>
      <c r="R11" s="37">
        <f t="shared" si="2"/>
        <v>111604.9</v>
      </c>
      <c r="S11" s="37"/>
      <c r="T11" s="37">
        <f t="shared" si="3"/>
        <v>-10702.3</v>
      </c>
      <c r="U11" s="37"/>
      <c r="V11" s="39">
        <f t="shared" si="4"/>
        <v>511942.8</v>
      </c>
    </row>
    <row r="12" spans="1:25" x14ac:dyDescent="0.3">
      <c r="A12" s="38" t="s">
        <v>40</v>
      </c>
      <c r="B12" s="39">
        <v>538207.30000000005</v>
      </c>
      <c r="C12" s="37">
        <v>288504</v>
      </c>
      <c r="D12" s="37">
        <v>19517.2</v>
      </c>
      <c r="E12" s="37">
        <v>83684.7</v>
      </c>
      <c r="F12" s="37">
        <v>38</v>
      </c>
      <c r="G12" s="37">
        <v>114395.2</v>
      </c>
      <c r="H12" s="37">
        <v>30987.200000000001</v>
      </c>
      <c r="I12" s="37">
        <v>19</v>
      </c>
      <c r="J12" s="37">
        <v>1062</v>
      </c>
      <c r="K12" s="37">
        <v>80384.3</v>
      </c>
      <c r="L12" s="37">
        <v>79322.3</v>
      </c>
      <c r="M12" s="53"/>
      <c r="N12" s="37">
        <f t="shared" si="0"/>
        <v>288504</v>
      </c>
      <c r="O12" s="37"/>
      <c r="P12" s="37">
        <f t="shared" si="1"/>
        <v>134246.1</v>
      </c>
      <c r="Q12" s="37"/>
      <c r="R12" s="37">
        <f t="shared" si="2"/>
        <v>114395.2</v>
      </c>
      <c r="S12" s="37"/>
      <c r="T12" s="37">
        <f t="shared" si="3"/>
        <v>1062</v>
      </c>
      <c r="U12" s="37"/>
      <c r="V12" s="39">
        <f t="shared" si="4"/>
        <v>538207.29999999993</v>
      </c>
    </row>
    <row r="13" spans="1:25" x14ac:dyDescent="0.3">
      <c r="A13" s="38" t="s">
        <v>41</v>
      </c>
      <c r="B13" s="39">
        <v>547634.4</v>
      </c>
      <c r="C13" s="37">
        <v>293231.40000000002</v>
      </c>
      <c r="D13" s="37">
        <v>19476.3</v>
      </c>
      <c r="E13" s="37">
        <v>84688.8</v>
      </c>
      <c r="F13" s="37">
        <v>-900.4</v>
      </c>
      <c r="G13" s="37">
        <v>114423.3</v>
      </c>
      <c r="H13" s="37">
        <v>31164.400000000001</v>
      </c>
      <c r="I13" s="37">
        <v>-54.9</v>
      </c>
      <c r="J13" s="37">
        <v>5605.5</v>
      </c>
      <c r="K13" s="37">
        <v>89512.8</v>
      </c>
      <c r="L13" s="37">
        <v>83907.3</v>
      </c>
      <c r="M13" s="53"/>
      <c r="N13" s="37">
        <f t="shared" si="0"/>
        <v>293231.40000000002</v>
      </c>
      <c r="O13" s="37"/>
      <c r="P13" s="37">
        <f t="shared" si="1"/>
        <v>134374.20000000001</v>
      </c>
      <c r="Q13" s="37"/>
      <c r="R13" s="37">
        <f t="shared" si="2"/>
        <v>114423.3</v>
      </c>
      <c r="S13" s="37"/>
      <c r="T13" s="37">
        <f t="shared" si="3"/>
        <v>5605.5</v>
      </c>
      <c r="U13" s="37"/>
      <c r="V13" s="39">
        <f t="shared" si="4"/>
        <v>547634.4</v>
      </c>
    </row>
    <row r="14" spans="1:25" x14ac:dyDescent="0.3">
      <c r="A14" s="38" t="s">
        <v>42</v>
      </c>
      <c r="B14" s="39">
        <v>543529.5</v>
      </c>
      <c r="C14" s="37">
        <v>291113.40000000002</v>
      </c>
      <c r="D14" s="37">
        <v>19926.099999999999</v>
      </c>
      <c r="E14" s="37">
        <v>85449.7</v>
      </c>
      <c r="F14" s="37">
        <v>-435.1</v>
      </c>
      <c r="G14" s="37">
        <v>114519.5</v>
      </c>
      <c r="H14" s="37">
        <v>30946.2</v>
      </c>
      <c r="I14" s="37">
        <v>-34</v>
      </c>
      <c r="J14" s="37">
        <v>2043.8</v>
      </c>
      <c r="K14" s="37">
        <v>93977.1</v>
      </c>
      <c r="L14" s="37">
        <v>91933.3</v>
      </c>
      <c r="M14" s="53"/>
      <c r="N14" s="37">
        <f t="shared" si="0"/>
        <v>291113.40000000002</v>
      </c>
      <c r="O14" s="37"/>
      <c r="P14" s="37">
        <f t="shared" si="1"/>
        <v>135852.9</v>
      </c>
      <c r="Q14" s="37"/>
      <c r="R14" s="37">
        <f t="shared" si="2"/>
        <v>114519.5</v>
      </c>
      <c r="S14" s="37"/>
      <c r="T14" s="37">
        <f t="shared" si="3"/>
        <v>2043.8</v>
      </c>
      <c r="U14" s="37"/>
      <c r="V14" s="39">
        <f t="shared" si="4"/>
        <v>543529.60000000009</v>
      </c>
    </row>
    <row r="15" spans="1:25" x14ac:dyDescent="0.3">
      <c r="A15" s="38" t="s">
        <v>43</v>
      </c>
      <c r="B15" s="39">
        <v>543806.6</v>
      </c>
      <c r="C15" s="37">
        <v>291305.59999999998</v>
      </c>
      <c r="D15" s="37">
        <v>20557.5</v>
      </c>
      <c r="E15" s="37">
        <v>87875.1</v>
      </c>
      <c r="F15" s="37">
        <v>-430.8</v>
      </c>
      <c r="G15" s="37">
        <v>115612.8</v>
      </c>
      <c r="H15" s="37">
        <v>30467.1</v>
      </c>
      <c r="I15" s="37">
        <v>-44.4</v>
      </c>
      <c r="J15" s="37">
        <v>-1536.4</v>
      </c>
      <c r="K15" s="37">
        <v>98988.9</v>
      </c>
      <c r="L15" s="37">
        <v>100525.2</v>
      </c>
      <c r="M15" s="53"/>
      <c r="N15" s="37">
        <f t="shared" si="0"/>
        <v>291305.59999999998</v>
      </c>
      <c r="O15" s="37"/>
      <c r="P15" s="37">
        <f t="shared" si="1"/>
        <v>138424.5</v>
      </c>
      <c r="Q15" s="37"/>
      <c r="R15" s="37">
        <f t="shared" si="2"/>
        <v>115612.8</v>
      </c>
      <c r="S15" s="37"/>
      <c r="T15" s="37">
        <f t="shared" si="3"/>
        <v>-1536.4</v>
      </c>
      <c r="U15" s="37"/>
      <c r="V15" s="39">
        <f t="shared" si="4"/>
        <v>543806.5</v>
      </c>
    </row>
    <row r="16" spans="1:25" x14ac:dyDescent="0.3">
      <c r="A16" s="38" t="s">
        <v>44</v>
      </c>
      <c r="B16" s="39">
        <v>538151</v>
      </c>
      <c r="C16" s="37">
        <v>288265.7</v>
      </c>
      <c r="D16" s="37">
        <v>20853.2</v>
      </c>
      <c r="E16" s="37">
        <v>86373.1</v>
      </c>
      <c r="F16" s="37">
        <v>-60.7</v>
      </c>
      <c r="G16" s="37">
        <v>117640</v>
      </c>
      <c r="H16" s="37">
        <v>30114.799999999999</v>
      </c>
      <c r="I16" s="37">
        <v>-135.69999999999999</v>
      </c>
      <c r="J16" s="37">
        <v>-4899.1000000000004</v>
      </c>
      <c r="K16" s="37">
        <v>100182.39999999999</v>
      </c>
      <c r="L16" s="37">
        <v>105081.60000000001</v>
      </c>
      <c r="M16" s="53"/>
      <c r="N16" s="37">
        <f t="shared" si="0"/>
        <v>288265.7</v>
      </c>
      <c r="O16" s="37"/>
      <c r="P16" s="37">
        <f t="shared" si="1"/>
        <v>137144.70000000001</v>
      </c>
      <c r="Q16" s="37"/>
      <c r="R16" s="37">
        <f t="shared" si="2"/>
        <v>117640</v>
      </c>
      <c r="S16" s="37"/>
      <c r="T16" s="37">
        <f t="shared" si="3"/>
        <v>-4899.1000000000004</v>
      </c>
      <c r="U16" s="37"/>
      <c r="V16" s="39">
        <f t="shared" si="4"/>
        <v>538151.30000000005</v>
      </c>
      <c r="X16" s="20"/>
      <c r="Y16" s="20"/>
    </row>
    <row r="17" spans="1:23" x14ac:dyDescent="0.3">
      <c r="A17" s="34"/>
      <c r="M17" s="53"/>
    </row>
    <row r="18" spans="1:23" x14ac:dyDescent="0.3">
      <c r="R18" s="3" t="s">
        <v>49</v>
      </c>
      <c r="T18" s="3" t="s">
        <v>50</v>
      </c>
      <c r="V18" s="3"/>
      <c r="W18" s="3"/>
    </row>
    <row r="19" spans="1:23" x14ac:dyDescent="0.3">
      <c r="N19" s="38" t="s">
        <v>44</v>
      </c>
      <c r="P19" s="36">
        <f>V16</f>
        <v>538151.30000000005</v>
      </c>
      <c r="R19" s="20">
        <f>P19/P20-1</f>
        <v>-1.0399287246474542E-2</v>
      </c>
      <c r="T19" s="20">
        <f>(P19/(1-0.001))/P20-1</f>
        <v>-9.4086959424170002E-3</v>
      </c>
      <c r="V19" s="20"/>
      <c r="W19" s="20"/>
    </row>
    <row r="20" spans="1:23" x14ac:dyDescent="0.3">
      <c r="N20" s="38" t="s">
        <v>43</v>
      </c>
      <c r="P20" s="36">
        <f>V15</f>
        <v>543806.5</v>
      </c>
    </row>
    <row r="21" spans="1:23" x14ac:dyDescent="0.3">
      <c r="N21" s="38"/>
      <c r="P21" s="36"/>
    </row>
  </sheetData>
  <mergeCells count="1">
    <mergeCell ref="J4:L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E726-476D-456D-B8F2-099D07517DD3}">
  <dimension ref="A1:P26"/>
  <sheetViews>
    <sheetView workbookViewId="0"/>
  </sheetViews>
  <sheetFormatPr defaultRowHeight="14.4" x14ac:dyDescent="0.3"/>
  <cols>
    <col min="3" max="11" width="10.77734375" customWidth="1"/>
    <col min="12" max="12" width="8.88671875" customWidth="1"/>
    <col min="13" max="13" width="14.6640625" customWidth="1"/>
    <col min="14" max="14" width="8.88671875" customWidth="1"/>
  </cols>
  <sheetData>
    <row r="1" spans="1:16" x14ac:dyDescent="0.3">
      <c r="A1" t="s">
        <v>8</v>
      </c>
    </row>
    <row r="2" spans="1:16" x14ac:dyDescent="0.3">
      <c r="C2" s="2" t="s">
        <v>10</v>
      </c>
      <c r="D2" s="2"/>
      <c r="E2" s="21">
        <v>0.1</v>
      </c>
      <c r="F2" s="2" t="s">
        <v>10</v>
      </c>
      <c r="G2" s="2"/>
      <c r="H2" s="21">
        <v>0.02</v>
      </c>
      <c r="I2" s="2" t="s">
        <v>10</v>
      </c>
      <c r="J2" s="2"/>
      <c r="K2" s="21">
        <v>0</v>
      </c>
      <c r="L2" s="2" t="s">
        <v>10</v>
      </c>
      <c r="M2" s="2"/>
      <c r="N2" s="21">
        <v>-0.02</v>
      </c>
    </row>
    <row r="3" spans="1:16" x14ac:dyDescent="0.3">
      <c r="C3" s="4" t="s">
        <v>2</v>
      </c>
      <c r="D3" s="4"/>
      <c r="E3" s="4"/>
      <c r="F3" s="9" t="s">
        <v>3</v>
      </c>
      <c r="G3" s="9"/>
      <c r="H3" s="9"/>
      <c r="I3" s="8" t="s">
        <v>4</v>
      </c>
      <c r="J3" s="8"/>
      <c r="K3" s="8"/>
      <c r="L3" s="26" t="s">
        <v>15</v>
      </c>
      <c r="M3" s="26"/>
      <c r="N3" s="26"/>
      <c r="P3" t="s">
        <v>63</v>
      </c>
    </row>
    <row r="4" spans="1:16" x14ac:dyDescent="0.3">
      <c r="A4" s="1" t="s">
        <v>0</v>
      </c>
      <c r="B4" s="1" t="s">
        <v>1</v>
      </c>
      <c r="C4" s="5" t="s">
        <v>9</v>
      </c>
      <c r="D4" s="5" t="s">
        <v>5</v>
      </c>
      <c r="E4" s="5" t="s">
        <v>6</v>
      </c>
      <c r="F4" s="6" t="s">
        <v>9</v>
      </c>
      <c r="G4" s="6" t="s">
        <v>5</v>
      </c>
      <c r="H4" s="6" t="s">
        <v>6</v>
      </c>
      <c r="I4" s="7" t="s">
        <v>9</v>
      </c>
      <c r="J4" s="7" t="s">
        <v>5</v>
      </c>
      <c r="K4" s="7" t="s">
        <v>6</v>
      </c>
      <c r="L4" s="27" t="s">
        <v>9</v>
      </c>
      <c r="M4" s="27" t="s">
        <v>5</v>
      </c>
      <c r="N4" s="27" t="s">
        <v>6</v>
      </c>
      <c r="P4" t="s">
        <v>51</v>
      </c>
    </row>
    <row r="5" spans="1:16" x14ac:dyDescent="0.3">
      <c r="A5" s="1">
        <v>0</v>
      </c>
      <c r="B5" s="1">
        <v>2022</v>
      </c>
      <c r="C5" s="5"/>
      <c r="D5" s="5"/>
      <c r="E5" s="12">
        <v>0.5</v>
      </c>
      <c r="F5" s="6"/>
      <c r="G5" s="6"/>
      <c r="H5" s="16">
        <f>E5</f>
        <v>0.5</v>
      </c>
      <c r="I5" s="7"/>
      <c r="J5" s="7"/>
      <c r="K5" s="17">
        <f>E5</f>
        <v>0.5</v>
      </c>
      <c r="L5" s="27"/>
      <c r="M5" s="27"/>
      <c r="N5" s="28">
        <f>H5</f>
        <v>0.5</v>
      </c>
      <c r="P5" t="s">
        <v>12</v>
      </c>
    </row>
    <row r="6" spans="1:16" x14ac:dyDescent="0.3">
      <c r="A6" s="1">
        <v>1</v>
      </c>
      <c r="B6" s="1">
        <v>2023</v>
      </c>
      <c r="C6" s="12">
        <f>D6-E6</f>
        <v>9.9999999999999915E-4</v>
      </c>
      <c r="D6" s="12">
        <v>1.0999999999999999E-2</v>
      </c>
      <c r="E6" s="12">
        <v>0.01</v>
      </c>
      <c r="F6" s="16">
        <f>G6-H6</f>
        <v>9.9999999999999915E-4</v>
      </c>
      <c r="G6" s="16">
        <f>D6</f>
        <v>1.0999999999999999E-2</v>
      </c>
      <c r="H6" s="16">
        <f>E6</f>
        <v>0.01</v>
      </c>
      <c r="I6" s="17">
        <f>J6-K6</f>
        <v>9.9999999999999915E-4</v>
      </c>
      <c r="J6" s="17">
        <f>D6</f>
        <v>1.0999999999999999E-2</v>
      </c>
      <c r="K6" s="17">
        <f>E6</f>
        <v>0.01</v>
      </c>
      <c r="L6" s="28">
        <f>M6-N6</f>
        <v>9.9999999999999915E-4</v>
      </c>
      <c r="M6" s="28">
        <f>G6</f>
        <v>1.0999999999999999E-2</v>
      </c>
      <c r="N6" s="28">
        <f>H6</f>
        <v>0.01</v>
      </c>
    </row>
    <row r="7" spans="1:16" x14ac:dyDescent="0.3">
      <c r="A7" s="1">
        <v>2</v>
      </c>
      <c r="B7" s="1">
        <v>2024</v>
      </c>
      <c r="C7" s="12">
        <f t="shared" ref="C7:C15" si="0">D7-E7</f>
        <v>2.0999999999999994E-3</v>
      </c>
      <c r="D7" s="12">
        <f>D6*(1+$E$2)</f>
        <v>1.21E-2</v>
      </c>
      <c r="E7" s="12">
        <f>E6</f>
        <v>0.01</v>
      </c>
      <c r="F7" s="16">
        <f t="shared" ref="F7:F15" si="1">G7-H7</f>
        <v>1.2199999999999989E-3</v>
      </c>
      <c r="G7" s="16">
        <f>G6*(1+$H$2)</f>
        <v>1.1219999999999999E-2</v>
      </c>
      <c r="H7" s="16">
        <f t="shared" ref="H7:H15" si="2">E7</f>
        <v>0.01</v>
      </c>
      <c r="I7" s="17">
        <f t="shared" ref="I7:I15" si="3">J7-K7</f>
        <v>9.9999999999999915E-4</v>
      </c>
      <c r="J7" s="17">
        <f>J6*(1+$K$2)</f>
        <v>1.0999999999999999E-2</v>
      </c>
      <c r="K7" s="17">
        <f t="shared" ref="K7:K15" si="4">E7</f>
        <v>0.01</v>
      </c>
      <c r="L7" s="28">
        <f t="shared" ref="L7:L15" si="5">M7-N7</f>
        <v>7.7999999999999944E-4</v>
      </c>
      <c r="M7" s="28">
        <f>M6*(1+$N$2)</f>
        <v>1.078E-2</v>
      </c>
      <c r="N7" s="28">
        <f t="shared" ref="N7:N15" si="6">H7</f>
        <v>0.01</v>
      </c>
      <c r="P7" t="s">
        <v>16</v>
      </c>
    </row>
    <row r="8" spans="1:16" x14ac:dyDescent="0.3">
      <c r="A8" s="1">
        <v>3</v>
      </c>
      <c r="B8" s="1">
        <v>2025</v>
      </c>
      <c r="C8" s="12">
        <f t="shared" si="0"/>
        <v>3.3100000000000004E-3</v>
      </c>
      <c r="D8" s="12">
        <f t="shared" ref="D8:D15" si="7">D7*(1+$E$2)</f>
        <v>1.3310000000000001E-2</v>
      </c>
      <c r="E8" s="12">
        <f t="shared" ref="E8:E15" si="8">E7</f>
        <v>0.01</v>
      </c>
      <c r="F8" s="16">
        <f t="shared" si="1"/>
        <v>1.4443999999999985E-3</v>
      </c>
      <c r="G8" s="16">
        <f t="shared" ref="G8:G15" si="9">G7*(1+$H$2)</f>
        <v>1.1444399999999999E-2</v>
      </c>
      <c r="H8" s="16">
        <f t="shared" si="2"/>
        <v>0.01</v>
      </c>
      <c r="I8" s="17">
        <f t="shared" si="3"/>
        <v>9.9999999999999915E-4</v>
      </c>
      <c r="J8" s="17">
        <f t="shared" ref="J8:J15" si="10">J7*(1+$K$2)</f>
        <v>1.0999999999999999E-2</v>
      </c>
      <c r="K8" s="17">
        <f t="shared" si="4"/>
        <v>0.01</v>
      </c>
      <c r="L8" s="28">
        <f t="shared" si="5"/>
        <v>5.6439999999999962E-4</v>
      </c>
      <c r="M8" s="28">
        <f t="shared" ref="M8:M15" si="11">M7*(1+$N$2)</f>
        <v>1.05644E-2</v>
      </c>
      <c r="N8" s="28">
        <f t="shared" si="6"/>
        <v>0.01</v>
      </c>
      <c r="P8" t="s">
        <v>17</v>
      </c>
    </row>
    <row r="9" spans="1:16" x14ac:dyDescent="0.3">
      <c r="A9" s="1">
        <v>4</v>
      </c>
      <c r="B9" s="1">
        <v>2026</v>
      </c>
      <c r="C9" s="12">
        <f t="shared" si="0"/>
        <v>4.641000000000001E-3</v>
      </c>
      <c r="D9" s="12">
        <f t="shared" si="7"/>
        <v>1.4641000000000001E-2</v>
      </c>
      <c r="E9" s="12">
        <f t="shared" si="8"/>
        <v>0.01</v>
      </c>
      <c r="F9" s="16">
        <f t="shared" si="1"/>
        <v>1.6732879999999985E-3</v>
      </c>
      <c r="G9" s="16">
        <f t="shared" si="9"/>
        <v>1.1673287999999999E-2</v>
      </c>
      <c r="H9" s="16">
        <f t="shared" si="2"/>
        <v>0.01</v>
      </c>
      <c r="I9" s="17">
        <f t="shared" si="3"/>
        <v>9.9999999999999915E-4</v>
      </c>
      <c r="J9" s="17">
        <f t="shared" si="10"/>
        <v>1.0999999999999999E-2</v>
      </c>
      <c r="K9" s="17">
        <f t="shared" si="4"/>
        <v>0.01</v>
      </c>
      <c r="L9" s="28">
        <f t="shared" si="5"/>
        <v>3.5311199999999918E-4</v>
      </c>
      <c r="M9" s="28">
        <f t="shared" si="11"/>
        <v>1.0353111999999999E-2</v>
      </c>
      <c r="N9" s="28">
        <f t="shared" si="6"/>
        <v>0.01</v>
      </c>
    </row>
    <row r="10" spans="1:16" x14ac:dyDescent="0.3">
      <c r="A10" s="1">
        <v>5</v>
      </c>
      <c r="B10" s="1">
        <v>2027</v>
      </c>
      <c r="C10" s="12">
        <f t="shared" si="0"/>
        <v>6.1051000000000039E-3</v>
      </c>
      <c r="D10" s="12">
        <f t="shared" si="7"/>
        <v>1.6105100000000004E-2</v>
      </c>
      <c r="E10" s="12">
        <f t="shared" si="8"/>
        <v>0.01</v>
      </c>
      <c r="F10" s="16">
        <f t="shared" si="1"/>
        <v>1.9067537599999993E-3</v>
      </c>
      <c r="G10" s="16">
        <f t="shared" si="9"/>
        <v>1.190675376E-2</v>
      </c>
      <c r="H10" s="16">
        <f t="shared" si="2"/>
        <v>0.01</v>
      </c>
      <c r="I10" s="17">
        <f t="shared" si="3"/>
        <v>9.9999999999999915E-4</v>
      </c>
      <c r="J10" s="17">
        <f t="shared" si="10"/>
        <v>1.0999999999999999E-2</v>
      </c>
      <c r="K10" s="17">
        <f t="shared" si="4"/>
        <v>0.01</v>
      </c>
      <c r="L10" s="28">
        <f t="shared" si="5"/>
        <v>1.4604975999999922E-4</v>
      </c>
      <c r="M10" s="28">
        <f t="shared" si="11"/>
        <v>1.0146049759999999E-2</v>
      </c>
      <c r="N10" s="28">
        <f t="shared" si="6"/>
        <v>0.01</v>
      </c>
    </row>
    <row r="11" spans="1:16" x14ac:dyDescent="0.3">
      <c r="A11" s="1">
        <v>6</v>
      </c>
      <c r="B11" s="1">
        <v>2028</v>
      </c>
      <c r="C11" s="12">
        <f t="shared" si="0"/>
        <v>7.7156100000000064E-3</v>
      </c>
      <c r="D11" s="12">
        <f t="shared" si="7"/>
        <v>1.7715610000000007E-2</v>
      </c>
      <c r="E11" s="12">
        <f t="shared" si="8"/>
        <v>0.01</v>
      </c>
      <c r="F11" s="16">
        <f t="shared" si="1"/>
        <v>2.1448888351999987E-3</v>
      </c>
      <c r="G11" s="16">
        <f t="shared" si="9"/>
        <v>1.2144888835199999E-2</v>
      </c>
      <c r="H11" s="16">
        <f t="shared" si="2"/>
        <v>0.01</v>
      </c>
      <c r="I11" s="17">
        <f t="shared" si="3"/>
        <v>9.9999999999999915E-4</v>
      </c>
      <c r="J11" s="17">
        <f t="shared" si="10"/>
        <v>1.0999999999999999E-2</v>
      </c>
      <c r="K11" s="17">
        <f t="shared" si="4"/>
        <v>0.01</v>
      </c>
      <c r="L11" s="28">
        <f t="shared" si="5"/>
        <v>-5.6871235200000106E-5</v>
      </c>
      <c r="M11" s="28">
        <f t="shared" si="11"/>
        <v>9.9431287648000001E-3</v>
      </c>
      <c r="N11" s="28">
        <f t="shared" si="6"/>
        <v>0.01</v>
      </c>
    </row>
    <row r="12" spans="1:16" x14ac:dyDescent="0.3">
      <c r="A12" s="1">
        <v>7</v>
      </c>
      <c r="B12" s="1">
        <v>2029</v>
      </c>
      <c r="C12" s="12">
        <f t="shared" si="0"/>
        <v>9.4871710000000078E-3</v>
      </c>
      <c r="D12" s="12">
        <f t="shared" si="7"/>
        <v>1.9487171000000008E-2</v>
      </c>
      <c r="E12" s="12">
        <f t="shared" si="8"/>
        <v>0.01</v>
      </c>
      <c r="F12" s="16">
        <f t="shared" si="1"/>
        <v>2.3877866119039991E-3</v>
      </c>
      <c r="G12" s="16">
        <f t="shared" si="9"/>
        <v>1.2387786611903999E-2</v>
      </c>
      <c r="H12" s="16">
        <f t="shared" si="2"/>
        <v>0.01</v>
      </c>
      <c r="I12" s="17">
        <f t="shared" si="3"/>
        <v>9.9999999999999915E-4</v>
      </c>
      <c r="J12" s="17">
        <f t="shared" si="10"/>
        <v>1.0999999999999999E-2</v>
      </c>
      <c r="K12" s="17">
        <f t="shared" si="4"/>
        <v>0.01</v>
      </c>
      <c r="L12" s="28">
        <f t="shared" si="5"/>
        <v>-2.5573381049599948E-4</v>
      </c>
      <c r="M12" s="28">
        <f t="shared" si="11"/>
        <v>9.7442661895040007E-3</v>
      </c>
      <c r="N12" s="28">
        <f t="shared" si="6"/>
        <v>0.01</v>
      </c>
    </row>
    <row r="13" spans="1:16" x14ac:dyDescent="0.3">
      <c r="A13" s="1">
        <v>8</v>
      </c>
      <c r="B13" s="1">
        <v>2030</v>
      </c>
      <c r="C13" s="12">
        <f t="shared" si="0"/>
        <v>1.1435888100000012E-2</v>
      </c>
      <c r="D13" s="12">
        <f t="shared" si="7"/>
        <v>2.1435888100000012E-2</v>
      </c>
      <c r="E13" s="12">
        <f t="shared" si="8"/>
        <v>0.01</v>
      </c>
      <c r="F13" s="16">
        <f t="shared" si="1"/>
        <v>2.6355423441420788E-3</v>
      </c>
      <c r="G13" s="16">
        <f t="shared" si="9"/>
        <v>1.2635542344142079E-2</v>
      </c>
      <c r="H13" s="16">
        <f t="shared" si="2"/>
        <v>0.01</v>
      </c>
      <c r="I13" s="17">
        <f t="shared" si="3"/>
        <v>9.9999999999999915E-4</v>
      </c>
      <c r="J13" s="17">
        <f t="shared" si="10"/>
        <v>1.0999999999999999E-2</v>
      </c>
      <c r="K13" s="17">
        <f t="shared" si="4"/>
        <v>0.01</v>
      </c>
      <c r="L13" s="28">
        <f t="shared" si="5"/>
        <v>-4.5061913428607984E-4</v>
      </c>
      <c r="M13" s="28">
        <f t="shared" si="11"/>
        <v>9.5493808657139204E-3</v>
      </c>
      <c r="N13" s="28">
        <f t="shared" si="6"/>
        <v>0.01</v>
      </c>
    </row>
    <row r="14" spans="1:16" x14ac:dyDescent="0.3">
      <c r="A14" s="1">
        <v>9</v>
      </c>
      <c r="B14" s="1">
        <v>2031</v>
      </c>
      <c r="C14" s="12">
        <f t="shared" si="0"/>
        <v>1.3579476910000015E-2</v>
      </c>
      <c r="D14" s="12">
        <f t="shared" si="7"/>
        <v>2.3579476910000015E-2</v>
      </c>
      <c r="E14" s="12">
        <f t="shared" si="8"/>
        <v>0.01</v>
      </c>
      <c r="F14" s="16">
        <f t="shared" si="1"/>
        <v>2.8882531910249202E-3</v>
      </c>
      <c r="G14" s="16">
        <f t="shared" si="9"/>
        <v>1.288825319102492E-2</v>
      </c>
      <c r="H14" s="16">
        <f t="shared" si="2"/>
        <v>0.01</v>
      </c>
      <c r="I14" s="17">
        <f t="shared" si="3"/>
        <v>9.9999999999999915E-4</v>
      </c>
      <c r="J14" s="17">
        <f t="shared" si="10"/>
        <v>1.0999999999999999E-2</v>
      </c>
      <c r="K14" s="17">
        <f t="shared" si="4"/>
        <v>0.01</v>
      </c>
      <c r="L14" s="28">
        <f t="shared" si="5"/>
        <v>-6.4160675160035777E-4</v>
      </c>
      <c r="M14" s="28">
        <f t="shared" si="11"/>
        <v>9.3583932483996424E-3</v>
      </c>
      <c r="N14" s="28">
        <f t="shared" si="6"/>
        <v>0.01</v>
      </c>
    </row>
    <row r="15" spans="1:16" x14ac:dyDescent="0.3">
      <c r="A15" s="1">
        <v>10</v>
      </c>
      <c r="B15" s="1">
        <v>2032</v>
      </c>
      <c r="C15" s="12">
        <f t="shared" si="0"/>
        <v>1.5937424601000019E-2</v>
      </c>
      <c r="D15" s="12">
        <f t="shared" si="7"/>
        <v>2.5937424601000018E-2</v>
      </c>
      <c r="E15" s="12">
        <f t="shared" si="8"/>
        <v>0.01</v>
      </c>
      <c r="F15" s="16">
        <f t="shared" si="1"/>
        <v>3.1460182548454195E-3</v>
      </c>
      <c r="G15" s="16">
        <f t="shared" si="9"/>
        <v>1.314601825484542E-2</v>
      </c>
      <c r="H15" s="16">
        <f t="shared" si="2"/>
        <v>0.01</v>
      </c>
      <c r="I15" s="17">
        <f t="shared" si="3"/>
        <v>9.9999999999999915E-4</v>
      </c>
      <c r="J15" s="17">
        <f t="shared" si="10"/>
        <v>1.0999999999999999E-2</v>
      </c>
      <c r="K15" s="17">
        <f t="shared" si="4"/>
        <v>0.01</v>
      </c>
      <c r="L15" s="28">
        <f t="shared" si="5"/>
        <v>-8.2877461656835107E-4</v>
      </c>
      <c r="M15" s="28">
        <f t="shared" si="11"/>
        <v>9.1712253834316491E-3</v>
      </c>
      <c r="N15" s="28">
        <f t="shared" si="6"/>
        <v>0.01</v>
      </c>
    </row>
    <row r="16" spans="1:16" x14ac:dyDescent="0.3">
      <c r="B16" s="1"/>
      <c r="C16" s="5"/>
      <c r="D16" s="5"/>
      <c r="E16" s="5"/>
      <c r="F16" s="6"/>
      <c r="G16" s="6"/>
      <c r="H16" s="6"/>
      <c r="I16" s="7"/>
      <c r="J16" s="7"/>
      <c r="K16" s="7"/>
      <c r="L16" s="27"/>
      <c r="M16" s="27"/>
      <c r="N16" s="27"/>
    </row>
    <row r="17" spans="1:14" x14ac:dyDescent="0.3">
      <c r="A17" s="18" t="s">
        <v>7</v>
      </c>
      <c r="B17" s="18"/>
      <c r="C17" s="13">
        <f>AVERAGE(C6:C15)</f>
        <v>7.5311670611000071E-3</v>
      </c>
      <c r="D17" s="13">
        <f>AVERAGE(D6:D15)</f>
        <v>1.7531167061100007E-2</v>
      </c>
      <c r="E17" s="13">
        <f>AVERAGE(E6:E15)</f>
        <v>9.9999999999999985E-3</v>
      </c>
      <c r="F17" s="14">
        <f>AVERAGE(F6:F15)</f>
        <v>2.0446930997116411E-3</v>
      </c>
      <c r="G17" s="14">
        <f>AVERAGE(G6:G15)</f>
        <v>1.204469309971164E-2</v>
      </c>
      <c r="H17" s="14">
        <f>H5</f>
        <v>0.5</v>
      </c>
      <c r="I17" s="15">
        <f>AVERAGE(I6:I15)</f>
        <v>9.9999999999999915E-4</v>
      </c>
      <c r="J17" s="15">
        <f>AVERAGE(J6:J15)</f>
        <v>1.0999999999999998E-2</v>
      </c>
      <c r="K17" s="15">
        <f>K5</f>
        <v>0.5</v>
      </c>
      <c r="L17" s="29">
        <f>AVERAGE(L6:L15)</f>
        <v>6.0995621184920838E-5</v>
      </c>
      <c r="M17" s="29">
        <f>AVERAGE(M6:M15)</f>
        <v>1.0060995621184923E-2</v>
      </c>
      <c r="N17" s="29">
        <f>N5</f>
        <v>0.5</v>
      </c>
    </row>
    <row r="19" spans="1:14" x14ac:dyDescent="0.3">
      <c r="A19" s="18" t="s">
        <v>11</v>
      </c>
      <c r="B19" s="18"/>
      <c r="C19" s="25">
        <f>C17/E5</f>
        <v>1.5062334122200014E-2</v>
      </c>
      <c r="F19" s="25">
        <f>F17/H5</f>
        <v>4.0893861994232821E-3</v>
      </c>
      <c r="I19" s="25">
        <f>I17/K5</f>
        <v>1.9999999999999983E-3</v>
      </c>
      <c r="L19" s="25">
        <f>L17/N5</f>
        <v>1.2199124236984168E-4</v>
      </c>
    </row>
    <row r="21" spans="1:14" x14ac:dyDescent="0.3">
      <c r="A21" s="18" t="s">
        <v>13</v>
      </c>
      <c r="B21" s="18"/>
      <c r="C21" s="24">
        <v>5.0000000000000001E-4</v>
      </c>
      <c r="F21" s="24">
        <v>5.0000000000000001E-4</v>
      </c>
      <c r="I21" s="24">
        <v>5.0000000000000001E-4</v>
      </c>
      <c r="L21" s="24">
        <v>5.0000000000000001E-4</v>
      </c>
    </row>
    <row r="22" spans="1:14" x14ac:dyDescent="0.3">
      <c r="A22" s="22" t="s">
        <v>14</v>
      </c>
    </row>
    <row r="26" spans="1:14" x14ac:dyDescent="0.3">
      <c r="I26" s="11"/>
      <c r="J26" s="11"/>
    </row>
  </sheetData>
  <mergeCells count="11">
    <mergeCell ref="A19:B19"/>
    <mergeCell ref="A21:B21"/>
    <mergeCell ref="L2:M2"/>
    <mergeCell ref="L3:N3"/>
    <mergeCell ref="C3:E3"/>
    <mergeCell ref="F3:H3"/>
    <mergeCell ref="I3:K3"/>
    <mergeCell ref="A17:B17"/>
    <mergeCell ref="C2:D2"/>
    <mergeCell ref="F2:G2"/>
    <mergeCell ref="I2:J2"/>
  </mergeCells>
  <pageMargins left="0.7" right="0.7" top="0.75" bottom="0.75" header="0.3" footer="0.3"/>
  <ignoredErrors>
    <ignoredError sqref="H17 L6" formula="1"/>
    <ignoredError sqref="E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FC65-39EB-420E-979A-538859091EDC}">
  <dimension ref="A1:U44"/>
  <sheetViews>
    <sheetView workbookViewId="0"/>
  </sheetViews>
  <sheetFormatPr defaultRowHeight="14.4" x14ac:dyDescent="0.3"/>
  <cols>
    <col min="3" max="3" width="2.77734375" customWidth="1"/>
    <col min="5" max="5" width="2.77734375" customWidth="1"/>
    <col min="7" max="7" width="2.77734375" customWidth="1"/>
    <col min="9" max="9" width="2.77734375" customWidth="1"/>
    <col min="11" max="11" width="2.77734375" customWidth="1"/>
    <col min="12" max="12" width="5.77734375" customWidth="1"/>
    <col min="13" max="13" width="23.21875" customWidth="1"/>
    <col min="14" max="14" width="2.77734375" style="3" customWidth="1"/>
    <col min="15" max="15" width="16.109375" bestFit="1" customWidth="1"/>
    <col min="16" max="16" width="2.77734375" customWidth="1"/>
    <col min="17" max="17" width="11.77734375" bestFit="1" customWidth="1"/>
    <col min="18" max="18" width="2.77734375" style="3" customWidth="1"/>
    <col min="19" max="19" width="12" bestFit="1" customWidth="1"/>
    <col min="23" max="23" width="10" bestFit="1" customWidth="1"/>
  </cols>
  <sheetData>
    <row r="1" spans="1:21" x14ac:dyDescent="0.3">
      <c r="A1" t="s">
        <v>8</v>
      </c>
      <c r="K1" s="53"/>
    </row>
    <row r="2" spans="1:21" x14ac:dyDescent="0.3">
      <c r="B2" s="31" t="s">
        <v>20</v>
      </c>
      <c r="C2" s="31" t="s">
        <v>48</v>
      </c>
      <c r="D2" s="31" t="s">
        <v>22</v>
      </c>
      <c r="E2" s="31" t="s">
        <v>48</v>
      </c>
      <c r="F2" s="31" t="s">
        <v>21</v>
      </c>
      <c r="G2" s="31" t="s">
        <v>48</v>
      </c>
      <c r="H2" s="31" t="s">
        <v>45</v>
      </c>
      <c r="I2" s="31" t="s">
        <v>47</v>
      </c>
      <c r="J2" s="31" t="s">
        <v>46</v>
      </c>
      <c r="K2" s="53"/>
    </row>
    <row r="3" spans="1:21" x14ac:dyDescent="0.3">
      <c r="A3" s="47" t="s">
        <v>36</v>
      </c>
      <c r="B3" s="52">
        <v>76590.100000000006</v>
      </c>
      <c r="C3" s="52"/>
      <c r="D3" s="52">
        <v>35528.699999999997</v>
      </c>
      <c r="E3" s="52"/>
      <c r="F3" s="52">
        <v>25658.7</v>
      </c>
      <c r="G3" s="52"/>
      <c r="H3" s="52">
        <v>-824.7</v>
      </c>
      <c r="I3" s="10"/>
      <c r="J3" s="51">
        <v>136952.79999999999</v>
      </c>
      <c r="K3" s="53"/>
      <c r="L3" s="36"/>
      <c r="M3" s="38" t="s">
        <v>53</v>
      </c>
      <c r="N3" s="3" t="s">
        <v>47</v>
      </c>
      <c r="O3" s="55" t="s">
        <v>54</v>
      </c>
      <c r="P3" s="1" t="s">
        <v>55</v>
      </c>
      <c r="Q3" s="58" t="s">
        <v>56</v>
      </c>
    </row>
    <row r="4" spans="1:21" x14ac:dyDescent="0.3">
      <c r="A4" s="38" t="s">
        <v>37</v>
      </c>
      <c r="B4" s="37">
        <v>77016.7</v>
      </c>
      <c r="C4" s="37"/>
      <c r="D4" s="37">
        <v>37182.9</v>
      </c>
      <c r="E4" s="37"/>
      <c r="F4" s="37">
        <v>30061.9</v>
      </c>
      <c r="G4" s="37"/>
      <c r="H4" s="37">
        <v>-196.5</v>
      </c>
      <c r="J4" s="39">
        <v>144065</v>
      </c>
      <c r="K4" s="54"/>
      <c r="L4" s="36"/>
      <c r="O4" s="56">
        <f>flujos!E5</f>
        <v>0.5</v>
      </c>
      <c r="P4" s="1" t="s">
        <v>55</v>
      </c>
      <c r="Q4" s="59">
        <f>1/(1-$B$13)</f>
        <v>2.2100546687814262</v>
      </c>
      <c r="R4" s="41" t="s">
        <v>47</v>
      </c>
      <c r="S4" s="40">
        <f>O4*Q4</f>
        <v>1.1050273343907131</v>
      </c>
      <c r="U4" t="s">
        <v>57</v>
      </c>
    </row>
    <row r="5" spans="1:21" x14ac:dyDescent="0.3">
      <c r="A5" s="38" t="s">
        <v>38</v>
      </c>
      <c r="B5" s="37">
        <v>74456</v>
      </c>
      <c r="C5" s="37"/>
      <c r="D5" s="37">
        <v>36971.299999999996</v>
      </c>
      <c r="E5" s="37"/>
      <c r="F5" s="37">
        <v>26573.3</v>
      </c>
      <c r="G5" s="37"/>
      <c r="H5" s="37">
        <v>-255.2</v>
      </c>
      <c r="J5" s="39">
        <v>137745.29999999999</v>
      </c>
      <c r="K5" s="54"/>
      <c r="L5" s="36"/>
      <c r="S5" s="1"/>
      <c r="U5" t="s">
        <v>58</v>
      </c>
    </row>
    <row r="6" spans="1:21" x14ac:dyDescent="0.3">
      <c r="A6" s="38" t="s">
        <v>39</v>
      </c>
      <c r="B6" s="37">
        <v>67840.3</v>
      </c>
      <c r="C6" s="37"/>
      <c r="D6" s="37">
        <v>31625.099999999995</v>
      </c>
      <c r="E6" s="37"/>
      <c r="F6" s="37">
        <v>29688.400000000001</v>
      </c>
      <c r="G6" s="37"/>
      <c r="H6" s="37">
        <v>-2895</v>
      </c>
      <c r="J6" s="39">
        <v>126258.9</v>
      </c>
      <c r="K6" s="54"/>
    </row>
    <row r="7" spans="1:21" x14ac:dyDescent="0.3">
      <c r="A7" s="38" t="s">
        <v>40</v>
      </c>
      <c r="B7" s="37">
        <v>71749.7</v>
      </c>
      <c r="C7" s="37"/>
      <c r="D7" s="37">
        <v>32611.299999999996</v>
      </c>
      <c r="E7" s="37"/>
      <c r="F7" s="37">
        <v>26298.5</v>
      </c>
      <c r="G7" s="37"/>
      <c r="H7" s="37">
        <v>353.3</v>
      </c>
      <c r="J7" s="39">
        <v>131012.8</v>
      </c>
      <c r="K7" s="54"/>
    </row>
    <row r="8" spans="1:21" x14ac:dyDescent="0.3">
      <c r="A8" s="38" t="s">
        <v>41</v>
      </c>
      <c r="B8" s="37">
        <v>75452.600000000006</v>
      </c>
      <c r="C8" s="37"/>
      <c r="D8" s="37">
        <v>35564</v>
      </c>
      <c r="E8" s="37"/>
      <c r="F8" s="37">
        <v>30625.1</v>
      </c>
      <c r="G8" s="37"/>
      <c r="H8" s="37">
        <v>1496.7</v>
      </c>
      <c r="J8" s="39">
        <v>143138.5</v>
      </c>
      <c r="K8" s="54"/>
      <c r="M8" s="22" t="s">
        <v>59</v>
      </c>
      <c r="N8" s="3" t="s">
        <v>47</v>
      </c>
      <c r="O8" s="42" t="s">
        <v>53</v>
      </c>
      <c r="P8" s="42"/>
      <c r="Q8" s="42"/>
      <c r="R8" s="41" t="s">
        <v>47</v>
      </c>
      <c r="S8" s="61">
        <f>S4/J11</f>
        <v>8.4365403435359219E-6</v>
      </c>
    </row>
    <row r="9" spans="1:21" x14ac:dyDescent="0.3">
      <c r="A9" s="38" t="s">
        <v>42</v>
      </c>
      <c r="B9" s="37">
        <v>71897.7</v>
      </c>
      <c r="C9" s="37"/>
      <c r="D9" s="37">
        <v>35481.799999999996</v>
      </c>
      <c r="E9" s="37"/>
      <c r="F9" s="37">
        <v>27094</v>
      </c>
      <c r="G9" s="37"/>
      <c r="H9" s="37">
        <v>626.29999999999995</v>
      </c>
      <c r="I9" s="37"/>
      <c r="J9" s="39">
        <v>135099.79999999999</v>
      </c>
      <c r="K9" s="54"/>
      <c r="O9" s="43" t="s">
        <v>19</v>
      </c>
      <c r="P9" s="43"/>
      <c r="Q9" s="43"/>
    </row>
    <row r="10" spans="1:21" x14ac:dyDescent="0.3">
      <c r="A10" s="38" t="s">
        <v>43</v>
      </c>
      <c r="B10" s="37">
        <v>71836</v>
      </c>
      <c r="C10" s="37"/>
      <c r="D10" s="37">
        <v>32065.5</v>
      </c>
      <c r="E10" s="37"/>
      <c r="F10" s="37">
        <v>30710.1</v>
      </c>
      <c r="G10" s="37"/>
      <c r="H10" s="37">
        <v>-688.6</v>
      </c>
      <c r="I10" s="37"/>
      <c r="J10" s="39">
        <v>133923.1</v>
      </c>
      <c r="K10" s="54"/>
    </row>
    <row r="11" spans="1:21" x14ac:dyDescent="0.3">
      <c r="A11" s="48" t="s">
        <v>44</v>
      </c>
      <c r="B11" s="49">
        <v>71715.100000000006</v>
      </c>
      <c r="C11" s="49"/>
      <c r="D11" s="49">
        <v>33339.800000000003</v>
      </c>
      <c r="E11" s="49"/>
      <c r="F11" s="49">
        <v>27070.1</v>
      </c>
      <c r="G11" s="49"/>
      <c r="H11" s="49">
        <v>-1143.8</v>
      </c>
      <c r="I11" s="49"/>
      <c r="J11" s="50">
        <v>130981.1</v>
      </c>
      <c r="K11" s="53"/>
    </row>
    <row r="12" spans="1:21" x14ac:dyDescent="0.3">
      <c r="M12" s="22" t="s">
        <v>60</v>
      </c>
    </row>
    <row r="13" spans="1:21" x14ac:dyDescent="0.3">
      <c r="A13" s="38" t="s">
        <v>52</v>
      </c>
      <c r="B13" s="19">
        <f>B11/J11</f>
        <v>0.54752250515532397</v>
      </c>
    </row>
    <row r="14" spans="1:21" x14ac:dyDescent="0.3">
      <c r="L14" s="44">
        <v>0.01</v>
      </c>
      <c r="M14" s="38" t="s">
        <v>53</v>
      </c>
      <c r="N14" s="3" t="s">
        <v>47</v>
      </c>
      <c r="O14" s="55" t="s">
        <v>54</v>
      </c>
      <c r="P14" s="1" t="s">
        <v>55</v>
      </c>
      <c r="Q14" s="58" t="s">
        <v>56</v>
      </c>
    </row>
    <row r="15" spans="1:21" x14ac:dyDescent="0.3">
      <c r="L15" s="1"/>
      <c r="O15" s="57">
        <f>$F$11*(L14)</f>
        <v>270.70099999999996</v>
      </c>
      <c r="P15" s="1" t="s">
        <v>55</v>
      </c>
      <c r="Q15" s="59">
        <f>1/(1-$B$13)</f>
        <v>2.2100546687814262</v>
      </c>
      <c r="R15" s="41" t="s">
        <v>47</v>
      </c>
      <c r="S15" s="62">
        <f>O15*Q15</f>
        <v>598.26400889380079</v>
      </c>
      <c r="U15" t="s">
        <v>61</v>
      </c>
    </row>
    <row r="16" spans="1:21" x14ac:dyDescent="0.3">
      <c r="L16" s="1"/>
      <c r="S16" s="1"/>
      <c r="U16" t="s">
        <v>62</v>
      </c>
    </row>
    <row r="17" spans="12:21" x14ac:dyDescent="0.3">
      <c r="L17" s="1"/>
      <c r="M17" s="22" t="s">
        <v>59</v>
      </c>
      <c r="N17" s="3" t="s">
        <v>47</v>
      </c>
      <c r="O17" s="42" t="s">
        <v>53</v>
      </c>
      <c r="P17" s="42"/>
      <c r="Q17" s="42"/>
      <c r="R17" s="41" t="s">
        <v>47</v>
      </c>
      <c r="S17" s="61">
        <f>S15/$J$11</f>
        <v>4.5675598150710355E-3</v>
      </c>
    </row>
    <row r="18" spans="12:21" x14ac:dyDescent="0.3">
      <c r="O18" s="43" t="s">
        <v>19</v>
      </c>
      <c r="P18" s="43"/>
      <c r="Q18" s="43"/>
    </row>
    <row r="19" spans="12:21" x14ac:dyDescent="0.3">
      <c r="O19" s="46"/>
      <c r="P19" s="46"/>
      <c r="Q19" s="46"/>
    </row>
    <row r="20" spans="12:21" x14ac:dyDescent="0.3">
      <c r="M20" s="22" t="s">
        <v>66</v>
      </c>
      <c r="N20" s="3" t="s">
        <v>47</v>
      </c>
      <c r="O20" t="s">
        <v>19</v>
      </c>
      <c r="P20" s="1" t="s">
        <v>55</v>
      </c>
      <c r="Q20" s="60" t="s">
        <v>67</v>
      </c>
      <c r="R20" s="41" t="s">
        <v>47</v>
      </c>
      <c r="S20" s="39">
        <f>$J$11*(1+S17)</f>
        <v>131579.36400889378</v>
      </c>
    </row>
    <row r="21" spans="12:21" x14ac:dyDescent="0.3">
      <c r="O21" s="46"/>
      <c r="P21" s="46"/>
      <c r="Q21" s="46"/>
    </row>
    <row r="23" spans="12:21" x14ac:dyDescent="0.3">
      <c r="L23" s="44">
        <v>0.02</v>
      </c>
      <c r="M23" s="38" t="s">
        <v>53</v>
      </c>
      <c r="N23" s="3" t="s">
        <v>47</v>
      </c>
      <c r="O23" s="55" t="s">
        <v>54</v>
      </c>
      <c r="P23" s="1" t="s">
        <v>55</v>
      </c>
      <c r="Q23" s="58" t="s">
        <v>56</v>
      </c>
    </row>
    <row r="24" spans="12:21" x14ac:dyDescent="0.3">
      <c r="O24" s="57">
        <f>$F$11*(L23)</f>
        <v>541.40199999999993</v>
      </c>
      <c r="P24" s="1" t="s">
        <v>55</v>
      </c>
      <c r="Q24" s="59">
        <f>1/(1-$B$13)</f>
        <v>2.2100546687814262</v>
      </c>
      <c r="R24" s="41" t="s">
        <v>47</v>
      </c>
      <c r="S24" s="45">
        <f>O24*Q24</f>
        <v>1196.5280177876016</v>
      </c>
      <c r="U24" t="s">
        <v>64</v>
      </c>
    </row>
    <row r="25" spans="12:21" x14ac:dyDescent="0.3">
      <c r="S25" s="1"/>
      <c r="U25" t="s">
        <v>65</v>
      </c>
    </row>
    <row r="26" spans="12:21" x14ac:dyDescent="0.3">
      <c r="M26" s="22" t="s">
        <v>59</v>
      </c>
      <c r="N26" s="3" t="s">
        <v>47</v>
      </c>
      <c r="O26" s="42" t="s">
        <v>53</v>
      </c>
      <c r="P26" s="42"/>
      <c r="Q26" s="42"/>
      <c r="R26" s="41" t="s">
        <v>47</v>
      </c>
      <c r="S26" s="61">
        <f>S24/$J$11</f>
        <v>9.135119630142071E-3</v>
      </c>
    </row>
    <row r="27" spans="12:21" x14ac:dyDescent="0.3">
      <c r="O27" s="43" t="s">
        <v>19</v>
      </c>
      <c r="P27" s="43"/>
      <c r="Q27" s="43"/>
    </row>
    <row r="29" spans="12:21" x14ac:dyDescent="0.3">
      <c r="M29" s="22" t="s">
        <v>66</v>
      </c>
      <c r="N29" s="3" t="s">
        <v>47</v>
      </c>
      <c r="O29" t="s">
        <v>19</v>
      </c>
      <c r="P29" s="1" t="s">
        <v>55</v>
      </c>
      <c r="Q29" s="60" t="s">
        <v>67</v>
      </c>
      <c r="R29" s="41" t="s">
        <v>47</v>
      </c>
      <c r="S29" s="39">
        <f>$J$11*(1+S26)</f>
        <v>132177.62801778762</v>
      </c>
    </row>
    <row r="32" spans="12:21" x14ac:dyDescent="0.3">
      <c r="L32" s="44">
        <v>0.1</v>
      </c>
      <c r="M32" s="38" t="s">
        <v>53</v>
      </c>
      <c r="N32" s="3" t="s">
        <v>47</v>
      </c>
      <c r="O32" s="55" t="s">
        <v>54</v>
      </c>
      <c r="P32" s="1" t="s">
        <v>55</v>
      </c>
      <c r="Q32" s="58" t="s">
        <v>56</v>
      </c>
    </row>
    <row r="33" spans="2:21" x14ac:dyDescent="0.3">
      <c r="O33" s="57">
        <f>$F$11*(L32)</f>
        <v>2707.01</v>
      </c>
      <c r="P33" s="1" t="s">
        <v>55</v>
      </c>
      <c r="Q33" s="59">
        <f>1/(1-$B$13)</f>
        <v>2.2100546687814262</v>
      </c>
      <c r="R33" s="41" t="s">
        <v>47</v>
      </c>
      <c r="S33" s="45">
        <f>O33*Q33</f>
        <v>5982.6400889380093</v>
      </c>
      <c r="U33" t="s">
        <v>68</v>
      </c>
    </row>
    <row r="34" spans="2:21" x14ac:dyDescent="0.3">
      <c r="B34" s="35"/>
      <c r="C34" s="35"/>
      <c r="D34" s="35"/>
      <c r="E34" s="35"/>
      <c r="F34" s="35"/>
      <c r="G34" s="35"/>
      <c r="H34" s="35"/>
      <c r="I34" s="35"/>
      <c r="J34" s="35"/>
      <c r="K34" s="35"/>
      <c r="S34" s="1"/>
      <c r="U34" t="s">
        <v>69</v>
      </c>
    </row>
    <row r="35" spans="2:21" x14ac:dyDescent="0.3">
      <c r="B35" s="35"/>
      <c r="C35" s="35"/>
      <c r="D35" s="35"/>
      <c r="E35" s="35"/>
      <c r="F35" s="35"/>
      <c r="G35" s="35"/>
      <c r="H35" s="35"/>
      <c r="I35" s="35"/>
      <c r="J35" s="35"/>
      <c r="K35" s="35"/>
      <c r="M35" s="22" t="s">
        <v>59</v>
      </c>
      <c r="N35" s="3" t="s">
        <v>47</v>
      </c>
      <c r="O35" s="42" t="s">
        <v>53</v>
      </c>
      <c r="P35" s="42"/>
      <c r="Q35" s="42"/>
      <c r="R35" s="41" t="s">
        <v>47</v>
      </c>
      <c r="S35" s="61">
        <f>S33/$J$11</f>
        <v>4.5675598150710366E-2</v>
      </c>
    </row>
    <row r="36" spans="2:21" x14ac:dyDescent="0.3">
      <c r="B36" s="35"/>
      <c r="C36" s="35"/>
      <c r="D36" s="35"/>
      <c r="E36" s="35"/>
      <c r="F36" s="35"/>
      <c r="G36" s="35"/>
      <c r="H36" s="35"/>
      <c r="I36" s="35"/>
      <c r="J36" s="35"/>
      <c r="K36" s="35"/>
      <c r="O36" s="43" t="s">
        <v>19</v>
      </c>
      <c r="P36" s="43"/>
      <c r="Q36" s="43"/>
    </row>
    <row r="37" spans="2:21" x14ac:dyDescent="0.3">
      <c r="B37" s="35"/>
      <c r="C37" s="35"/>
      <c r="D37" s="35"/>
      <c r="E37" s="35"/>
      <c r="F37" s="35"/>
      <c r="G37" s="35"/>
      <c r="I37" s="35"/>
      <c r="J37" s="35"/>
      <c r="K37" s="35"/>
    </row>
    <row r="38" spans="2:21" x14ac:dyDescent="0.3">
      <c r="B38" s="35"/>
      <c r="C38" s="35"/>
      <c r="D38" s="35"/>
      <c r="E38" s="35"/>
      <c r="F38" s="35"/>
      <c r="G38" s="35"/>
      <c r="I38" s="35"/>
      <c r="J38" s="35"/>
      <c r="K38" s="35"/>
      <c r="M38" s="22" t="s">
        <v>66</v>
      </c>
      <c r="N38" s="3" t="s">
        <v>47</v>
      </c>
      <c r="O38" t="s">
        <v>19</v>
      </c>
      <c r="P38" s="1" t="s">
        <v>55</v>
      </c>
      <c r="Q38" s="60" t="s">
        <v>67</v>
      </c>
      <c r="R38" s="41" t="s">
        <v>47</v>
      </c>
      <c r="S38" s="39">
        <f>$J$11*(1+S35)</f>
        <v>136963.74008893804</v>
      </c>
    </row>
    <row r="39" spans="2:21" x14ac:dyDescent="0.3">
      <c r="B39" s="35"/>
      <c r="C39" s="35"/>
      <c r="D39" s="35"/>
      <c r="E39" s="35"/>
      <c r="F39" s="35"/>
      <c r="G39" s="35"/>
      <c r="H39" s="35"/>
      <c r="I39" s="35"/>
      <c r="J39" s="35"/>
      <c r="K39" s="35"/>
      <c r="O39" s="35"/>
    </row>
    <row r="40" spans="2:21" x14ac:dyDescent="0.3">
      <c r="B40" s="35"/>
      <c r="C40" s="35"/>
      <c r="D40" s="35"/>
      <c r="E40" s="35"/>
      <c r="F40" s="35"/>
      <c r="G40" s="35"/>
      <c r="H40" s="35"/>
      <c r="I40" s="35"/>
      <c r="J40" s="35"/>
      <c r="K40" s="35"/>
      <c r="O40" s="35"/>
    </row>
    <row r="41" spans="2:21" x14ac:dyDescent="0.3">
      <c r="B41" s="35"/>
      <c r="C41" s="35"/>
      <c r="D41" s="35"/>
      <c r="E41" s="35"/>
      <c r="F41" s="35"/>
      <c r="G41" s="35"/>
      <c r="I41" s="35"/>
      <c r="J41" s="35"/>
      <c r="K41" s="35"/>
      <c r="M41" s="35"/>
      <c r="O41" s="35"/>
    </row>
    <row r="44" spans="2:21" x14ac:dyDescent="0.3">
      <c r="B44" s="35"/>
      <c r="C44" s="35"/>
      <c r="D44" s="35"/>
      <c r="E44" s="35"/>
      <c r="F44" s="35"/>
      <c r="H44" s="35"/>
      <c r="I44" s="35"/>
      <c r="L44" s="35"/>
      <c r="M44" s="35"/>
      <c r="N44" s="35"/>
    </row>
  </sheetData>
  <mergeCells count="8">
    <mergeCell ref="O27:Q27"/>
    <mergeCell ref="O35:Q35"/>
    <mergeCell ref="O36:Q36"/>
    <mergeCell ref="O8:Q8"/>
    <mergeCell ref="O9:Q9"/>
    <mergeCell ref="O17:Q17"/>
    <mergeCell ref="O18:Q18"/>
    <mergeCell ref="O26:Q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501E-8959-4180-BA4C-DC9A187A3661}">
  <dimension ref="A1:T41"/>
  <sheetViews>
    <sheetView workbookViewId="0">
      <selection activeCell="T24" sqref="T24"/>
    </sheetView>
  </sheetViews>
  <sheetFormatPr defaultRowHeight="14.4" x14ac:dyDescent="0.3"/>
  <cols>
    <col min="2" max="2" width="15.21875" customWidth="1"/>
    <col min="3" max="3" width="2.77734375" style="1" customWidth="1"/>
    <col min="4" max="4" width="16.21875" bestFit="1" customWidth="1"/>
    <col min="5" max="5" width="2.77734375" style="1" customWidth="1"/>
    <col min="6" max="6" width="18" bestFit="1" customWidth="1"/>
    <col min="7" max="7" width="2.77734375" style="1" customWidth="1"/>
    <col min="8" max="8" width="10.5546875" bestFit="1" customWidth="1"/>
    <col min="9" max="9" width="10.5546875" customWidth="1"/>
    <col min="10" max="10" width="2.77734375" customWidth="1"/>
    <col min="12" max="12" width="19.6640625" customWidth="1"/>
    <col min="13" max="13" width="2.77734375" customWidth="1"/>
    <col min="14" max="14" width="17.6640625" customWidth="1"/>
    <col min="15" max="15" width="2.77734375" customWidth="1"/>
    <col min="16" max="16" width="11.5546875" customWidth="1"/>
    <col min="17" max="17" width="2.77734375" customWidth="1"/>
    <col min="18" max="18" width="12" bestFit="1" customWidth="1"/>
  </cols>
  <sheetData>
    <row r="1" spans="1:20" x14ac:dyDescent="0.3">
      <c r="A1" t="s">
        <v>8</v>
      </c>
      <c r="J1" s="53"/>
      <c r="L1" s="22" t="s">
        <v>77</v>
      </c>
      <c r="M1" s="3"/>
      <c r="Q1" s="3"/>
    </row>
    <row r="2" spans="1:20" x14ac:dyDescent="0.3">
      <c r="B2" s="22" t="s">
        <v>70</v>
      </c>
      <c r="C2" s="3" t="s">
        <v>47</v>
      </c>
      <c r="D2" s="22" t="s">
        <v>71</v>
      </c>
      <c r="E2" s="3" t="s">
        <v>48</v>
      </c>
      <c r="F2" s="22" t="s">
        <v>72</v>
      </c>
      <c r="G2" s="3" t="s">
        <v>48</v>
      </c>
      <c r="H2" s="23" t="s">
        <v>73</v>
      </c>
      <c r="I2" s="23"/>
      <c r="J2" s="53"/>
      <c r="M2" s="3"/>
      <c r="Q2" s="3"/>
    </row>
    <row r="3" spans="1:20" x14ac:dyDescent="0.3">
      <c r="I3" s="63" t="s">
        <v>74</v>
      </c>
      <c r="J3" s="53"/>
      <c r="K3" s="44">
        <v>0.01</v>
      </c>
      <c r="L3" s="38" t="s">
        <v>78</v>
      </c>
      <c r="M3" s="3" t="s">
        <v>47</v>
      </c>
      <c r="N3" s="55" t="s">
        <v>54</v>
      </c>
      <c r="O3" s="1" t="s">
        <v>55</v>
      </c>
      <c r="P3" s="58" t="s">
        <v>56</v>
      </c>
      <c r="Q3" s="3"/>
    </row>
    <row r="4" spans="1:20" x14ac:dyDescent="0.3">
      <c r="A4" s="64">
        <v>44501</v>
      </c>
      <c r="B4" s="39">
        <v>660444.4</v>
      </c>
      <c r="C4" s="37"/>
      <c r="D4" s="37">
        <v>117652.3</v>
      </c>
      <c r="E4" s="37"/>
      <c r="F4" s="37">
        <v>5056.7</v>
      </c>
      <c r="G4" s="37"/>
      <c r="H4" s="37">
        <v>537735.4</v>
      </c>
      <c r="I4" s="37">
        <v>473342</v>
      </c>
      <c r="J4" s="54"/>
      <c r="K4" s="1"/>
      <c r="M4" s="3"/>
      <c r="N4" s="57">
        <f>$B$4*(K3)</f>
        <v>6604.4440000000004</v>
      </c>
      <c r="O4" s="1" t="s">
        <v>55</v>
      </c>
      <c r="P4" s="59">
        <f>(1-$D$8)/($D$7)</f>
        <v>23</v>
      </c>
      <c r="Q4" s="41" t="s">
        <v>47</v>
      </c>
      <c r="R4" s="62">
        <f>N4*P4</f>
        <v>151902.212</v>
      </c>
      <c r="T4" t="s">
        <v>82</v>
      </c>
    </row>
    <row r="5" spans="1:20" x14ac:dyDescent="0.3">
      <c r="J5" s="54"/>
      <c r="K5" s="1"/>
      <c r="M5" s="3"/>
      <c r="Q5" s="3"/>
      <c r="R5" s="1"/>
      <c r="T5" t="s">
        <v>85</v>
      </c>
    </row>
    <row r="6" spans="1:20" x14ac:dyDescent="0.3">
      <c r="K6" s="1"/>
      <c r="L6" s="22" t="s">
        <v>79</v>
      </c>
      <c r="M6" s="3" t="s">
        <v>47</v>
      </c>
      <c r="N6" s="42" t="s">
        <v>78</v>
      </c>
      <c r="O6" s="42"/>
      <c r="P6" s="42"/>
      <c r="Q6" s="41" t="s">
        <v>47</v>
      </c>
      <c r="R6" s="66">
        <f>R4/$B$4</f>
        <v>0.22999999999999998</v>
      </c>
    </row>
    <row r="7" spans="1:20" x14ac:dyDescent="0.3">
      <c r="A7" s="22" t="s">
        <v>76</v>
      </c>
      <c r="D7" s="44">
        <v>0.04</v>
      </c>
      <c r="M7" s="3"/>
      <c r="N7" s="43" t="s">
        <v>81</v>
      </c>
      <c r="O7" s="43"/>
      <c r="P7" s="43"/>
      <c r="Q7" s="3"/>
    </row>
    <row r="8" spans="1:20" x14ac:dyDescent="0.3">
      <c r="A8" s="22" t="s">
        <v>75</v>
      </c>
      <c r="D8" s="44">
        <v>0.08</v>
      </c>
      <c r="M8" s="3"/>
      <c r="N8" s="46"/>
      <c r="O8" s="46"/>
      <c r="P8" s="46"/>
      <c r="Q8" s="3"/>
    </row>
    <row r="9" spans="1:20" x14ac:dyDescent="0.3">
      <c r="L9" s="22" t="s">
        <v>80</v>
      </c>
      <c r="M9" s="3" t="s">
        <v>47</v>
      </c>
      <c r="N9" t="s">
        <v>81</v>
      </c>
      <c r="O9" s="1" t="s">
        <v>55</v>
      </c>
      <c r="P9" s="60" t="s">
        <v>67</v>
      </c>
      <c r="Q9" s="41" t="s">
        <v>47</v>
      </c>
      <c r="R9" s="39">
        <f>$B$4*(1+R6)</f>
        <v>812346.61199999996</v>
      </c>
    </row>
    <row r="10" spans="1:20" x14ac:dyDescent="0.3">
      <c r="M10" s="3"/>
      <c r="N10" s="46"/>
      <c r="O10" s="46"/>
      <c r="P10" s="46"/>
      <c r="Q10" s="3"/>
    </row>
    <row r="11" spans="1:20" x14ac:dyDescent="0.3">
      <c r="M11" s="3"/>
      <c r="Q11" s="3"/>
    </row>
    <row r="12" spans="1:20" x14ac:dyDescent="0.3">
      <c r="K12" s="65">
        <v>5.0000000000000001E-3</v>
      </c>
      <c r="L12" s="38" t="s">
        <v>78</v>
      </c>
      <c r="M12" s="3" t="s">
        <v>47</v>
      </c>
      <c r="N12" s="55" t="s">
        <v>54</v>
      </c>
      <c r="O12" s="1" t="s">
        <v>55</v>
      </c>
      <c r="P12" s="58" t="s">
        <v>56</v>
      </c>
      <c r="Q12" s="3"/>
    </row>
    <row r="13" spans="1:20" x14ac:dyDescent="0.3">
      <c r="M13" s="3"/>
      <c r="N13" s="57">
        <f>$B$4*(K12)</f>
        <v>3302.2220000000002</v>
      </c>
      <c r="O13" s="1" t="s">
        <v>55</v>
      </c>
      <c r="P13" s="59">
        <f>(1-$D$8)/($D$7)</f>
        <v>23</v>
      </c>
      <c r="Q13" s="41" t="s">
        <v>47</v>
      </c>
      <c r="R13" s="45">
        <f>N13*P13</f>
        <v>75951.106</v>
      </c>
      <c r="T13" t="s">
        <v>84</v>
      </c>
    </row>
    <row r="14" spans="1:20" x14ac:dyDescent="0.3">
      <c r="M14" s="3"/>
      <c r="Q14" s="3"/>
      <c r="R14" s="1"/>
      <c r="T14" t="s">
        <v>86</v>
      </c>
    </row>
    <row r="15" spans="1:20" x14ac:dyDescent="0.3">
      <c r="L15" s="22" t="s">
        <v>59</v>
      </c>
      <c r="M15" s="3" t="s">
        <v>47</v>
      </c>
      <c r="N15" s="42" t="s">
        <v>78</v>
      </c>
      <c r="O15" s="42"/>
      <c r="P15" s="42"/>
      <c r="Q15" s="41" t="s">
        <v>47</v>
      </c>
      <c r="R15" s="66">
        <f>R13/$B$4</f>
        <v>0.11499999999999999</v>
      </c>
    </row>
    <row r="16" spans="1:20" x14ac:dyDescent="0.3">
      <c r="M16" s="3"/>
      <c r="N16" s="43" t="s">
        <v>81</v>
      </c>
      <c r="O16" s="43"/>
      <c r="P16" s="43"/>
      <c r="Q16" s="3"/>
    </row>
    <row r="17" spans="11:20" x14ac:dyDescent="0.3">
      <c r="M17" s="3"/>
      <c r="Q17" s="3"/>
    </row>
    <row r="18" spans="11:20" x14ac:dyDescent="0.3">
      <c r="L18" s="22" t="s">
        <v>80</v>
      </c>
      <c r="M18" s="3" t="s">
        <v>47</v>
      </c>
      <c r="N18" t="s">
        <v>81</v>
      </c>
      <c r="O18" s="1" t="s">
        <v>55</v>
      </c>
      <c r="P18" s="60" t="s">
        <v>67</v>
      </c>
      <c r="Q18" s="41" t="s">
        <v>47</v>
      </c>
      <c r="R18" s="39">
        <f>$B$4*(1+R15)</f>
        <v>736395.50600000005</v>
      </c>
    </row>
    <row r="19" spans="11:20" x14ac:dyDescent="0.3">
      <c r="M19" s="3"/>
      <c r="Q19" s="3"/>
    </row>
    <row r="20" spans="11:20" x14ac:dyDescent="0.3">
      <c r="M20" s="3"/>
      <c r="Q20" s="3"/>
    </row>
    <row r="21" spans="11:20" x14ac:dyDescent="0.3">
      <c r="K21" s="65">
        <v>1E-3</v>
      </c>
      <c r="L21" s="38" t="s">
        <v>78</v>
      </c>
      <c r="M21" s="3" t="s">
        <v>47</v>
      </c>
      <c r="N21" s="55" t="s">
        <v>54</v>
      </c>
      <c r="O21" s="1" t="s">
        <v>55</v>
      </c>
      <c r="P21" s="58" t="s">
        <v>56</v>
      </c>
      <c r="Q21" s="3"/>
    </row>
    <row r="22" spans="11:20" x14ac:dyDescent="0.3">
      <c r="M22" s="3"/>
      <c r="N22" s="57">
        <f>$B$4*(K21)</f>
        <v>660.44440000000009</v>
      </c>
      <c r="O22" s="1" t="s">
        <v>55</v>
      </c>
      <c r="P22" s="59">
        <f>(1-$D$8)/($D$7)</f>
        <v>23</v>
      </c>
      <c r="Q22" s="41" t="s">
        <v>47</v>
      </c>
      <c r="R22" s="45">
        <f>N22*P22</f>
        <v>15190.221200000002</v>
      </c>
      <c r="T22" t="s">
        <v>83</v>
      </c>
    </row>
    <row r="23" spans="11:20" x14ac:dyDescent="0.3">
      <c r="M23" s="3"/>
      <c r="Q23" s="3"/>
      <c r="R23" s="1"/>
      <c r="T23" t="s">
        <v>87</v>
      </c>
    </row>
    <row r="24" spans="11:20" x14ac:dyDescent="0.3">
      <c r="L24" s="22" t="s">
        <v>59</v>
      </c>
      <c r="M24" s="3" t="s">
        <v>47</v>
      </c>
      <c r="N24" s="42" t="s">
        <v>78</v>
      </c>
      <c r="O24" s="42"/>
      <c r="P24" s="42"/>
      <c r="Q24" s="41" t="s">
        <v>47</v>
      </c>
      <c r="R24" s="66">
        <f>R22/$B$4</f>
        <v>2.3000000000000003E-2</v>
      </c>
    </row>
    <row r="25" spans="11:20" x14ac:dyDescent="0.3">
      <c r="M25" s="3"/>
      <c r="N25" s="43" t="s">
        <v>81</v>
      </c>
      <c r="O25" s="43"/>
      <c r="P25" s="43"/>
      <c r="Q25" s="3"/>
    </row>
    <row r="26" spans="11:20" x14ac:dyDescent="0.3">
      <c r="M26" s="3"/>
      <c r="Q26" s="3"/>
    </row>
    <row r="27" spans="11:20" x14ac:dyDescent="0.3">
      <c r="L27" s="22" t="s">
        <v>80</v>
      </c>
      <c r="M27" s="3" t="s">
        <v>47</v>
      </c>
      <c r="N27" t="s">
        <v>81</v>
      </c>
      <c r="O27" s="1" t="s">
        <v>55</v>
      </c>
      <c r="P27" s="60" t="s">
        <v>67</v>
      </c>
      <c r="Q27" s="41" t="s">
        <v>47</v>
      </c>
      <c r="R27" s="39">
        <f>$B$4*(1+R24)</f>
        <v>675634.62119999994</v>
      </c>
    </row>
    <row r="28" spans="11:20" x14ac:dyDescent="0.3">
      <c r="M28" s="3"/>
      <c r="N28" s="35"/>
      <c r="Q28" s="3"/>
    </row>
    <row r="34" spans="10:10" x14ac:dyDescent="0.3">
      <c r="J34" s="35"/>
    </row>
    <row r="35" spans="10:10" x14ac:dyDescent="0.3">
      <c r="J35" s="35"/>
    </row>
    <row r="36" spans="10:10" x14ac:dyDescent="0.3">
      <c r="J36" s="35"/>
    </row>
    <row r="37" spans="10:10" x14ac:dyDescent="0.3">
      <c r="J37" s="35"/>
    </row>
    <row r="38" spans="10:10" x14ac:dyDescent="0.3">
      <c r="J38" s="35"/>
    </row>
    <row r="39" spans="10:10" x14ac:dyDescent="0.3">
      <c r="J39" s="35"/>
    </row>
    <row r="40" spans="10:10" x14ac:dyDescent="0.3">
      <c r="J40" s="35"/>
    </row>
    <row r="41" spans="10:10" x14ac:dyDescent="0.3">
      <c r="J41" s="35"/>
    </row>
  </sheetData>
  <mergeCells count="7">
    <mergeCell ref="N6:P6"/>
    <mergeCell ref="N7:P7"/>
    <mergeCell ref="N15:P15"/>
    <mergeCell ref="N16:P16"/>
    <mergeCell ref="N24:P24"/>
    <mergeCell ref="N25:P25"/>
    <mergeCell ref="H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flujos</vt:lpstr>
      <vt:lpstr>multiplicador</vt:lpstr>
      <vt:lpstr>monetaria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Brun</dc:creator>
  <cp:lastModifiedBy>Martín Brun</cp:lastModifiedBy>
  <dcterms:created xsi:type="dcterms:W3CDTF">2021-12-08T16:44:37Z</dcterms:created>
  <dcterms:modified xsi:type="dcterms:W3CDTF">2021-12-08T18:06:21Z</dcterms:modified>
</cp:coreProperties>
</file>